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260\Downloads\"/>
    </mc:Choice>
  </mc:AlternateContent>
  <xr:revisionPtr revIDLastSave="0" documentId="8_{3C1F6813-8AAD-4DBF-A013-A3BB96B1DF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ksi" sheetId="1" r:id="rId1"/>
    <sheet name="Data Ketersediaan Pangan" sheetId="14" r:id="rId2"/>
    <sheet name="Stok Beras Bulog" sheetId="15" r:id="rId3"/>
  </sheets>
  <definedNames>
    <definedName name="_xlnm.Print_Area" localSheetId="1">'Data Ketersediaan Pangan'!$AN$1:$AW$36</definedName>
    <definedName name="_xlnm.Print_Area" localSheetId="0">Produksi!$A$1:$J$371</definedName>
  </definedNames>
  <calcPr calcId="181029"/>
</workbook>
</file>

<file path=xl/calcChain.xml><?xml version="1.0" encoding="utf-8"?>
<calcChain xmlns="http://schemas.openxmlformats.org/spreadsheetml/2006/main">
  <c r="R30" i="14" l="1"/>
  <c r="EN27" i="14" l="1"/>
  <c r="EZ17" i="14"/>
  <c r="ER29" i="14" s="1"/>
  <c r="EZ20" i="14"/>
  <c r="EO27" i="14"/>
  <c r="DW81" i="1"/>
  <c r="DP133" i="1"/>
  <c r="BR133" i="1"/>
  <c r="BO98" i="1"/>
  <c r="BR98" i="1" s="1"/>
  <c r="J124" i="1"/>
  <c r="J125" i="1"/>
  <c r="J126" i="1"/>
  <c r="J127" i="1"/>
  <c r="J128" i="1"/>
  <c r="J129" i="1"/>
  <c r="J130" i="1"/>
  <c r="J131" i="1"/>
  <c r="J123" i="1"/>
  <c r="J90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89" i="1"/>
  <c r="CH44" i="1"/>
  <c r="DK33" i="1"/>
  <c r="DK34" i="1"/>
  <c r="DK35" i="1"/>
  <c r="DK36" i="1"/>
  <c r="DK37" i="1"/>
  <c r="DK38" i="1"/>
  <c r="DK39" i="1"/>
  <c r="DK40" i="1"/>
  <c r="DI44" i="1"/>
  <c r="DA46" i="1"/>
  <c r="DA45" i="1"/>
  <c r="DA41" i="1"/>
  <c r="DA40" i="1"/>
  <c r="DA39" i="1"/>
  <c r="DA38" i="1"/>
  <c r="DA37" i="1"/>
  <c r="DA36" i="1"/>
  <c r="DA35" i="1"/>
  <c r="DA34" i="1"/>
  <c r="DA33" i="1"/>
  <c r="BW40" i="1"/>
  <c r="BW39" i="1"/>
  <c r="BW38" i="1"/>
  <c r="BW37" i="1"/>
  <c r="CB37" i="1" s="1"/>
  <c r="BW36" i="1"/>
  <c r="BW35" i="1"/>
  <c r="BW34" i="1"/>
  <c r="BW33" i="1"/>
  <c r="CB33" i="1" s="1"/>
  <c r="CQ40" i="1"/>
  <c r="CQ39" i="1"/>
  <c r="CQ38" i="1"/>
  <c r="CQ37" i="1"/>
  <c r="CQ36" i="1"/>
  <c r="CQ35" i="1"/>
  <c r="CQ34" i="1"/>
  <c r="CQ33" i="1"/>
  <c r="CG46" i="1"/>
  <c r="CG45" i="1"/>
  <c r="CG40" i="1"/>
  <c r="CG39" i="1"/>
  <c r="CG38" i="1"/>
  <c r="CG37" i="1"/>
  <c r="CG36" i="1"/>
  <c r="CG35" i="1"/>
  <c r="CG34" i="1"/>
  <c r="CG33" i="1"/>
  <c r="BW46" i="1"/>
  <c r="BW45" i="1"/>
  <c r="BM46" i="1"/>
  <c r="BM45" i="1"/>
  <c r="BR45" i="1" s="1"/>
  <c r="BM40" i="1"/>
  <c r="BM39" i="1"/>
  <c r="BM38" i="1"/>
  <c r="BM37" i="1"/>
  <c r="BR37" i="1" s="1"/>
  <c r="BM36" i="1"/>
  <c r="BM34" i="1"/>
  <c r="BM35" i="1"/>
  <c r="BR35" i="1" s="1"/>
  <c r="BM33" i="1"/>
  <c r="BR33" i="1" s="1"/>
  <c r="EJ32" i="14"/>
  <c r="CV26" i="1"/>
  <c r="CV27" i="1"/>
  <c r="CV28" i="1"/>
  <c r="CV22" i="1"/>
  <c r="CV23" i="1"/>
  <c r="DS22" i="1"/>
  <c r="E21" i="1"/>
  <c r="D21" i="1"/>
  <c r="C21" i="1"/>
  <c r="AH19" i="1"/>
  <c r="AG19" i="1"/>
  <c r="AS19" i="1"/>
  <c r="AR19" i="1"/>
  <c r="AQ19" i="1"/>
  <c r="BC19" i="1"/>
  <c r="BB19" i="1"/>
  <c r="BA19" i="1"/>
  <c r="BM19" i="1"/>
  <c r="BL19" i="1"/>
  <c r="BK19" i="1"/>
  <c r="BK18" i="1"/>
  <c r="D18" i="1"/>
  <c r="C18" i="1"/>
  <c r="AI17" i="1"/>
  <c r="AH17" i="1"/>
  <c r="AG17" i="1"/>
  <c r="BC17" i="1"/>
  <c r="BB17" i="1"/>
  <c r="BA17" i="1"/>
  <c r="BM17" i="1"/>
  <c r="BR17" i="1" s="1"/>
  <c r="BL17" i="1"/>
  <c r="BK17" i="1"/>
  <c r="BW17" i="1"/>
  <c r="BV17" i="1"/>
  <c r="BU17" i="1"/>
  <c r="CG17" i="1"/>
  <c r="CF17" i="1"/>
  <c r="CE17" i="1"/>
  <c r="CQ17" i="1"/>
  <c r="CP17" i="1"/>
  <c r="CO17" i="1"/>
  <c r="DA17" i="1"/>
  <c r="CZ17" i="1"/>
  <c r="CY17" i="1"/>
  <c r="DK17" i="1"/>
  <c r="DJ17" i="1"/>
  <c r="DI17" i="1"/>
  <c r="AR15" i="1"/>
  <c r="BC15" i="1"/>
  <c r="BB15" i="1"/>
  <c r="BA15" i="1"/>
  <c r="BM15" i="1"/>
  <c r="BL15" i="1"/>
  <c r="BK15" i="1"/>
  <c r="BW15" i="1"/>
  <c r="BV15" i="1"/>
  <c r="BU15" i="1"/>
  <c r="CG15" i="1"/>
  <c r="CF15" i="1"/>
  <c r="CE15" i="1"/>
  <c r="CQ15" i="1"/>
  <c r="CP15" i="1"/>
  <c r="CO15" i="1"/>
  <c r="DA15" i="1"/>
  <c r="CZ15" i="1"/>
  <c r="CY15" i="1"/>
  <c r="DK15" i="1"/>
  <c r="DJ15" i="1"/>
  <c r="DI15" i="1"/>
  <c r="BR138" i="1"/>
  <c r="BR137" i="1"/>
  <c r="BR136" i="1"/>
  <c r="BR135" i="1"/>
  <c r="BR134" i="1"/>
  <c r="BR132" i="1"/>
  <c r="BR131" i="1"/>
  <c r="BR130" i="1"/>
  <c r="BR129" i="1"/>
  <c r="BR128" i="1"/>
  <c r="BR127" i="1"/>
  <c r="BR126" i="1"/>
  <c r="BR125" i="1"/>
  <c r="BR124" i="1"/>
  <c r="BR123" i="1"/>
  <c r="BR122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7" i="1"/>
  <c r="BR96" i="1"/>
  <c r="BR95" i="1"/>
  <c r="BR94" i="1"/>
  <c r="BR93" i="1"/>
  <c r="BR92" i="1"/>
  <c r="BR91" i="1"/>
  <c r="BR90" i="1"/>
  <c r="BR89" i="1"/>
  <c r="BR88" i="1"/>
  <c r="BR83" i="1"/>
  <c r="BR82" i="1"/>
  <c r="BR81" i="1"/>
  <c r="BR80" i="1"/>
  <c r="BR79" i="1"/>
  <c r="BR78" i="1"/>
  <c r="BR77" i="1"/>
  <c r="BR76" i="1"/>
  <c r="BR75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3" i="1"/>
  <c r="BR42" i="1"/>
  <c r="BR41" i="1"/>
  <c r="BR40" i="1"/>
  <c r="BR39" i="1"/>
  <c r="BR38" i="1"/>
  <c r="BR36" i="1"/>
  <c r="BR34" i="1"/>
  <c r="BR32" i="1"/>
  <c r="BR28" i="1"/>
  <c r="BR27" i="1"/>
  <c r="BR26" i="1"/>
  <c r="BR25" i="1"/>
  <c r="BR24" i="1"/>
  <c r="BR23" i="1"/>
  <c r="BR22" i="1"/>
  <c r="BR21" i="1"/>
  <c r="BR19" i="1"/>
  <c r="BR18" i="1"/>
  <c r="BR16" i="1"/>
  <c r="BR15" i="1"/>
  <c r="BR13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7" i="1"/>
  <c r="CB96" i="1"/>
  <c r="CB95" i="1"/>
  <c r="CB94" i="1"/>
  <c r="CB93" i="1"/>
  <c r="CB92" i="1"/>
  <c r="CB91" i="1"/>
  <c r="CB90" i="1"/>
  <c r="CB89" i="1"/>
  <c r="CB83" i="1"/>
  <c r="CB82" i="1"/>
  <c r="CB81" i="1"/>
  <c r="CB80" i="1"/>
  <c r="CB79" i="1"/>
  <c r="CB78" i="1"/>
  <c r="CB77" i="1"/>
  <c r="CB76" i="1"/>
  <c r="CB75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3" i="1"/>
  <c r="CB42" i="1"/>
  <c r="CB41" i="1"/>
  <c r="CB40" i="1"/>
  <c r="CB39" i="1"/>
  <c r="CB38" i="1"/>
  <c r="CB36" i="1"/>
  <c r="CB35" i="1"/>
  <c r="CB34" i="1"/>
  <c r="CB32" i="1"/>
  <c r="CB28" i="1"/>
  <c r="CB27" i="1"/>
  <c r="CB26" i="1"/>
  <c r="CB25" i="1"/>
  <c r="CB24" i="1"/>
  <c r="CB23" i="1"/>
  <c r="CB22" i="1"/>
  <c r="CB21" i="1"/>
  <c r="CB19" i="1"/>
  <c r="CB18" i="1"/>
  <c r="CB17" i="1"/>
  <c r="CB16" i="1"/>
  <c r="CB15" i="1"/>
  <c r="CB13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7" i="1"/>
  <c r="CL96" i="1"/>
  <c r="CL95" i="1"/>
  <c r="CL94" i="1"/>
  <c r="CL93" i="1"/>
  <c r="CL92" i="1"/>
  <c r="CL91" i="1"/>
  <c r="CL90" i="1"/>
  <c r="CL89" i="1"/>
  <c r="CL83" i="1"/>
  <c r="CL82" i="1"/>
  <c r="CL81" i="1"/>
  <c r="CL80" i="1"/>
  <c r="CL79" i="1"/>
  <c r="CL78" i="1"/>
  <c r="CL77" i="1"/>
  <c r="CL76" i="1"/>
  <c r="CL75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28" i="1"/>
  <c r="CL27" i="1"/>
  <c r="CL26" i="1"/>
  <c r="CL25" i="1"/>
  <c r="CL24" i="1"/>
  <c r="CL23" i="1"/>
  <c r="CL22" i="1"/>
  <c r="CL21" i="1"/>
  <c r="CL19" i="1"/>
  <c r="CL18" i="1"/>
  <c r="CL17" i="1"/>
  <c r="CL16" i="1"/>
  <c r="CL15" i="1"/>
  <c r="CL13" i="1"/>
  <c r="DK14" i="1"/>
  <c r="DJ14" i="1"/>
  <c r="DR13" i="14"/>
  <c r="DI14" i="1"/>
  <c r="DA14" i="1"/>
  <c r="DF14" i="1" s="1"/>
  <c r="CZ14" i="1"/>
  <c r="CY14" i="1"/>
  <c r="CQ14" i="1"/>
  <c r="CP14" i="1"/>
  <c r="CO14" i="1"/>
  <c r="CG14" i="1"/>
  <c r="CF14" i="1"/>
  <c r="CE14" i="1"/>
  <c r="BW14" i="1"/>
  <c r="CB14" i="1"/>
  <c r="BV14" i="1"/>
  <c r="BU14" i="1"/>
  <c r="BM14" i="1"/>
  <c r="BR14" i="1"/>
  <c r="BL14" i="1"/>
  <c r="BK14" i="1"/>
  <c r="BC14" i="1"/>
  <c r="BB14" i="1"/>
  <c r="BA14" i="1"/>
  <c r="BC12" i="1"/>
  <c r="BB12" i="1"/>
  <c r="BA12" i="1"/>
  <c r="BM12" i="1"/>
  <c r="BR12" i="1"/>
  <c r="BL12" i="1"/>
  <c r="BK12" i="1"/>
  <c r="BW12" i="1"/>
  <c r="CB12" i="1"/>
  <c r="BV12" i="1"/>
  <c r="BU12" i="1"/>
  <c r="CG12" i="1"/>
  <c r="CL12" i="1"/>
  <c r="CF12" i="1"/>
  <c r="CE12" i="1"/>
  <c r="CQ12" i="1"/>
  <c r="CP12" i="1"/>
  <c r="CO12" i="1"/>
  <c r="DA12" i="1"/>
  <c r="DF12" i="1" s="1"/>
  <c r="CZ12" i="1"/>
  <c r="CY12" i="1"/>
  <c r="DK12" i="1"/>
  <c r="DP12" i="1" s="1"/>
  <c r="DJ12" i="1"/>
  <c r="DR12" i="14" s="1"/>
  <c r="DI12" i="1"/>
  <c r="Y17" i="1"/>
  <c r="X17" i="1"/>
  <c r="W17" i="1"/>
  <c r="W15" i="1"/>
  <c r="X14" i="1"/>
  <c r="Y14" i="1"/>
  <c r="W14" i="1"/>
  <c r="Y12" i="1"/>
  <c r="X12" i="1"/>
  <c r="W12" i="1"/>
  <c r="DP138" i="1"/>
  <c r="DP137" i="1"/>
  <c r="DP136" i="1"/>
  <c r="DP135" i="1"/>
  <c r="DP134" i="1"/>
  <c r="DP132" i="1"/>
  <c r="DP131" i="1"/>
  <c r="DP130" i="1"/>
  <c r="DP129" i="1"/>
  <c r="DP128" i="1"/>
  <c r="DP127" i="1"/>
  <c r="DP126" i="1"/>
  <c r="DP125" i="1"/>
  <c r="DP124" i="1"/>
  <c r="DP123" i="1"/>
  <c r="DP118" i="1"/>
  <c r="DP117" i="1"/>
  <c r="DP116" i="1"/>
  <c r="DP115" i="1"/>
  <c r="DP114" i="1"/>
  <c r="DP113" i="1"/>
  <c r="DP112" i="1"/>
  <c r="DP111" i="1"/>
  <c r="DP110" i="1"/>
  <c r="DP109" i="1"/>
  <c r="DP108" i="1"/>
  <c r="DP107" i="1"/>
  <c r="DP106" i="1"/>
  <c r="DP105" i="1"/>
  <c r="DP104" i="1"/>
  <c r="DP103" i="1"/>
  <c r="DP102" i="1"/>
  <c r="DP101" i="1"/>
  <c r="DP100" i="1"/>
  <c r="DP99" i="1"/>
  <c r="DP97" i="1"/>
  <c r="DP96" i="1"/>
  <c r="DP95" i="1"/>
  <c r="DP94" i="1"/>
  <c r="DP93" i="1"/>
  <c r="DP92" i="1"/>
  <c r="DP91" i="1"/>
  <c r="DP90" i="1"/>
  <c r="DP89" i="1"/>
  <c r="DP83" i="1"/>
  <c r="DP82" i="1"/>
  <c r="DP81" i="1"/>
  <c r="DP80" i="1"/>
  <c r="DP79" i="1"/>
  <c r="DP78" i="1"/>
  <c r="DP77" i="1"/>
  <c r="DP76" i="1"/>
  <c r="DP75" i="1"/>
  <c r="DP72" i="1"/>
  <c r="DP71" i="1"/>
  <c r="DP70" i="1"/>
  <c r="DP69" i="1"/>
  <c r="DP68" i="1"/>
  <c r="DP67" i="1"/>
  <c r="DP66" i="1"/>
  <c r="DP65" i="1"/>
  <c r="DP64" i="1"/>
  <c r="DP63" i="1"/>
  <c r="DP62" i="1"/>
  <c r="DP61" i="1"/>
  <c r="DP57" i="1"/>
  <c r="DP56" i="1"/>
  <c r="DP55" i="1"/>
  <c r="DP54" i="1"/>
  <c r="DP53" i="1"/>
  <c r="DP52" i="1"/>
  <c r="DP51" i="1"/>
  <c r="DP50" i="1"/>
  <c r="DP49" i="1"/>
  <c r="DP48" i="1"/>
  <c r="DP47" i="1"/>
  <c r="DP46" i="1"/>
  <c r="DP45" i="1"/>
  <c r="DP43" i="1"/>
  <c r="DP42" i="1"/>
  <c r="DP41" i="1"/>
  <c r="DP40" i="1"/>
  <c r="DP39" i="1"/>
  <c r="DP38" i="1"/>
  <c r="DP37" i="1"/>
  <c r="DP36" i="1"/>
  <c r="DP35" i="1"/>
  <c r="DP34" i="1"/>
  <c r="DP33" i="1"/>
  <c r="DP32" i="1"/>
  <c r="DP28" i="1"/>
  <c r="DP27" i="1"/>
  <c r="DP26" i="1"/>
  <c r="DP25" i="1"/>
  <c r="DP24" i="1"/>
  <c r="DP23" i="1"/>
  <c r="DP22" i="1"/>
  <c r="DP21" i="1"/>
  <c r="DP19" i="1"/>
  <c r="DP18" i="1"/>
  <c r="DP17" i="1"/>
  <c r="DP16" i="1"/>
  <c r="DP15" i="1"/>
  <c r="DP14" i="1"/>
  <c r="DP13" i="1"/>
  <c r="DK11" i="1"/>
  <c r="DP11" i="1" s="1"/>
  <c r="DJ11" i="1"/>
  <c r="DR10" i="14" s="1"/>
  <c r="DI11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89" i="1"/>
  <c r="DF90" i="1"/>
  <c r="DF91" i="1"/>
  <c r="DF92" i="1"/>
  <c r="DF93" i="1"/>
  <c r="DF94" i="1"/>
  <c r="DF95" i="1"/>
  <c r="DF96" i="1"/>
  <c r="DF97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76" i="1"/>
  <c r="DF77" i="1"/>
  <c r="DF78" i="1"/>
  <c r="DF79" i="1"/>
  <c r="DF80" i="1"/>
  <c r="DF81" i="1"/>
  <c r="DF82" i="1"/>
  <c r="DF83" i="1"/>
  <c r="DF75" i="1"/>
  <c r="DF62" i="1"/>
  <c r="DF63" i="1"/>
  <c r="DF64" i="1"/>
  <c r="DF65" i="1"/>
  <c r="DF66" i="1"/>
  <c r="DF67" i="1"/>
  <c r="DF68" i="1"/>
  <c r="DF69" i="1"/>
  <c r="DF70" i="1"/>
  <c r="DF71" i="1"/>
  <c r="DF72" i="1"/>
  <c r="DF61" i="1"/>
  <c r="DF33" i="1"/>
  <c r="DF34" i="1"/>
  <c r="DF35" i="1"/>
  <c r="DF36" i="1"/>
  <c r="DF37" i="1"/>
  <c r="DF38" i="1"/>
  <c r="DF39" i="1"/>
  <c r="DF40" i="1"/>
  <c r="DF41" i="1"/>
  <c r="DF42" i="1"/>
  <c r="DF43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32" i="1"/>
  <c r="DF13" i="1"/>
  <c r="DF15" i="1"/>
  <c r="DF16" i="1"/>
  <c r="DF17" i="1"/>
  <c r="DF18" i="1"/>
  <c r="DF19" i="1"/>
  <c r="DF21" i="1"/>
  <c r="DF22" i="1"/>
  <c r="DF23" i="1"/>
  <c r="DF24" i="1"/>
  <c r="DF25" i="1"/>
  <c r="DF26" i="1"/>
  <c r="DF27" i="1"/>
  <c r="DF28" i="1"/>
  <c r="DA11" i="1"/>
  <c r="DF11" i="1"/>
  <c r="CZ11" i="1"/>
  <c r="CY11" i="1"/>
  <c r="CQ11" i="1"/>
  <c r="CP11" i="1"/>
  <c r="CO11" i="1"/>
  <c r="CG11" i="1"/>
  <c r="CF11" i="1"/>
  <c r="CN10" i="14"/>
  <c r="CE11" i="1"/>
  <c r="BW11" i="1"/>
  <c r="BV11" i="1"/>
  <c r="BU11" i="1"/>
  <c r="BK11" i="1"/>
  <c r="BC11" i="1"/>
  <c r="BB11" i="1"/>
  <c r="BA11" i="1"/>
  <c r="AS11" i="1"/>
  <c r="AR11" i="1"/>
  <c r="AQ11" i="1"/>
  <c r="AI11" i="1"/>
  <c r="AQ10" i="14" s="1"/>
  <c r="O11" i="1"/>
  <c r="W10" i="14"/>
  <c r="AD89" i="1"/>
  <c r="AG11" i="1"/>
  <c r="X11" i="1"/>
  <c r="W11" i="1"/>
  <c r="BM11" i="1"/>
  <c r="BR11" i="1"/>
  <c r="BL11" i="1"/>
  <c r="DM122" i="1"/>
  <c r="DP122" i="1" s="1"/>
  <c r="DM98" i="1"/>
  <c r="DP98" i="1" s="1"/>
  <c r="DM88" i="1"/>
  <c r="DP88" i="1" s="1"/>
  <c r="DC98" i="1"/>
  <c r="DF98" i="1" s="1"/>
  <c r="DC88" i="1"/>
  <c r="DF88" i="1" s="1"/>
  <c r="DC122" i="1"/>
  <c r="DF122" i="1" s="1"/>
  <c r="CS122" i="1"/>
  <c r="CS98" i="1"/>
  <c r="CS88" i="1"/>
  <c r="CI122" i="1"/>
  <c r="CL122" i="1"/>
  <c r="CI98" i="1"/>
  <c r="CL98" i="1"/>
  <c r="CI88" i="1"/>
  <c r="CL88" i="1"/>
  <c r="BY98" i="1"/>
  <c r="CB98" i="1"/>
  <c r="BY88" i="1"/>
  <c r="CB88" i="1"/>
  <c r="BY122" i="1"/>
  <c r="CB122" i="1"/>
  <c r="BE122" i="1"/>
  <c r="BE98" i="1"/>
  <c r="BE88" i="1"/>
  <c r="AU122" i="1"/>
  <c r="AU98" i="1"/>
  <c r="AU88" i="1"/>
  <c r="AA88" i="1"/>
  <c r="AA98" i="1"/>
  <c r="Q98" i="1"/>
  <c r="Q88" i="1"/>
  <c r="AN89" i="1"/>
  <c r="AN33" i="1"/>
  <c r="AN75" i="1"/>
  <c r="AK122" i="1"/>
  <c r="AK98" i="1"/>
  <c r="AK88" i="1"/>
  <c r="G122" i="1"/>
  <c r="G98" i="1"/>
  <c r="J98" i="1" s="1"/>
  <c r="G88" i="1"/>
  <c r="C20" i="1"/>
  <c r="M10" i="14"/>
  <c r="N10" i="14"/>
  <c r="R10" i="14" s="1"/>
  <c r="N11" i="14" s="1"/>
  <c r="R11" i="14" s="1"/>
  <c r="EN14" i="14" s="1"/>
  <c r="S10" i="14"/>
  <c r="X10" i="14"/>
  <c r="AB10" i="14" s="1"/>
  <c r="AC10" i="14"/>
  <c r="AF10" i="14"/>
  <c r="AG10" i="14"/>
  <c r="AH10" i="14"/>
  <c r="AL10" i="14" s="1"/>
  <c r="AM10" i="14"/>
  <c r="AP10" i="14"/>
  <c r="AR10" i="14"/>
  <c r="AU10" i="14"/>
  <c r="AV10" i="14"/>
  <c r="AV11" i="14" s="1"/>
  <c r="EQ14" i="14" s="1"/>
  <c r="AW10" i="14"/>
  <c r="AZ10" i="14"/>
  <c r="BA10" i="14"/>
  <c r="BB10" i="14"/>
  <c r="BF10" i="14"/>
  <c r="BF11" i="14"/>
  <c r="ER14" i="14" s="1"/>
  <c r="BG10" i="14"/>
  <c r="BJ10" i="14"/>
  <c r="BK10" i="14"/>
  <c r="BL10" i="14"/>
  <c r="BP10" i="14" s="1"/>
  <c r="BP11" i="14" s="1"/>
  <c r="ES14" i="14"/>
  <c r="BQ10" i="14"/>
  <c r="BT10" i="14"/>
  <c r="BU10" i="14"/>
  <c r="BV10" i="14"/>
  <c r="BZ10" i="14" s="1"/>
  <c r="BZ11" i="14" s="1"/>
  <c r="ET14" i="14" s="1"/>
  <c r="CA10" i="14"/>
  <c r="EI10" i="14" s="1"/>
  <c r="CD10" i="14"/>
  <c r="CF10" i="14"/>
  <c r="CJ10" i="14"/>
  <c r="CJ11" i="14"/>
  <c r="EU14" i="14" s="1"/>
  <c r="CK10" i="14"/>
  <c r="CP10" i="14"/>
  <c r="CT10" i="14"/>
  <c r="CT11" i="14" s="1"/>
  <c r="EV14" i="14" s="1"/>
  <c r="CU10" i="14"/>
  <c r="CX10" i="14"/>
  <c r="CY10" i="14"/>
  <c r="CZ10" i="14"/>
  <c r="DD10" i="14"/>
  <c r="DD11" i="14"/>
  <c r="EW14" i="14" s="1"/>
  <c r="DE10" i="14"/>
  <c r="DH10" i="14"/>
  <c r="DI10" i="14"/>
  <c r="EC10" i="14" s="1"/>
  <c r="DJ10" i="14"/>
  <c r="DN10" i="14" s="1"/>
  <c r="DN11" i="14" s="1"/>
  <c r="EX14" i="14" s="1"/>
  <c r="DM10" i="14"/>
  <c r="DO10" i="14"/>
  <c r="DS10" i="14"/>
  <c r="DT10" i="14"/>
  <c r="DX10" i="14" s="1"/>
  <c r="DX11" i="14" s="1"/>
  <c r="EY14" i="14" s="1"/>
  <c r="DY10" i="14"/>
  <c r="H11" i="14"/>
  <c r="H12" i="14"/>
  <c r="N12" i="14"/>
  <c r="R12" i="14" s="1"/>
  <c r="X12" i="14"/>
  <c r="AB12" i="14" s="1"/>
  <c r="EO15" i="14" s="1"/>
  <c r="AF12" i="14"/>
  <c r="AG12" i="14"/>
  <c r="AH12" i="14"/>
  <c r="AL12" i="14" s="1"/>
  <c r="EP15" i="14" s="1"/>
  <c r="AP12" i="14"/>
  <c r="AQ12" i="14"/>
  <c r="AR12" i="14"/>
  <c r="AV12" i="14"/>
  <c r="EQ15" i="14"/>
  <c r="AU12" i="14"/>
  <c r="EG12" i="14" s="1"/>
  <c r="BB12" i="14"/>
  <c r="BF12" i="14"/>
  <c r="ER15" i="14" s="1"/>
  <c r="BJ12" i="14"/>
  <c r="BK12" i="14"/>
  <c r="BL12" i="14"/>
  <c r="BP12" i="14" s="1"/>
  <c r="BQ12" i="14"/>
  <c r="BT12" i="14"/>
  <c r="BU12" i="14"/>
  <c r="BV12" i="14"/>
  <c r="BZ12" i="14" s="1"/>
  <c r="CD12" i="14"/>
  <c r="CE12" i="14"/>
  <c r="CF12" i="14"/>
  <c r="CJ12" i="14" s="1"/>
  <c r="EU15" i="14" s="1"/>
  <c r="CN12" i="14"/>
  <c r="CO12" i="14"/>
  <c r="CP12" i="14"/>
  <c r="CT12" i="14"/>
  <c r="EV15" i="14"/>
  <c r="CX12" i="14"/>
  <c r="CY12" i="14"/>
  <c r="CZ12" i="14"/>
  <c r="DD12" i="14"/>
  <c r="EW15" i="14" s="1"/>
  <c r="DH12" i="14"/>
  <c r="DI12" i="14"/>
  <c r="DJ12" i="14"/>
  <c r="DS12" i="14"/>
  <c r="DT12" i="14"/>
  <c r="DX12" i="14" s="1"/>
  <c r="EY15" i="14" s="1"/>
  <c r="H13" i="14"/>
  <c r="DE13" i="14" s="1"/>
  <c r="L13" i="14"/>
  <c r="M13" i="14"/>
  <c r="N13" i="14"/>
  <c r="R13" i="14" s="1"/>
  <c r="S13" i="14"/>
  <c r="W13" i="14"/>
  <c r="X13" i="14"/>
  <c r="AB13" i="14" s="1"/>
  <c r="AC13" i="14"/>
  <c r="AF13" i="14"/>
  <c r="AG13" i="14"/>
  <c r="AH13" i="14"/>
  <c r="AL13" i="14"/>
  <c r="AM13" i="14"/>
  <c r="AP13" i="14"/>
  <c r="AQ13" i="14"/>
  <c r="AR13" i="14"/>
  <c r="AV13" i="14" s="1"/>
  <c r="AU13" i="14"/>
  <c r="EG13" i="14" s="1"/>
  <c r="AW13" i="14"/>
  <c r="BB13" i="14"/>
  <c r="BF13" i="14" s="1"/>
  <c r="BK13" i="14"/>
  <c r="BL13" i="14"/>
  <c r="BP13" i="14" s="1"/>
  <c r="BT13" i="14"/>
  <c r="BU13" i="14"/>
  <c r="BV13" i="14"/>
  <c r="BZ13" i="14" s="1"/>
  <c r="CA13" i="14"/>
  <c r="CD13" i="14"/>
  <c r="CE13" i="14"/>
  <c r="CF13" i="14"/>
  <c r="CJ13" i="14"/>
  <c r="CK13" i="14"/>
  <c r="CN13" i="14"/>
  <c r="CP13" i="14"/>
  <c r="CT13" i="14"/>
  <c r="CU13" i="14"/>
  <c r="CX13" i="14"/>
  <c r="CY13" i="14"/>
  <c r="CZ13" i="14"/>
  <c r="DD13" i="14"/>
  <c r="DH13" i="14"/>
  <c r="DI13" i="14"/>
  <c r="DJ13" i="14"/>
  <c r="DN13" i="14" s="1"/>
  <c r="DS13" i="14"/>
  <c r="DT13" i="14"/>
  <c r="DX13" i="14" s="1"/>
  <c r="H14" i="14"/>
  <c r="AC14" i="14" s="1"/>
  <c r="M14" i="14"/>
  <c r="N14" i="14"/>
  <c r="R14" i="14" s="1"/>
  <c r="X14" i="14"/>
  <c r="AB14" i="14"/>
  <c r="AF14" i="14"/>
  <c r="AG14" i="14"/>
  <c r="AH14" i="14"/>
  <c r="AL14" i="14" s="1"/>
  <c r="AP14" i="14"/>
  <c r="AQ14" i="14"/>
  <c r="AR14" i="14"/>
  <c r="AU14" i="14"/>
  <c r="EG14" i="14"/>
  <c r="AV14" i="14"/>
  <c r="BJ14" i="14"/>
  <c r="BK14" i="14"/>
  <c r="BL14" i="14"/>
  <c r="BP14" i="14" s="1"/>
  <c r="BQ14" i="14"/>
  <c r="BT14" i="14"/>
  <c r="BU14" i="14"/>
  <c r="BV14" i="14"/>
  <c r="BZ14" i="14"/>
  <c r="CA14" i="14"/>
  <c r="CD14" i="14"/>
  <c r="CE14" i="14"/>
  <c r="CF14" i="14"/>
  <c r="CJ14" i="14"/>
  <c r="CN14" i="14"/>
  <c r="CO14" i="14"/>
  <c r="CP14" i="14"/>
  <c r="CT14" i="14" s="1"/>
  <c r="CX14" i="14"/>
  <c r="CY14" i="14"/>
  <c r="CZ14" i="14"/>
  <c r="DD14" i="14" s="1"/>
  <c r="DE14" i="14"/>
  <c r="DH14" i="14"/>
  <c r="DI14" i="14"/>
  <c r="DJ14" i="14"/>
  <c r="DN14" i="14"/>
  <c r="DO14" i="14"/>
  <c r="DR14" i="14"/>
  <c r="DS14" i="14"/>
  <c r="DT14" i="14"/>
  <c r="DX14" i="14"/>
  <c r="H15" i="14"/>
  <c r="M15" i="14"/>
  <c r="N15" i="14"/>
  <c r="R15" i="14" s="1"/>
  <c r="S15" i="14"/>
  <c r="X15" i="14"/>
  <c r="AB15" i="14"/>
  <c r="AC15" i="14"/>
  <c r="AF15" i="14"/>
  <c r="AG15" i="14"/>
  <c r="AH15" i="14"/>
  <c r="AL15" i="14"/>
  <c r="AM15" i="14"/>
  <c r="AP15" i="14"/>
  <c r="AQ15" i="14"/>
  <c r="AR15" i="14"/>
  <c r="AV15" i="14" s="1"/>
  <c r="AU15" i="14"/>
  <c r="EG15" i="14" s="1"/>
  <c r="AW15" i="14"/>
  <c r="BB15" i="14"/>
  <c r="BF15" i="14" s="1"/>
  <c r="BG15" i="14"/>
  <c r="BJ15" i="14"/>
  <c r="BK15" i="14"/>
  <c r="BL15" i="14"/>
  <c r="BP15" i="14"/>
  <c r="BQ15" i="14"/>
  <c r="BT15" i="14"/>
  <c r="BU15" i="14"/>
  <c r="BV15" i="14"/>
  <c r="BZ15" i="14"/>
  <c r="CA15" i="14"/>
  <c r="CD15" i="14"/>
  <c r="CE15" i="14"/>
  <c r="CF15" i="14"/>
  <c r="CK15" i="14"/>
  <c r="CN15" i="14"/>
  <c r="CO15" i="14"/>
  <c r="CP15" i="14"/>
  <c r="CT15" i="14" s="1"/>
  <c r="CU15" i="14"/>
  <c r="CX15" i="14"/>
  <c r="CY15" i="14"/>
  <c r="CZ15" i="14"/>
  <c r="DD15" i="14"/>
  <c r="DE15" i="14"/>
  <c r="DH15" i="14"/>
  <c r="DI15" i="14"/>
  <c r="DJ15" i="14"/>
  <c r="DN15" i="14"/>
  <c r="DO15" i="14"/>
  <c r="DR15" i="14"/>
  <c r="DS15" i="14"/>
  <c r="DT15" i="14"/>
  <c r="DX15" i="14" s="1"/>
  <c r="DY15" i="14"/>
  <c r="H16" i="14"/>
  <c r="DY16" i="14" s="1"/>
  <c r="L16" i="14"/>
  <c r="M16" i="14"/>
  <c r="N16" i="14"/>
  <c r="R16" i="14" s="1"/>
  <c r="V16" i="14"/>
  <c r="W16" i="14"/>
  <c r="X16" i="14"/>
  <c r="AB16" i="14" s="1"/>
  <c r="AF16" i="14"/>
  <c r="AG16" i="14"/>
  <c r="EC16" i="14" s="1"/>
  <c r="AH16" i="14"/>
  <c r="AP16" i="14"/>
  <c r="AQ16" i="14"/>
  <c r="AR16" i="14"/>
  <c r="AV16" i="14" s="1"/>
  <c r="AU16" i="14"/>
  <c r="EG16" i="14"/>
  <c r="AZ16" i="14"/>
  <c r="BA16" i="14"/>
  <c r="BB16" i="14"/>
  <c r="BF16" i="14"/>
  <c r="BJ16" i="14"/>
  <c r="BK16" i="14"/>
  <c r="BL16" i="14"/>
  <c r="BP16" i="14"/>
  <c r="BT16" i="14"/>
  <c r="BU16" i="14"/>
  <c r="BV16" i="14"/>
  <c r="BZ16" i="14"/>
  <c r="CA16" i="14"/>
  <c r="CD16" i="14"/>
  <c r="CE16" i="14"/>
  <c r="CF16" i="14"/>
  <c r="CJ16" i="14"/>
  <c r="CN16" i="14"/>
  <c r="CO16" i="14"/>
  <c r="CP16" i="14"/>
  <c r="CT16" i="14"/>
  <c r="CX16" i="14"/>
  <c r="CY16" i="14"/>
  <c r="CZ16" i="14"/>
  <c r="DD16" i="14"/>
  <c r="DH16" i="14"/>
  <c r="DI16" i="14"/>
  <c r="DJ16" i="14"/>
  <c r="DN16" i="14"/>
  <c r="DR16" i="14"/>
  <c r="DS16" i="14"/>
  <c r="DT16" i="14"/>
  <c r="DX16" i="14"/>
  <c r="H17" i="14"/>
  <c r="S17" i="14"/>
  <c r="AC17" i="14"/>
  <c r="AM17" i="14"/>
  <c r="AW17" i="14"/>
  <c r="BG17" i="14"/>
  <c r="BQ17" i="14"/>
  <c r="CA17" i="14"/>
  <c r="CK17" i="14"/>
  <c r="CU17" i="14"/>
  <c r="DE17" i="14"/>
  <c r="DO17" i="14"/>
  <c r="DY17" i="14"/>
  <c r="H18" i="14"/>
  <c r="L18" i="14"/>
  <c r="M18" i="14"/>
  <c r="N18" i="14"/>
  <c r="R18" i="14" s="1"/>
  <c r="S18" i="14"/>
  <c r="V18" i="14"/>
  <c r="W18" i="14"/>
  <c r="X18" i="14"/>
  <c r="AB18" i="14"/>
  <c r="AF18" i="14"/>
  <c r="AG18" i="14"/>
  <c r="AH18" i="14"/>
  <c r="AL18" i="14"/>
  <c r="AP18" i="14"/>
  <c r="AQ18" i="14"/>
  <c r="AR18" i="14"/>
  <c r="AV18" i="14"/>
  <c r="EQ16" i="14" s="1"/>
  <c r="AU18" i="14"/>
  <c r="EG18" i="14" s="1"/>
  <c r="AZ18" i="14"/>
  <c r="BA18" i="14"/>
  <c r="EC18" i="14" s="1"/>
  <c r="BB18" i="14"/>
  <c r="BF18" i="14" s="1"/>
  <c r="ER16" i="14" s="1"/>
  <c r="BJ18" i="14"/>
  <c r="BK18" i="14"/>
  <c r="BL18" i="14"/>
  <c r="BP18" i="14"/>
  <c r="BT18" i="14"/>
  <c r="BU18" i="14"/>
  <c r="BV18" i="14"/>
  <c r="BZ18" i="14"/>
  <c r="ET16" i="14" s="1"/>
  <c r="CD18" i="14"/>
  <c r="CE18" i="14"/>
  <c r="CF18" i="14"/>
  <c r="CJ18" i="14" s="1"/>
  <c r="EU16" i="14" s="1"/>
  <c r="CN18" i="14"/>
  <c r="CO18" i="14"/>
  <c r="CP18" i="14"/>
  <c r="CT18" i="14" s="1"/>
  <c r="EV16" i="14" s="1"/>
  <c r="CX18" i="14"/>
  <c r="CY18" i="14"/>
  <c r="CZ18" i="14"/>
  <c r="DD18" i="14"/>
  <c r="EW16" i="14"/>
  <c r="DH18" i="14"/>
  <c r="DI18" i="14"/>
  <c r="DJ18" i="14"/>
  <c r="DN18" i="14"/>
  <c r="EX16" i="14" s="1"/>
  <c r="DR18" i="14"/>
  <c r="DS18" i="14"/>
  <c r="DT18" i="14"/>
  <c r="DX18" i="14" s="1"/>
  <c r="EY16" i="14" s="1"/>
  <c r="H19" i="14"/>
  <c r="BQ19" i="14" s="1"/>
  <c r="L19" i="14"/>
  <c r="M19" i="14"/>
  <c r="N19" i="14"/>
  <c r="R19" i="14" s="1"/>
  <c r="V19" i="14"/>
  <c r="W19" i="14"/>
  <c r="X19" i="14"/>
  <c r="AB19" i="14"/>
  <c r="AC19" i="14"/>
  <c r="AF19" i="14"/>
  <c r="AG19" i="14"/>
  <c r="AH19" i="14"/>
  <c r="AL19" i="14"/>
  <c r="AP19" i="14"/>
  <c r="AQ19" i="14"/>
  <c r="AR19" i="14"/>
  <c r="AV19" i="14"/>
  <c r="AU19" i="14"/>
  <c r="EG19" i="14" s="1"/>
  <c r="AZ19" i="14"/>
  <c r="BA19" i="14"/>
  <c r="BB19" i="14"/>
  <c r="BF19" i="14" s="1"/>
  <c r="BJ19" i="14"/>
  <c r="BK19" i="14"/>
  <c r="BL19" i="14"/>
  <c r="BP19" i="14" s="1"/>
  <c r="BT19" i="14"/>
  <c r="BU19" i="14"/>
  <c r="BV19" i="14"/>
  <c r="BZ19" i="14"/>
  <c r="CD19" i="14"/>
  <c r="CE19" i="14"/>
  <c r="CF19" i="14"/>
  <c r="CJ19" i="14"/>
  <c r="CK19" i="14"/>
  <c r="CN19" i="14"/>
  <c r="CO19" i="14"/>
  <c r="CP19" i="14"/>
  <c r="CT19" i="14"/>
  <c r="CX19" i="14"/>
  <c r="CY19" i="14"/>
  <c r="CZ19" i="14"/>
  <c r="DD19" i="14"/>
  <c r="DH19" i="14"/>
  <c r="DI19" i="14"/>
  <c r="DJ19" i="14"/>
  <c r="DN19" i="14"/>
  <c r="DO19" i="14"/>
  <c r="DR19" i="14"/>
  <c r="DS19" i="14"/>
  <c r="DT19" i="14"/>
  <c r="DX19" i="14" s="1"/>
  <c r="H20" i="14"/>
  <c r="L20" i="14"/>
  <c r="M20" i="14"/>
  <c r="N20" i="14"/>
  <c r="R20" i="14" s="1"/>
  <c r="V20" i="14"/>
  <c r="W20" i="14"/>
  <c r="X20" i="14"/>
  <c r="AB20" i="14" s="1"/>
  <c r="AC20" i="14"/>
  <c r="AF20" i="14"/>
  <c r="EB20" i="14" s="1"/>
  <c r="AG20" i="14"/>
  <c r="AH20" i="14"/>
  <c r="AL20" i="14" s="1"/>
  <c r="AP20" i="14"/>
  <c r="AQ20" i="14"/>
  <c r="EC20" i="14" s="1"/>
  <c r="AR20" i="14"/>
  <c r="AV20" i="14" s="1"/>
  <c r="AU20" i="14"/>
  <c r="EG20" i="14" s="1"/>
  <c r="AZ20" i="14"/>
  <c r="BA20" i="14"/>
  <c r="BB20" i="14"/>
  <c r="BF20" i="14" s="1"/>
  <c r="BJ20" i="14"/>
  <c r="BK20" i="14"/>
  <c r="BL20" i="14"/>
  <c r="BP20" i="14" s="1"/>
  <c r="BT20" i="14"/>
  <c r="BU20" i="14"/>
  <c r="BV20" i="14"/>
  <c r="BZ20" i="14" s="1"/>
  <c r="CD20" i="14"/>
  <c r="CE20" i="14"/>
  <c r="CF20" i="14"/>
  <c r="CJ20" i="14" s="1"/>
  <c r="CN20" i="14"/>
  <c r="CO20" i="14"/>
  <c r="CP20" i="14"/>
  <c r="CT20" i="14" s="1"/>
  <c r="CX20" i="14"/>
  <c r="CY20" i="14"/>
  <c r="CZ20" i="14"/>
  <c r="DD20" i="14" s="1"/>
  <c r="DH20" i="14"/>
  <c r="DI20" i="14"/>
  <c r="DJ20" i="14"/>
  <c r="DN20" i="14" s="1"/>
  <c r="DR20" i="14"/>
  <c r="DS20" i="14"/>
  <c r="DT20" i="14"/>
  <c r="DX20" i="14" s="1"/>
  <c r="H21" i="14"/>
  <c r="L21" i="14"/>
  <c r="EB21" i="14" s="1"/>
  <c r="M21" i="14"/>
  <c r="N21" i="14"/>
  <c r="R21" i="14" s="1"/>
  <c r="V21" i="14"/>
  <c r="W21" i="14"/>
  <c r="EC21" i="14" s="1"/>
  <c r="X21" i="14"/>
  <c r="AB21" i="14" s="1"/>
  <c r="AF21" i="14"/>
  <c r="AG21" i="14"/>
  <c r="AH21" i="14"/>
  <c r="AP21" i="14"/>
  <c r="AQ21" i="14"/>
  <c r="AR21" i="14"/>
  <c r="AU21" i="14"/>
  <c r="EG21" i="14"/>
  <c r="AV21" i="14"/>
  <c r="AZ21" i="14"/>
  <c r="BA21" i="14"/>
  <c r="BB21" i="14"/>
  <c r="BF21" i="14" s="1"/>
  <c r="BJ21" i="14"/>
  <c r="BK21" i="14"/>
  <c r="BL21" i="14"/>
  <c r="BP21" i="14" s="1"/>
  <c r="BT21" i="14"/>
  <c r="BU21" i="14"/>
  <c r="BV21" i="14"/>
  <c r="BZ21" i="14" s="1"/>
  <c r="CD21" i="14"/>
  <c r="CE21" i="14"/>
  <c r="CF21" i="14"/>
  <c r="CJ21" i="14" s="1"/>
  <c r="CN21" i="14"/>
  <c r="CO21" i="14"/>
  <c r="CP21" i="14"/>
  <c r="CT21" i="14" s="1"/>
  <c r="CX21" i="14"/>
  <c r="CY21" i="14"/>
  <c r="CZ21" i="14"/>
  <c r="DD21" i="14" s="1"/>
  <c r="DH21" i="14"/>
  <c r="DI21" i="14"/>
  <c r="DJ21" i="14"/>
  <c r="DN21" i="14" s="1"/>
  <c r="DR21" i="14"/>
  <c r="DS21" i="14"/>
  <c r="DT21" i="14"/>
  <c r="DX21" i="14" s="1"/>
  <c r="H22" i="14"/>
  <c r="AC22" i="14" s="1"/>
  <c r="L22" i="14"/>
  <c r="M22" i="14"/>
  <c r="N22" i="14"/>
  <c r="R22" i="14" s="1"/>
  <c r="V22" i="14"/>
  <c r="W22" i="14"/>
  <c r="X22" i="14"/>
  <c r="AB22" i="14" s="1"/>
  <c r="EO18" i="14" s="1"/>
  <c r="AF22" i="14"/>
  <c r="AG22" i="14"/>
  <c r="AH22" i="14"/>
  <c r="AL22" i="14" s="1"/>
  <c r="AP22" i="14"/>
  <c r="AQ22" i="14"/>
  <c r="AR22" i="14"/>
  <c r="AU22" i="14"/>
  <c r="EG22" i="14"/>
  <c r="AZ22" i="14"/>
  <c r="BA22" i="14"/>
  <c r="BB22" i="14"/>
  <c r="BF22" i="14"/>
  <c r="ER18" i="14"/>
  <c r="BJ22" i="14"/>
  <c r="BK22" i="14"/>
  <c r="BL22" i="14"/>
  <c r="BP22" i="14"/>
  <c r="ES18" i="14" s="1"/>
  <c r="BT22" i="14"/>
  <c r="BU22" i="14"/>
  <c r="BV22" i="14"/>
  <c r="BZ22" i="14" s="1"/>
  <c r="ET18" i="14" s="1"/>
  <c r="CD22" i="14"/>
  <c r="CE22" i="14"/>
  <c r="CF22" i="14"/>
  <c r="CJ22" i="14" s="1"/>
  <c r="EU18" i="14" s="1"/>
  <c r="CN22" i="14"/>
  <c r="CO22" i="14"/>
  <c r="CP22" i="14"/>
  <c r="CT22" i="14"/>
  <c r="EV18" i="14"/>
  <c r="CX22" i="14"/>
  <c r="CY22" i="14"/>
  <c r="CZ22" i="14"/>
  <c r="DD22" i="14"/>
  <c r="EW18" i="14" s="1"/>
  <c r="DH22" i="14"/>
  <c r="DI22" i="14"/>
  <c r="DJ22" i="14"/>
  <c r="DN22" i="14" s="1"/>
  <c r="EX18" i="14" s="1"/>
  <c r="DR22" i="14"/>
  <c r="DS22" i="14"/>
  <c r="DT22" i="14"/>
  <c r="DX22" i="14" s="1"/>
  <c r="EY18" i="14"/>
  <c r="H23" i="14"/>
  <c r="L23" i="14"/>
  <c r="M23" i="14"/>
  <c r="N23" i="14"/>
  <c r="R23" i="14" s="1"/>
  <c r="EN19" i="14"/>
  <c r="V23" i="14"/>
  <c r="W23" i="14"/>
  <c r="X23" i="14"/>
  <c r="AB23" i="14"/>
  <c r="AF23" i="14"/>
  <c r="AG23" i="14"/>
  <c r="AH23" i="14"/>
  <c r="AL23" i="14" s="1"/>
  <c r="EP19" i="14" s="1"/>
  <c r="AP23" i="14"/>
  <c r="AQ23" i="14"/>
  <c r="AR23" i="14"/>
  <c r="AV23" i="14" s="1"/>
  <c r="EQ19" i="14"/>
  <c r="AU23" i="14"/>
  <c r="EG23" i="14" s="1"/>
  <c r="AZ23" i="14"/>
  <c r="BA23" i="14"/>
  <c r="BB23" i="14"/>
  <c r="BF23" i="14" s="1"/>
  <c r="ER19" i="14" s="1"/>
  <c r="BJ23" i="14"/>
  <c r="BK23" i="14"/>
  <c r="BL23" i="14"/>
  <c r="BP23" i="14" s="1"/>
  <c r="ES19" i="14"/>
  <c r="BT23" i="14"/>
  <c r="BU23" i="14"/>
  <c r="BV23" i="14"/>
  <c r="BZ23" i="14"/>
  <c r="ET19" i="14"/>
  <c r="CD23" i="14"/>
  <c r="CE23" i="14"/>
  <c r="CF23" i="14"/>
  <c r="CJ23" i="14"/>
  <c r="EU19" i="14" s="1"/>
  <c r="CN23" i="14"/>
  <c r="CO23" i="14"/>
  <c r="CP23" i="14"/>
  <c r="CT23" i="14" s="1"/>
  <c r="EV19" i="14" s="1"/>
  <c r="CX23" i="14"/>
  <c r="CY23" i="14"/>
  <c r="CZ23" i="14"/>
  <c r="DD23" i="14" s="1"/>
  <c r="EW19" i="14"/>
  <c r="DH23" i="14"/>
  <c r="DI23" i="14"/>
  <c r="DJ23" i="14"/>
  <c r="DN23" i="14"/>
  <c r="EX19" i="14"/>
  <c r="DR23" i="14"/>
  <c r="DS23" i="14"/>
  <c r="DT23" i="14"/>
  <c r="DX23" i="14"/>
  <c r="EY19" i="14" s="1"/>
  <c r="H24" i="14"/>
  <c r="L24" i="14"/>
  <c r="M24" i="14"/>
  <c r="N24" i="14"/>
  <c r="R24" i="14" s="1"/>
  <c r="V24" i="14"/>
  <c r="W24" i="14"/>
  <c r="X24" i="14"/>
  <c r="AB24" i="14" s="1"/>
  <c r="AC24" i="14"/>
  <c r="AF24" i="14"/>
  <c r="AG24" i="14"/>
  <c r="AH24" i="14"/>
  <c r="AL24" i="14"/>
  <c r="AP24" i="14"/>
  <c r="AQ24" i="14"/>
  <c r="AR24" i="14"/>
  <c r="AU24" i="14"/>
  <c r="EG24" i="14" s="1"/>
  <c r="AV24" i="14"/>
  <c r="AZ24" i="14"/>
  <c r="BA24" i="14"/>
  <c r="BB24" i="14"/>
  <c r="BF24" i="14" s="1"/>
  <c r="BJ24" i="14"/>
  <c r="BK24" i="14"/>
  <c r="BL24" i="14"/>
  <c r="BT24" i="14"/>
  <c r="BU24" i="14"/>
  <c r="BV24" i="14"/>
  <c r="BZ24" i="14" s="1"/>
  <c r="CD24" i="14"/>
  <c r="CE24" i="14"/>
  <c r="CF24" i="14"/>
  <c r="CJ24" i="14" s="1"/>
  <c r="CN24" i="14"/>
  <c r="CO24" i="14"/>
  <c r="CP24" i="14"/>
  <c r="CT24" i="14" s="1"/>
  <c r="CX24" i="14"/>
  <c r="CY24" i="14"/>
  <c r="CZ24" i="14"/>
  <c r="DD24" i="14" s="1"/>
  <c r="DH24" i="14"/>
  <c r="DI24" i="14"/>
  <c r="DJ24" i="14"/>
  <c r="DN24" i="14" s="1"/>
  <c r="DR24" i="14"/>
  <c r="DS24" i="14"/>
  <c r="DT24" i="14"/>
  <c r="DX24" i="14" s="1"/>
  <c r="H25" i="14"/>
  <c r="L25" i="14"/>
  <c r="EB25" i="14" s="1"/>
  <c r="M25" i="14"/>
  <c r="N25" i="14"/>
  <c r="R25" i="14" s="1"/>
  <c r="V25" i="14"/>
  <c r="W25" i="14"/>
  <c r="EC25" i="14" s="1"/>
  <c r="X25" i="14"/>
  <c r="AB25" i="14" s="1"/>
  <c r="AC25" i="14"/>
  <c r="AF25" i="14"/>
  <c r="AG25" i="14"/>
  <c r="AH25" i="14"/>
  <c r="AL25" i="14" s="1"/>
  <c r="AP25" i="14"/>
  <c r="AQ25" i="14"/>
  <c r="AR25" i="14"/>
  <c r="AU25" i="14"/>
  <c r="EG25" i="14"/>
  <c r="AV25" i="14"/>
  <c r="AZ25" i="14"/>
  <c r="BA25" i="14"/>
  <c r="BB25" i="14"/>
  <c r="BF25" i="14"/>
  <c r="BJ25" i="14"/>
  <c r="BK25" i="14"/>
  <c r="BL25" i="14"/>
  <c r="BP25" i="14"/>
  <c r="BT25" i="14"/>
  <c r="BU25" i="14"/>
  <c r="BV25" i="14"/>
  <c r="BZ25" i="14"/>
  <c r="CD25" i="14"/>
  <c r="CE25" i="14"/>
  <c r="CF25" i="14"/>
  <c r="CJ25" i="14"/>
  <c r="CN25" i="14"/>
  <c r="CO25" i="14"/>
  <c r="CP25" i="14"/>
  <c r="CT25" i="14"/>
  <c r="CX25" i="14"/>
  <c r="CY25" i="14"/>
  <c r="CZ25" i="14"/>
  <c r="DD25" i="14"/>
  <c r="DH25" i="14"/>
  <c r="DI25" i="14"/>
  <c r="DJ25" i="14"/>
  <c r="DN25" i="14"/>
  <c r="DR25" i="14"/>
  <c r="DS25" i="14"/>
  <c r="DT25" i="14"/>
  <c r="DX25" i="14"/>
  <c r="H26" i="14"/>
  <c r="L26" i="14"/>
  <c r="M26" i="14"/>
  <c r="N26" i="14"/>
  <c r="R26" i="14" s="1"/>
  <c r="V26" i="14"/>
  <c r="W26" i="14"/>
  <c r="X26" i="14"/>
  <c r="AB26" i="14"/>
  <c r="AC26" i="14"/>
  <c r="AF26" i="14"/>
  <c r="AG26" i="14"/>
  <c r="AH26" i="14"/>
  <c r="AL26" i="14" s="1"/>
  <c r="AP26" i="14"/>
  <c r="AQ26" i="14"/>
  <c r="AR26" i="14"/>
  <c r="AV26" i="14" s="1"/>
  <c r="AU26" i="14"/>
  <c r="AZ26" i="14"/>
  <c r="EB26" i="14" s="1"/>
  <c r="BA26" i="14"/>
  <c r="BB26" i="14"/>
  <c r="BF26" i="14" s="1"/>
  <c r="BJ26" i="14"/>
  <c r="BK26" i="14"/>
  <c r="BL26" i="14"/>
  <c r="BP26" i="14" s="1"/>
  <c r="BT26" i="14"/>
  <c r="BU26" i="14"/>
  <c r="BV26" i="14"/>
  <c r="BZ26" i="14" s="1"/>
  <c r="EH26" i="14" s="1"/>
  <c r="CD26" i="14"/>
  <c r="CE26" i="14"/>
  <c r="CF26" i="14"/>
  <c r="CJ26" i="14" s="1"/>
  <c r="CN26" i="14"/>
  <c r="CO26" i="14"/>
  <c r="CP26" i="14"/>
  <c r="CT26" i="14" s="1"/>
  <c r="CX26" i="14"/>
  <c r="CY26" i="14"/>
  <c r="CZ26" i="14"/>
  <c r="DD26" i="14" s="1"/>
  <c r="DH26" i="14"/>
  <c r="DI26" i="14"/>
  <c r="DJ26" i="14"/>
  <c r="DN26" i="14"/>
  <c r="DR26" i="14"/>
  <c r="DS26" i="14"/>
  <c r="DT26" i="14"/>
  <c r="DX26" i="14"/>
  <c r="EG26" i="14"/>
  <c r="H27" i="14"/>
  <c r="L27" i="14"/>
  <c r="M27" i="14"/>
  <c r="N27" i="14"/>
  <c r="R27" i="14" s="1"/>
  <c r="V27" i="14"/>
  <c r="W27" i="14"/>
  <c r="X27" i="14"/>
  <c r="AB27" i="14" s="1"/>
  <c r="AF27" i="14"/>
  <c r="AG27" i="14"/>
  <c r="AH27" i="14"/>
  <c r="AL27" i="14" s="1"/>
  <c r="AP27" i="14"/>
  <c r="AQ27" i="14"/>
  <c r="AR27" i="14"/>
  <c r="AV27" i="14" s="1"/>
  <c r="AU27" i="14"/>
  <c r="AZ27" i="14"/>
  <c r="BA27" i="14"/>
  <c r="BB27" i="14"/>
  <c r="BF27" i="14" s="1"/>
  <c r="BJ27" i="14"/>
  <c r="BK27" i="14"/>
  <c r="EC27" i="14"/>
  <c r="BL27" i="14"/>
  <c r="BP27" i="14" s="1"/>
  <c r="BT27" i="14"/>
  <c r="BU27" i="14"/>
  <c r="BV27" i="14"/>
  <c r="BZ27" i="14" s="1"/>
  <c r="CD27" i="14"/>
  <c r="CE27" i="14"/>
  <c r="CF27" i="14"/>
  <c r="CJ27" i="14" s="1"/>
  <c r="CN27" i="14"/>
  <c r="CO27" i="14"/>
  <c r="CP27" i="14"/>
  <c r="CT27" i="14" s="1"/>
  <c r="CU27" i="14"/>
  <c r="CX27" i="14"/>
  <c r="CY27" i="14"/>
  <c r="CZ27" i="14"/>
  <c r="DD27" i="14"/>
  <c r="DH27" i="14"/>
  <c r="DI27" i="14"/>
  <c r="DJ27" i="14"/>
  <c r="DN27" i="14"/>
  <c r="DR27" i="14"/>
  <c r="DS27" i="14"/>
  <c r="DT27" i="14"/>
  <c r="DX27" i="14"/>
  <c r="EG27" i="14"/>
  <c r="H28" i="14"/>
  <c r="L28" i="14"/>
  <c r="M28" i="14"/>
  <c r="N28" i="14"/>
  <c r="R28" i="14" s="1"/>
  <c r="V28" i="14"/>
  <c r="W28" i="14"/>
  <c r="X28" i="14"/>
  <c r="AB28" i="14"/>
  <c r="AF28" i="14"/>
  <c r="AG28" i="14"/>
  <c r="AH28" i="14"/>
  <c r="AP28" i="14"/>
  <c r="AQ28" i="14"/>
  <c r="AR28" i="14"/>
  <c r="AV28" i="14"/>
  <c r="AU28" i="14"/>
  <c r="EG28" i="14" s="1"/>
  <c r="AZ28" i="14"/>
  <c r="BA28" i="14"/>
  <c r="BB28" i="14"/>
  <c r="BF28" i="14"/>
  <c r="BJ28" i="14"/>
  <c r="BK28" i="14"/>
  <c r="BL28" i="14"/>
  <c r="BP28" i="14"/>
  <c r="BT28" i="14"/>
  <c r="BU28" i="14"/>
  <c r="BV28" i="14"/>
  <c r="BZ28" i="14"/>
  <c r="CD28" i="14"/>
  <c r="CE28" i="14"/>
  <c r="CF28" i="14"/>
  <c r="CJ28" i="14" s="1"/>
  <c r="CN28" i="14"/>
  <c r="CO28" i="14"/>
  <c r="CP28" i="14"/>
  <c r="CT28" i="14" s="1"/>
  <c r="CX28" i="14"/>
  <c r="CY28" i="14"/>
  <c r="CZ28" i="14"/>
  <c r="DD28" i="14" s="1"/>
  <c r="DH28" i="14"/>
  <c r="DI28" i="14"/>
  <c r="EC28" i="14" s="1"/>
  <c r="DJ28" i="14"/>
  <c r="DN28" i="14" s="1"/>
  <c r="DR28" i="14"/>
  <c r="DS28" i="14"/>
  <c r="DT28" i="14"/>
  <c r="DX28" i="14" s="1"/>
  <c r="H29" i="14"/>
  <c r="AC29" i="14" s="1"/>
  <c r="CK29" i="14"/>
  <c r="DE29" i="14"/>
  <c r="EP29" i="14"/>
  <c r="H30" i="14"/>
  <c r="V30" i="14"/>
  <c r="W30" i="14"/>
  <c r="X30" i="14"/>
  <c r="AB30" i="14"/>
  <c r="AF30" i="14"/>
  <c r="AG30" i="14"/>
  <c r="AH30" i="14"/>
  <c r="AL30" i="14"/>
  <c r="AM30" i="14"/>
  <c r="AP30" i="14"/>
  <c r="AQ30" i="14"/>
  <c r="AR30" i="14"/>
  <c r="AV30" i="14"/>
  <c r="AU30" i="14"/>
  <c r="AZ30" i="14"/>
  <c r="BA30" i="14"/>
  <c r="BB30" i="14"/>
  <c r="BF30" i="14" s="1"/>
  <c r="BJ30" i="14"/>
  <c r="BK30" i="14"/>
  <c r="BL30" i="14"/>
  <c r="BP30" i="14" s="1"/>
  <c r="BT30" i="14"/>
  <c r="BU30" i="14"/>
  <c r="BV30" i="14"/>
  <c r="BZ30" i="14" s="1"/>
  <c r="CD30" i="14"/>
  <c r="CE30" i="14"/>
  <c r="CF30" i="14"/>
  <c r="CJ30" i="14" s="1"/>
  <c r="CK30" i="14"/>
  <c r="CN30" i="14"/>
  <c r="CO30" i="14"/>
  <c r="CP30" i="14"/>
  <c r="CT30" i="14"/>
  <c r="CS30" i="14"/>
  <c r="CX30" i="14"/>
  <c r="CY30" i="14"/>
  <c r="CZ30" i="14"/>
  <c r="DD30" i="14" s="1"/>
  <c r="DC30" i="14"/>
  <c r="DE30" i="14"/>
  <c r="DH30" i="14"/>
  <c r="DI30" i="14"/>
  <c r="DJ30" i="14"/>
  <c r="DN30" i="14"/>
  <c r="DR30" i="14"/>
  <c r="DS30" i="14"/>
  <c r="DT30" i="14"/>
  <c r="DX30" i="14"/>
  <c r="EO30" i="14"/>
  <c r="EP32" i="14"/>
  <c r="H33" i="14"/>
  <c r="L33" i="14"/>
  <c r="M33" i="14"/>
  <c r="N33" i="14"/>
  <c r="O33" i="14"/>
  <c r="P33" i="14"/>
  <c r="Q33" i="14"/>
  <c r="EG33" i="14" s="1"/>
  <c r="S33" i="14"/>
  <c r="V33" i="14"/>
  <c r="W33" i="14"/>
  <c r="X33" i="14"/>
  <c r="AB33" i="14" s="1"/>
  <c r="Y33" i="14"/>
  <c r="AA33" i="14"/>
  <c r="AF33" i="14"/>
  <c r="AG33" i="14"/>
  <c r="AH33" i="14"/>
  <c r="AI33" i="14"/>
  <c r="AJ33" i="14"/>
  <c r="AL33" i="14" s="1"/>
  <c r="AK33" i="14"/>
  <c r="AP33" i="14"/>
  <c r="AQ33" i="14"/>
  <c r="AR33" i="14"/>
  <c r="AV33" i="14" s="1"/>
  <c r="AS33" i="14"/>
  <c r="AU33" i="14"/>
  <c r="AZ33" i="14"/>
  <c r="BA33" i="14"/>
  <c r="BB33" i="14"/>
  <c r="BC33" i="14"/>
  <c r="BF33" i="14" s="1"/>
  <c r="BE33" i="14"/>
  <c r="BJ33" i="14"/>
  <c r="BK33" i="14"/>
  <c r="BL33" i="14"/>
  <c r="BP33" i="14" s="1"/>
  <c r="BM33" i="14"/>
  <c r="BO33" i="14"/>
  <c r="BT33" i="14"/>
  <c r="BU33" i="14"/>
  <c r="BV33" i="14"/>
  <c r="BW33" i="14"/>
  <c r="BX33" i="14"/>
  <c r="BZ33" i="14" s="1"/>
  <c r="BY33" i="14"/>
  <c r="CD33" i="14"/>
  <c r="CE33" i="14"/>
  <c r="CF33" i="14"/>
  <c r="ED33" i="14" s="1"/>
  <c r="CG33" i="14"/>
  <c r="CH33" i="14"/>
  <c r="CI33" i="14"/>
  <c r="CK33" i="14"/>
  <c r="CN33" i="14"/>
  <c r="CO33" i="14"/>
  <c r="CP33" i="14"/>
  <c r="CQ33" i="14"/>
  <c r="CT33" i="14" s="1"/>
  <c r="CR33" i="14"/>
  <c r="CS33" i="14"/>
  <c r="CX33" i="14"/>
  <c r="EB33" i="14"/>
  <c r="CY33" i="14"/>
  <c r="CZ33" i="14"/>
  <c r="DA33" i="14"/>
  <c r="DB33" i="14"/>
  <c r="DD33" i="14" s="1"/>
  <c r="DC33" i="14"/>
  <c r="DE33" i="14"/>
  <c r="DH33" i="14"/>
  <c r="DI33" i="14"/>
  <c r="DJ33" i="14"/>
  <c r="DN33" i="14"/>
  <c r="DR33" i="14"/>
  <c r="DS33" i="14"/>
  <c r="DT33" i="14"/>
  <c r="DX33" i="14"/>
  <c r="H34" i="14"/>
  <c r="AM34" i="14" s="1"/>
  <c r="L34" i="14"/>
  <c r="M34" i="14"/>
  <c r="N34" i="14"/>
  <c r="R34" i="14" s="1"/>
  <c r="O34" i="14"/>
  <c r="Q34" i="14"/>
  <c r="V34" i="14"/>
  <c r="W34" i="14"/>
  <c r="X34" i="14"/>
  <c r="Y34" i="14"/>
  <c r="AA34" i="14"/>
  <c r="AF34" i="14"/>
  <c r="EB34" i="14" s="1"/>
  <c r="AG34" i="14"/>
  <c r="AH34" i="14"/>
  <c r="AI34" i="14"/>
  <c r="AJ34" i="14"/>
  <c r="AK34" i="14"/>
  <c r="AP34" i="14"/>
  <c r="AQ34" i="14"/>
  <c r="AR34" i="14"/>
  <c r="AV34" i="14" s="1"/>
  <c r="AS34" i="14"/>
  <c r="AU34" i="14"/>
  <c r="AZ34" i="14"/>
  <c r="BA34" i="14"/>
  <c r="BB34" i="14"/>
  <c r="BC34" i="14"/>
  <c r="BF34" i="14" s="1"/>
  <c r="EH34" i="14" s="1"/>
  <c r="BE34" i="14"/>
  <c r="BJ34" i="14"/>
  <c r="BK34" i="14"/>
  <c r="BL34" i="14"/>
  <c r="BP34" i="14" s="1"/>
  <c r="BM34" i="14"/>
  <c r="BO34" i="14"/>
  <c r="BT34" i="14"/>
  <c r="BU34" i="14"/>
  <c r="BV34" i="14"/>
  <c r="BW34" i="14"/>
  <c r="BX34" i="14"/>
  <c r="BY34" i="14"/>
  <c r="CD34" i="14"/>
  <c r="CE34" i="14"/>
  <c r="CF34" i="14"/>
  <c r="CG34" i="14"/>
  <c r="CH34" i="14"/>
  <c r="CI34" i="14"/>
  <c r="CN34" i="14"/>
  <c r="CO34" i="14"/>
  <c r="CP34" i="14"/>
  <c r="CQ34" i="14"/>
  <c r="CR34" i="14"/>
  <c r="CS34" i="14"/>
  <c r="CX34" i="14"/>
  <c r="CY34" i="14"/>
  <c r="CZ34" i="14"/>
  <c r="DA34" i="14"/>
  <c r="DB34" i="14"/>
  <c r="DC34" i="14"/>
  <c r="DE34" i="14"/>
  <c r="DH34" i="14"/>
  <c r="DI34" i="14"/>
  <c r="DJ34" i="14"/>
  <c r="DN34" i="14"/>
  <c r="DR34" i="14"/>
  <c r="DS34" i="14"/>
  <c r="DT34" i="14"/>
  <c r="DX34" i="14"/>
  <c r="C11" i="1"/>
  <c r="D11" i="1"/>
  <c r="J11" i="1"/>
  <c r="M11" i="1"/>
  <c r="DS11" i="1" s="1"/>
  <c r="N11" i="1"/>
  <c r="V10" i="14"/>
  <c r="T11" i="1"/>
  <c r="AD11" i="1"/>
  <c r="AN11" i="1"/>
  <c r="AX11" i="1"/>
  <c r="BH11" i="1"/>
  <c r="CV11" i="1"/>
  <c r="DW11" i="1"/>
  <c r="C12" i="1"/>
  <c r="D12" i="1"/>
  <c r="L12" i="14" s="1"/>
  <c r="E12" i="1"/>
  <c r="M12" i="14"/>
  <c r="M12" i="1"/>
  <c r="DS12" i="1" s="1"/>
  <c r="N12" i="1"/>
  <c r="V12" i="14"/>
  <c r="O12" i="1"/>
  <c r="AD12" i="1"/>
  <c r="AN12" i="1"/>
  <c r="AQ12" i="1"/>
  <c r="AR12" i="1"/>
  <c r="AZ12" i="14"/>
  <c r="EB12" i="14"/>
  <c r="AS12" i="1"/>
  <c r="BA12" i="14" s="1"/>
  <c r="BH12" i="1"/>
  <c r="CV12" i="1"/>
  <c r="DW12" i="1"/>
  <c r="C14" i="1"/>
  <c r="J14" i="1"/>
  <c r="M14" i="1"/>
  <c r="DS14" i="1" s="1"/>
  <c r="N14" i="1"/>
  <c r="V13" i="14"/>
  <c r="T14" i="1"/>
  <c r="AD14" i="1"/>
  <c r="DT12" i="1" s="1"/>
  <c r="AN14" i="1"/>
  <c r="AQ14" i="1"/>
  <c r="AR14" i="1"/>
  <c r="AZ13" i="14" s="1"/>
  <c r="AS14" i="1"/>
  <c r="BA13" i="14"/>
  <c r="BH14" i="1"/>
  <c r="CV14" i="1"/>
  <c r="DW14" i="1"/>
  <c r="C15" i="1"/>
  <c r="DS15" i="1" s="1"/>
  <c r="D15" i="1"/>
  <c r="L14" i="14"/>
  <c r="J15" i="1"/>
  <c r="M15" i="1"/>
  <c r="N15" i="1"/>
  <c r="V14" i="14"/>
  <c r="EB14" i="14"/>
  <c r="O15" i="1"/>
  <c r="T15" i="1" s="1"/>
  <c r="AD15" i="1"/>
  <c r="AN15" i="1"/>
  <c r="AQ15" i="1"/>
  <c r="AZ14" i="14"/>
  <c r="AS15" i="1"/>
  <c r="BA14" i="14"/>
  <c r="AU15" i="1"/>
  <c r="BB14" i="14" s="1"/>
  <c r="BH15" i="1"/>
  <c r="CV15" i="1"/>
  <c r="DW15" i="1"/>
  <c r="C17" i="1"/>
  <c r="D17" i="1"/>
  <c r="L15" i="14"/>
  <c r="J17" i="1"/>
  <c r="M17" i="1"/>
  <c r="N17" i="1"/>
  <c r="V15" i="14"/>
  <c r="O17" i="1"/>
  <c r="W15" i="14" s="1"/>
  <c r="EC15" i="14" s="1"/>
  <c r="T17" i="1"/>
  <c r="AD17" i="1"/>
  <c r="AN17" i="1"/>
  <c r="AQ17" i="1"/>
  <c r="AR17" i="1"/>
  <c r="AS17" i="1"/>
  <c r="BA15" i="14"/>
  <c r="AX17" i="1"/>
  <c r="BH17" i="1"/>
  <c r="CV17" i="1"/>
  <c r="DW17" i="1"/>
  <c r="J18" i="1"/>
  <c r="BH18" i="1"/>
  <c r="CV18" i="1"/>
  <c r="DS18" i="1"/>
  <c r="DT18" i="1"/>
  <c r="DU18" i="1"/>
  <c r="DW18" i="1"/>
  <c r="AX19" i="1"/>
  <c r="DS19" i="1"/>
  <c r="DT19" i="1"/>
  <c r="DU19" i="1"/>
  <c r="DW19" i="1"/>
  <c r="D20" i="1"/>
  <c r="L17" i="14" s="1"/>
  <c r="EB17" i="14" s="1"/>
  <c r="E20" i="1"/>
  <c r="M17" i="14"/>
  <c r="F20" i="1"/>
  <c r="G20" i="1"/>
  <c r="N17" i="14" s="1"/>
  <c r="R17" i="14" s="1"/>
  <c r="EH17" i="14" s="1"/>
  <c r="H20" i="1"/>
  <c r="I20" i="1"/>
  <c r="M20" i="1"/>
  <c r="N20" i="1"/>
  <c r="V17" i="14"/>
  <c r="O20" i="1"/>
  <c r="W17" i="14" s="1"/>
  <c r="P20" i="1"/>
  <c r="Q20" i="1"/>
  <c r="X17" i="14"/>
  <c r="AB17" i="14" s="1"/>
  <c r="R20" i="1"/>
  <c r="S20" i="1"/>
  <c r="W20" i="1"/>
  <c r="X20" i="1"/>
  <c r="AF17" i="14" s="1"/>
  <c r="Y20" i="1"/>
  <c r="AG17" i="14"/>
  <c r="Z20" i="1"/>
  <c r="AA20" i="1"/>
  <c r="AH17" i="14"/>
  <c r="AL17" i="14"/>
  <c r="AG20" i="1"/>
  <c r="AH20" i="1"/>
  <c r="AP17" i="14"/>
  <c r="AI20" i="1"/>
  <c r="AQ17" i="14" s="1"/>
  <c r="AJ20" i="1"/>
  <c r="AU17" i="14" s="1"/>
  <c r="EG17" i="14" s="1"/>
  <c r="AK20" i="1"/>
  <c r="AR17" i="14" s="1"/>
  <c r="AV17" i="14" s="1"/>
  <c r="AL20" i="1"/>
  <c r="AM20" i="1"/>
  <c r="AQ20" i="1"/>
  <c r="AR20" i="1"/>
  <c r="AZ17" i="14"/>
  <c r="AS20" i="1"/>
  <c r="AT20" i="1"/>
  <c r="AU20" i="1"/>
  <c r="BB17" i="14"/>
  <c r="BF17" i="14" s="1"/>
  <c r="AV20" i="1"/>
  <c r="AW20" i="1"/>
  <c r="BA20" i="1"/>
  <c r="BB20" i="1"/>
  <c r="BJ17" i="14" s="1"/>
  <c r="BC20" i="1"/>
  <c r="BD20" i="1"/>
  <c r="BE20" i="1"/>
  <c r="BL17" i="14" s="1"/>
  <c r="BP17" i="14" s="1"/>
  <c r="BF20" i="1"/>
  <c r="BG20" i="1"/>
  <c r="BK20" i="1"/>
  <c r="BL20" i="1"/>
  <c r="BT17" i="14"/>
  <c r="BM20" i="1"/>
  <c r="BU17" i="14" s="1"/>
  <c r="BN20" i="1"/>
  <c r="BO20" i="1"/>
  <c r="BV17" i="14"/>
  <c r="BP20" i="1"/>
  <c r="BQ20" i="1"/>
  <c r="BU20" i="1"/>
  <c r="BV20" i="1"/>
  <c r="CD17" i="14" s="1"/>
  <c r="BW20" i="1"/>
  <c r="BX20" i="1"/>
  <c r="BY20" i="1"/>
  <c r="CF17" i="14" s="1"/>
  <c r="CJ17" i="14" s="1"/>
  <c r="BZ20" i="1"/>
  <c r="CA20" i="1"/>
  <c r="CE20" i="1"/>
  <c r="CF20" i="1"/>
  <c r="CN17" i="14"/>
  <c r="CG20" i="1"/>
  <c r="CH20" i="1"/>
  <c r="CI20" i="1"/>
  <c r="CP17" i="14"/>
  <c r="CT17" i="14" s="1"/>
  <c r="CJ20" i="1"/>
  <c r="CK20" i="1"/>
  <c r="CO20" i="1"/>
  <c r="CP20" i="1"/>
  <c r="CX17" i="14" s="1"/>
  <c r="CQ20" i="1"/>
  <c r="CY17" i="14"/>
  <c r="CR20" i="1"/>
  <c r="CS20" i="1"/>
  <c r="CZ17" i="14"/>
  <c r="DD17" i="14"/>
  <c r="CT20" i="1"/>
  <c r="CU20" i="1"/>
  <c r="CY20" i="1"/>
  <c r="CZ20" i="1"/>
  <c r="DH17" i="14" s="1"/>
  <c r="DA20" i="1"/>
  <c r="DI17" i="14"/>
  <c r="DB20" i="1"/>
  <c r="DC20" i="1"/>
  <c r="DJ17" i="14"/>
  <c r="DN17" i="14"/>
  <c r="DD20" i="1"/>
  <c r="DE20" i="1"/>
  <c r="DI20" i="1"/>
  <c r="DJ20" i="1"/>
  <c r="DR17" i="14" s="1"/>
  <c r="DK20" i="1"/>
  <c r="DS17" i="14"/>
  <c r="DL20" i="1"/>
  <c r="DM20" i="1"/>
  <c r="DT17" i="14" s="1"/>
  <c r="DX17" i="14" s="1"/>
  <c r="DN20" i="1"/>
  <c r="DO20" i="1"/>
  <c r="J21" i="1"/>
  <c r="T21" i="1"/>
  <c r="AD21" i="1"/>
  <c r="AN21" i="1"/>
  <c r="AX21" i="1"/>
  <c r="BH21" i="1"/>
  <c r="CV21" i="1"/>
  <c r="CV20" i="1" s="1"/>
  <c r="DS21" i="1"/>
  <c r="DT21" i="1"/>
  <c r="DU21" i="1"/>
  <c r="DW21" i="1"/>
  <c r="DT22" i="1"/>
  <c r="DU22" i="1"/>
  <c r="DW22" i="1"/>
  <c r="DS23" i="1"/>
  <c r="DT23" i="1"/>
  <c r="DU23" i="1"/>
  <c r="DW23" i="1"/>
  <c r="T24" i="1"/>
  <c r="AN24" i="1"/>
  <c r="BH24" i="1"/>
  <c r="CV24" i="1"/>
  <c r="DS24" i="1"/>
  <c r="DT24" i="1"/>
  <c r="DU24" i="1"/>
  <c r="DW24" i="1"/>
  <c r="J25" i="1"/>
  <c r="T25" i="1"/>
  <c r="AD25" i="1"/>
  <c r="AX25" i="1"/>
  <c r="BH25" i="1"/>
  <c r="CV25" i="1"/>
  <c r="DS25" i="1"/>
  <c r="DT25" i="1"/>
  <c r="DU25" i="1"/>
  <c r="DW25" i="1"/>
  <c r="DS26" i="1"/>
  <c r="DT26" i="1"/>
  <c r="DU26" i="1"/>
  <c r="DW26" i="1"/>
  <c r="J27" i="1"/>
  <c r="T27" i="1"/>
  <c r="AD27" i="1"/>
  <c r="AN27" i="1"/>
  <c r="AX27" i="1"/>
  <c r="BH27" i="1"/>
  <c r="DS27" i="1"/>
  <c r="DT27" i="1"/>
  <c r="DU27" i="1"/>
  <c r="DW27" i="1"/>
  <c r="T28" i="1"/>
  <c r="AD28" i="1"/>
  <c r="BH28" i="1"/>
  <c r="DS28" i="1"/>
  <c r="DT28" i="1"/>
  <c r="DU28" i="1"/>
  <c r="DW28" i="1"/>
  <c r="DS32" i="1"/>
  <c r="DT32" i="1"/>
  <c r="DU32" i="1"/>
  <c r="DW32" i="1"/>
  <c r="J33" i="1"/>
  <c r="T33" i="1"/>
  <c r="AD33" i="1"/>
  <c r="AX33" i="1"/>
  <c r="BH33" i="1"/>
  <c r="CV33" i="1"/>
  <c r="DS33" i="1"/>
  <c r="DT33" i="1"/>
  <c r="DU33" i="1"/>
  <c r="DW33" i="1"/>
  <c r="J34" i="1"/>
  <c r="T34" i="1"/>
  <c r="AD34" i="1"/>
  <c r="AN34" i="1"/>
  <c r="AX34" i="1"/>
  <c r="BH34" i="1"/>
  <c r="CV34" i="1"/>
  <c r="DS34" i="1"/>
  <c r="DT34" i="1"/>
  <c r="DU34" i="1"/>
  <c r="DW34" i="1"/>
  <c r="J35" i="1"/>
  <c r="T35" i="1"/>
  <c r="AD35" i="1"/>
  <c r="AN35" i="1"/>
  <c r="AX35" i="1"/>
  <c r="BH35" i="1"/>
  <c r="CV35" i="1"/>
  <c r="DS35" i="1"/>
  <c r="DT35" i="1"/>
  <c r="DU35" i="1"/>
  <c r="DW35" i="1"/>
  <c r="J36" i="1"/>
  <c r="T36" i="1"/>
  <c r="AD36" i="1"/>
  <c r="BH36" i="1"/>
  <c r="CV36" i="1"/>
  <c r="DS36" i="1"/>
  <c r="DT36" i="1"/>
  <c r="DU36" i="1"/>
  <c r="DW36" i="1"/>
  <c r="J37" i="1"/>
  <c r="T37" i="1"/>
  <c r="AD37" i="1"/>
  <c r="AN37" i="1"/>
  <c r="AX37" i="1"/>
  <c r="BH37" i="1"/>
  <c r="CV37" i="1"/>
  <c r="DS37" i="1"/>
  <c r="DT37" i="1"/>
  <c r="DU37" i="1"/>
  <c r="DW37" i="1"/>
  <c r="J38" i="1"/>
  <c r="T38" i="1"/>
  <c r="AD38" i="1"/>
  <c r="AN38" i="1"/>
  <c r="AX38" i="1"/>
  <c r="BH38" i="1"/>
  <c r="CV38" i="1"/>
  <c r="DS38" i="1"/>
  <c r="DT38" i="1"/>
  <c r="DU38" i="1"/>
  <c r="DW38" i="1"/>
  <c r="J39" i="1"/>
  <c r="T39" i="1"/>
  <c r="AD39" i="1"/>
  <c r="AN39" i="1"/>
  <c r="AX39" i="1"/>
  <c r="BH39" i="1"/>
  <c r="CV39" i="1"/>
  <c r="DS39" i="1"/>
  <c r="DT39" i="1"/>
  <c r="DU39" i="1"/>
  <c r="DZ39" i="1" s="1"/>
  <c r="DW39" i="1"/>
  <c r="J40" i="1"/>
  <c r="T40" i="1"/>
  <c r="AD40" i="1"/>
  <c r="AN40" i="1"/>
  <c r="AX40" i="1"/>
  <c r="BH40" i="1"/>
  <c r="CV40" i="1"/>
  <c r="DS40" i="1"/>
  <c r="DT40" i="1"/>
  <c r="DU40" i="1"/>
  <c r="DW40" i="1"/>
  <c r="DZ40" i="1" s="1"/>
  <c r="DS41" i="1"/>
  <c r="DT41" i="1"/>
  <c r="DU41" i="1"/>
  <c r="DW41" i="1"/>
  <c r="DS42" i="1"/>
  <c r="DT42" i="1"/>
  <c r="DU42" i="1"/>
  <c r="DW42" i="1"/>
  <c r="DS43" i="1"/>
  <c r="DT43" i="1"/>
  <c r="DU43" i="1"/>
  <c r="DW43" i="1"/>
  <c r="C44" i="1"/>
  <c r="D44" i="1"/>
  <c r="L29" i="14"/>
  <c r="E44" i="1"/>
  <c r="J44" i="1" s="1"/>
  <c r="F44" i="1"/>
  <c r="G44" i="1"/>
  <c r="N29" i="14"/>
  <c r="H44" i="1"/>
  <c r="I44" i="1"/>
  <c r="M44" i="1"/>
  <c r="N44" i="1"/>
  <c r="V29" i="14" s="1"/>
  <c r="O44" i="1"/>
  <c r="W29" i="14"/>
  <c r="P44" i="1"/>
  <c r="Q44" i="1"/>
  <c r="T44" i="1"/>
  <c r="R44" i="1"/>
  <c r="DX44" i="1" s="1"/>
  <c r="S44" i="1"/>
  <c r="W44" i="1"/>
  <c r="X44" i="1"/>
  <c r="AF29" i="14" s="1"/>
  <c r="Y44" i="1"/>
  <c r="AG29" i="14"/>
  <c r="Z44" i="1"/>
  <c r="AK29" i="14" s="1"/>
  <c r="AA44" i="1"/>
  <c r="AH29" i="14"/>
  <c r="AL29" i="14" s="1"/>
  <c r="AG44" i="1"/>
  <c r="AH44" i="1"/>
  <c r="AP29" i="14"/>
  <c r="EB29" i="14" s="1"/>
  <c r="AI44" i="1"/>
  <c r="AQ29" i="14" s="1"/>
  <c r="AJ44" i="1"/>
  <c r="AU29" i="14"/>
  <c r="AK44" i="1"/>
  <c r="AR29" i="14" s="1"/>
  <c r="AV29" i="14" s="1"/>
  <c r="AL44" i="1"/>
  <c r="AM44" i="1"/>
  <c r="AQ44" i="1"/>
  <c r="AR44" i="1"/>
  <c r="AZ29" i="14"/>
  <c r="AS44" i="1"/>
  <c r="BA29" i="14" s="1"/>
  <c r="AT44" i="1"/>
  <c r="AU44" i="1"/>
  <c r="AV44" i="1"/>
  <c r="AW44" i="1"/>
  <c r="BA44" i="1"/>
  <c r="BB44" i="1"/>
  <c r="BJ29" i="14"/>
  <c r="BC44" i="1"/>
  <c r="BK29" i="14" s="1"/>
  <c r="BD44" i="1"/>
  <c r="BE44" i="1"/>
  <c r="BL29" i="14"/>
  <c r="BP29" i="14" s="1"/>
  <c r="BF44" i="1"/>
  <c r="BG44" i="1"/>
  <c r="BK44" i="1"/>
  <c r="BL44" i="1"/>
  <c r="BT29" i="14" s="1"/>
  <c r="BM44" i="1"/>
  <c r="BU29" i="14"/>
  <c r="BN44" i="1"/>
  <c r="BO44" i="1"/>
  <c r="BR44" i="1"/>
  <c r="BP44" i="1"/>
  <c r="BQ44" i="1"/>
  <c r="BU44" i="1"/>
  <c r="BV44" i="1"/>
  <c r="CD29" i="14"/>
  <c r="CE29" i="14"/>
  <c r="BX44" i="1"/>
  <c r="BY44" i="1"/>
  <c r="CB44" i="1"/>
  <c r="BZ44" i="1"/>
  <c r="CA44" i="1"/>
  <c r="CE44" i="1"/>
  <c r="CF44" i="1"/>
  <c r="CN29" i="14" s="1"/>
  <c r="CG44" i="1"/>
  <c r="CO29" i="14"/>
  <c r="CI44" i="1"/>
  <c r="CJ44" i="1"/>
  <c r="CK44" i="1"/>
  <c r="CO44" i="1"/>
  <c r="CP44" i="1"/>
  <c r="CX29" i="14"/>
  <c r="CQ44" i="1"/>
  <c r="CY29" i="14" s="1"/>
  <c r="CR44" i="1"/>
  <c r="CS44" i="1"/>
  <c r="CZ29" i="14"/>
  <c r="DD29" i="14" s="1"/>
  <c r="CT44" i="1"/>
  <c r="CU44" i="1"/>
  <c r="CY44" i="1"/>
  <c r="CZ44" i="1"/>
  <c r="DH29" i="14" s="1"/>
  <c r="DA44" i="1"/>
  <c r="DI29" i="14"/>
  <c r="DB44" i="1"/>
  <c r="DC44" i="1"/>
  <c r="DF44" i="1"/>
  <c r="DD44" i="1"/>
  <c r="DE44" i="1"/>
  <c r="DJ44" i="1"/>
  <c r="DR29" i="14"/>
  <c r="DK44" i="1"/>
  <c r="DS29" i="14" s="1"/>
  <c r="DL44" i="1"/>
  <c r="DW29" i="14"/>
  <c r="DM44" i="1"/>
  <c r="DP44" i="1" s="1"/>
  <c r="DN44" i="1"/>
  <c r="DO44" i="1"/>
  <c r="J45" i="1"/>
  <c r="T45" i="1"/>
  <c r="AD45" i="1"/>
  <c r="AN45" i="1"/>
  <c r="AX45" i="1"/>
  <c r="BH45" i="1"/>
  <c r="CV45" i="1"/>
  <c r="DS45" i="1"/>
  <c r="DT45" i="1"/>
  <c r="DU45" i="1"/>
  <c r="DW45" i="1"/>
  <c r="DS46" i="1"/>
  <c r="DT46" i="1"/>
  <c r="DU46" i="1"/>
  <c r="DW46" i="1"/>
  <c r="AD48" i="1"/>
  <c r="BH48" i="1"/>
  <c r="DS48" i="1"/>
  <c r="DT48" i="1"/>
  <c r="DU48" i="1"/>
  <c r="DW48" i="1"/>
  <c r="DZ48" i="1" s="1"/>
  <c r="AD49" i="1"/>
  <c r="BH49" i="1"/>
  <c r="DS49" i="1"/>
  <c r="DT49" i="1"/>
  <c r="DU49" i="1"/>
  <c r="DZ49" i="1" s="1"/>
  <c r="DW49" i="1"/>
  <c r="AD50" i="1"/>
  <c r="BH50" i="1"/>
  <c r="DS50" i="1"/>
  <c r="DT50" i="1"/>
  <c r="DU50" i="1"/>
  <c r="DZ50" i="1" s="1"/>
  <c r="DW50" i="1"/>
  <c r="AD51" i="1"/>
  <c r="BH51" i="1"/>
  <c r="DS51" i="1"/>
  <c r="DT51" i="1"/>
  <c r="DU51" i="1"/>
  <c r="DW51" i="1"/>
  <c r="DZ51" i="1" s="1"/>
  <c r="AD52" i="1"/>
  <c r="BH52" i="1"/>
  <c r="DS52" i="1"/>
  <c r="DT52" i="1"/>
  <c r="DU52" i="1"/>
  <c r="DW52" i="1"/>
  <c r="DZ52" i="1" s="1"/>
  <c r="AD53" i="1"/>
  <c r="BH53" i="1"/>
  <c r="DS53" i="1"/>
  <c r="DT53" i="1"/>
  <c r="DU53" i="1"/>
  <c r="DZ53" i="1" s="1"/>
  <c r="DW53" i="1"/>
  <c r="AD54" i="1"/>
  <c r="BH54" i="1"/>
  <c r="DS54" i="1"/>
  <c r="DT54" i="1"/>
  <c r="DU54" i="1"/>
  <c r="DW54" i="1"/>
  <c r="AD55" i="1"/>
  <c r="BH55" i="1"/>
  <c r="DS55" i="1"/>
  <c r="DT55" i="1"/>
  <c r="DU55" i="1"/>
  <c r="DZ55" i="1" s="1"/>
  <c r="DW55" i="1"/>
  <c r="AD56" i="1"/>
  <c r="BH56" i="1"/>
  <c r="DS56" i="1"/>
  <c r="DT56" i="1"/>
  <c r="DU56" i="1"/>
  <c r="DW56" i="1"/>
  <c r="DZ56" i="1" s="1"/>
  <c r="AD57" i="1"/>
  <c r="BH57" i="1"/>
  <c r="DS57" i="1"/>
  <c r="DT57" i="1"/>
  <c r="DU57" i="1"/>
  <c r="DW57" i="1"/>
  <c r="AD61" i="1"/>
  <c r="BH61" i="1"/>
  <c r="DS61" i="1"/>
  <c r="DT61" i="1"/>
  <c r="DU61" i="1"/>
  <c r="DW61" i="1"/>
  <c r="DZ61" i="1" s="1"/>
  <c r="AD62" i="1"/>
  <c r="BH62" i="1"/>
  <c r="DS62" i="1"/>
  <c r="DT62" i="1"/>
  <c r="DU62" i="1"/>
  <c r="DW62" i="1"/>
  <c r="AD63" i="1"/>
  <c r="BH63" i="1"/>
  <c r="DS63" i="1"/>
  <c r="DT63" i="1"/>
  <c r="DU63" i="1"/>
  <c r="DZ63" i="1"/>
  <c r="DW63" i="1"/>
  <c r="AD64" i="1"/>
  <c r="BH64" i="1"/>
  <c r="DS64" i="1"/>
  <c r="DT64" i="1"/>
  <c r="DU64" i="1"/>
  <c r="DW64" i="1"/>
  <c r="AD65" i="1"/>
  <c r="BH65" i="1"/>
  <c r="DS65" i="1"/>
  <c r="DT65" i="1"/>
  <c r="DU65" i="1"/>
  <c r="DZ65" i="1" s="1"/>
  <c r="DW65" i="1"/>
  <c r="AD66" i="1"/>
  <c r="BH66" i="1"/>
  <c r="DS66" i="1"/>
  <c r="DT66" i="1"/>
  <c r="DU66" i="1"/>
  <c r="DW66" i="1"/>
  <c r="AD67" i="1"/>
  <c r="BH67" i="1"/>
  <c r="DS67" i="1"/>
  <c r="DT67" i="1"/>
  <c r="DU67" i="1"/>
  <c r="DZ67" i="1" s="1"/>
  <c r="DW67" i="1"/>
  <c r="AD68" i="1"/>
  <c r="BH68" i="1"/>
  <c r="DS68" i="1"/>
  <c r="DT68" i="1"/>
  <c r="DU68" i="1"/>
  <c r="DW68" i="1"/>
  <c r="AD69" i="1"/>
  <c r="BH69" i="1"/>
  <c r="DS69" i="1"/>
  <c r="DT69" i="1"/>
  <c r="DU69" i="1"/>
  <c r="DZ69" i="1" s="1"/>
  <c r="DW69" i="1"/>
  <c r="AD70" i="1"/>
  <c r="BH70" i="1"/>
  <c r="DS70" i="1"/>
  <c r="DT70" i="1"/>
  <c r="DU70" i="1"/>
  <c r="DW70" i="1"/>
  <c r="DZ70" i="1" s="1"/>
  <c r="AD71" i="1"/>
  <c r="BH71" i="1"/>
  <c r="DS71" i="1"/>
  <c r="DT71" i="1"/>
  <c r="DU71" i="1"/>
  <c r="DW71" i="1"/>
  <c r="DZ71" i="1" s="1"/>
  <c r="AD72" i="1"/>
  <c r="BH72" i="1"/>
  <c r="DS72" i="1"/>
  <c r="DT72" i="1"/>
  <c r="DU72" i="1"/>
  <c r="DZ72" i="1" s="1"/>
  <c r="DW72" i="1"/>
  <c r="J75" i="1"/>
  <c r="T75" i="1"/>
  <c r="AD75" i="1"/>
  <c r="AX75" i="1"/>
  <c r="BH75" i="1"/>
  <c r="CV75" i="1"/>
  <c r="DS75" i="1"/>
  <c r="DT75" i="1"/>
  <c r="DU75" i="1"/>
  <c r="DV75" i="1"/>
  <c r="DW75" i="1"/>
  <c r="DZ75" i="1" s="1"/>
  <c r="J76" i="1"/>
  <c r="T76" i="1"/>
  <c r="AD76" i="1"/>
  <c r="AN76" i="1"/>
  <c r="AX76" i="1"/>
  <c r="BH76" i="1"/>
  <c r="CV76" i="1"/>
  <c r="DS76" i="1"/>
  <c r="DT76" i="1"/>
  <c r="DU76" i="1"/>
  <c r="DV76" i="1"/>
  <c r="DW76" i="1"/>
  <c r="DZ76" i="1" s="1"/>
  <c r="J77" i="1"/>
  <c r="T77" i="1"/>
  <c r="AD77" i="1"/>
  <c r="AN77" i="1"/>
  <c r="AX77" i="1"/>
  <c r="BH77" i="1"/>
  <c r="CV77" i="1"/>
  <c r="DS77" i="1"/>
  <c r="DT77" i="1"/>
  <c r="DU77" i="1"/>
  <c r="DV77" i="1"/>
  <c r="DW77" i="1"/>
  <c r="DZ77" i="1" s="1"/>
  <c r="J78" i="1"/>
  <c r="T78" i="1"/>
  <c r="AD78" i="1"/>
  <c r="AN78" i="1"/>
  <c r="AX78" i="1"/>
  <c r="BH78" i="1"/>
  <c r="CV78" i="1"/>
  <c r="DS78" i="1"/>
  <c r="DT78" i="1"/>
  <c r="DU78" i="1"/>
  <c r="DV78" i="1"/>
  <c r="DW78" i="1"/>
  <c r="DZ78" i="1" s="1"/>
  <c r="J79" i="1"/>
  <c r="T79" i="1"/>
  <c r="AD79" i="1"/>
  <c r="AN79" i="1"/>
  <c r="AX79" i="1"/>
  <c r="BH79" i="1"/>
  <c r="CV79" i="1"/>
  <c r="DS79" i="1"/>
  <c r="DT79" i="1"/>
  <c r="DU79" i="1"/>
  <c r="DV79" i="1"/>
  <c r="DW79" i="1"/>
  <c r="DZ79" i="1" s="1"/>
  <c r="J80" i="1"/>
  <c r="T80" i="1"/>
  <c r="AD80" i="1"/>
  <c r="AN80" i="1"/>
  <c r="AX80" i="1"/>
  <c r="BH80" i="1"/>
  <c r="CV80" i="1"/>
  <c r="DS80" i="1"/>
  <c r="DT80" i="1"/>
  <c r="DU80" i="1"/>
  <c r="DV80" i="1"/>
  <c r="DW80" i="1"/>
  <c r="J81" i="1"/>
  <c r="T81" i="1"/>
  <c r="AD81" i="1"/>
  <c r="AN81" i="1"/>
  <c r="AX81" i="1"/>
  <c r="BH81" i="1"/>
  <c r="CV81" i="1"/>
  <c r="DS81" i="1"/>
  <c r="DT81" i="1"/>
  <c r="DU81" i="1"/>
  <c r="DV81" i="1"/>
  <c r="J82" i="1"/>
  <c r="T82" i="1"/>
  <c r="AD82" i="1"/>
  <c r="AN82" i="1"/>
  <c r="AX82" i="1"/>
  <c r="BH82" i="1"/>
  <c r="CV82" i="1"/>
  <c r="DS82" i="1"/>
  <c r="DT82" i="1"/>
  <c r="DU82" i="1"/>
  <c r="DV82" i="1"/>
  <c r="DW82" i="1"/>
  <c r="DZ82" i="1"/>
  <c r="J83" i="1"/>
  <c r="T83" i="1"/>
  <c r="AD83" i="1"/>
  <c r="AN83" i="1"/>
  <c r="AX83" i="1"/>
  <c r="BH83" i="1"/>
  <c r="CV83" i="1"/>
  <c r="DS83" i="1"/>
  <c r="DT83" i="1"/>
  <c r="DU83" i="1"/>
  <c r="DV83" i="1"/>
  <c r="DW83" i="1"/>
  <c r="DZ83" i="1" s="1"/>
  <c r="AX89" i="1"/>
  <c r="BH89" i="1"/>
  <c r="CV89" i="1"/>
  <c r="DS89" i="1"/>
  <c r="DT89" i="1"/>
  <c r="DU89" i="1"/>
  <c r="DW89" i="1"/>
  <c r="DZ89" i="1" s="1"/>
  <c r="DX89" i="1"/>
  <c r="DY89" i="1"/>
  <c r="AD90" i="1"/>
  <c r="AN90" i="1"/>
  <c r="AX90" i="1"/>
  <c r="BH90" i="1"/>
  <c r="CV90" i="1"/>
  <c r="DS90" i="1"/>
  <c r="DT90" i="1"/>
  <c r="DU90" i="1"/>
  <c r="DW90" i="1"/>
  <c r="DX90" i="1"/>
  <c r="DY90" i="1"/>
  <c r="AD91" i="1"/>
  <c r="AN91" i="1"/>
  <c r="AX91" i="1"/>
  <c r="BH91" i="1"/>
  <c r="CV91" i="1"/>
  <c r="DS91" i="1"/>
  <c r="DT91" i="1"/>
  <c r="DU91" i="1"/>
  <c r="DW91" i="1"/>
  <c r="DZ91" i="1" s="1"/>
  <c r="DX91" i="1"/>
  <c r="DY91" i="1"/>
  <c r="AD92" i="1"/>
  <c r="AN92" i="1"/>
  <c r="AX92" i="1"/>
  <c r="BH92" i="1"/>
  <c r="CV92" i="1"/>
  <c r="DS92" i="1"/>
  <c r="DT92" i="1"/>
  <c r="DU92" i="1"/>
  <c r="DW92" i="1"/>
  <c r="DZ92" i="1" s="1"/>
  <c r="DX92" i="1"/>
  <c r="DY92" i="1"/>
  <c r="AD93" i="1"/>
  <c r="AN93" i="1"/>
  <c r="AX93" i="1"/>
  <c r="BH93" i="1"/>
  <c r="CV93" i="1"/>
  <c r="DS93" i="1"/>
  <c r="DT93" i="1"/>
  <c r="DU93" i="1"/>
  <c r="DZ93" i="1" s="1"/>
  <c r="DW93" i="1"/>
  <c r="DX93" i="1"/>
  <c r="DY93" i="1"/>
  <c r="AD94" i="1"/>
  <c r="AN94" i="1"/>
  <c r="AX94" i="1"/>
  <c r="BH94" i="1"/>
  <c r="CV94" i="1"/>
  <c r="DS94" i="1"/>
  <c r="DT94" i="1"/>
  <c r="DU94" i="1"/>
  <c r="DZ94" i="1" s="1"/>
  <c r="DW94" i="1"/>
  <c r="DX94" i="1"/>
  <c r="DY94" i="1"/>
  <c r="AD95" i="1"/>
  <c r="AN95" i="1"/>
  <c r="AX95" i="1"/>
  <c r="BH95" i="1"/>
  <c r="CV95" i="1"/>
  <c r="DS95" i="1"/>
  <c r="DT95" i="1"/>
  <c r="DU95" i="1"/>
  <c r="DW95" i="1"/>
  <c r="DX95" i="1"/>
  <c r="DY95" i="1"/>
  <c r="AD96" i="1"/>
  <c r="AN96" i="1"/>
  <c r="AX96" i="1"/>
  <c r="BH96" i="1"/>
  <c r="CV96" i="1"/>
  <c r="DS96" i="1"/>
  <c r="DT96" i="1"/>
  <c r="DU96" i="1"/>
  <c r="DZ96" i="1" s="1"/>
  <c r="DW96" i="1"/>
  <c r="DX96" i="1"/>
  <c r="DY96" i="1"/>
  <c r="DX98" i="1"/>
  <c r="AD99" i="1"/>
  <c r="AN99" i="1"/>
  <c r="AX99" i="1"/>
  <c r="BH99" i="1"/>
  <c r="CV99" i="1"/>
  <c r="DS99" i="1"/>
  <c r="DT99" i="1"/>
  <c r="DU99" i="1"/>
  <c r="DW99" i="1"/>
  <c r="DX99" i="1"/>
  <c r="DY99" i="1"/>
  <c r="AD100" i="1"/>
  <c r="AN100" i="1"/>
  <c r="AX100" i="1"/>
  <c r="BH100" i="1"/>
  <c r="CV100" i="1"/>
  <c r="DS100" i="1"/>
  <c r="DT100" i="1"/>
  <c r="DU100" i="1"/>
  <c r="DZ100" i="1" s="1"/>
  <c r="DW100" i="1"/>
  <c r="DX100" i="1"/>
  <c r="DY100" i="1"/>
  <c r="AD101" i="1"/>
  <c r="AN101" i="1"/>
  <c r="AX101" i="1"/>
  <c r="BH101" i="1"/>
  <c r="CV101" i="1"/>
  <c r="DS101" i="1"/>
  <c r="DT101" i="1"/>
  <c r="DU101" i="1"/>
  <c r="DZ101" i="1" s="1"/>
  <c r="DW101" i="1"/>
  <c r="DX101" i="1"/>
  <c r="DY101" i="1"/>
  <c r="AD102" i="1"/>
  <c r="AN102" i="1"/>
  <c r="AX102" i="1"/>
  <c r="BH102" i="1"/>
  <c r="CV102" i="1"/>
  <c r="DS102" i="1"/>
  <c r="DT102" i="1"/>
  <c r="DU102" i="1"/>
  <c r="DW102" i="1"/>
  <c r="DX102" i="1"/>
  <c r="DY102" i="1"/>
  <c r="AD103" i="1"/>
  <c r="AN103" i="1"/>
  <c r="AX103" i="1"/>
  <c r="BH103" i="1"/>
  <c r="CV103" i="1"/>
  <c r="DS103" i="1"/>
  <c r="DT103" i="1"/>
  <c r="DU103" i="1"/>
  <c r="DW103" i="1"/>
  <c r="DX103" i="1"/>
  <c r="DY103" i="1"/>
  <c r="AD104" i="1"/>
  <c r="AN104" i="1"/>
  <c r="AX104" i="1"/>
  <c r="BH104" i="1"/>
  <c r="CV104" i="1"/>
  <c r="DS104" i="1"/>
  <c r="DT104" i="1"/>
  <c r="DU104" i="1"/>
  <c r="DW104" i="1"/>
  <c r="DX104" i="1"/>
  <c r="DY104" i="1"/>
  <c r="AD105" i="1"/>
  <c r="AN105" i="1"/>
  <c r="AX105" i="1"/>
  <c r="BH105" i="1"/>
  <c r="CV105" i="1"/>
  <c r="DS105" i="1"/>
  <c r="DT105" i="1"/>
  <c r="DU105" i="1"/>
  <c r="DZ105" i="1"/>
  <c r="DW105" i="1"/>
  <c r="DX105" i="1"/>
  <c r="DY105" i="1"/>
  <c r="AD106" i="1"/>
  <c r="AN106" i="1"/>
  <c r="AX106" i="1"/>
  <c r="BH106" i="1"/>
  <c r="CV106" i="1"/>
  <c r="DS106" i="1"/>
  <c r="DT106" i="1"/>
  <c r="DU106" i="1"/>
  <c r="DW106" i="1"/>
  <c r="DZ106" i="1" s="1"/>
  <c r="DX106" i="1"/>
  <c r="DY106" i="1"/>
  <c r="AD107" i="1"/>
  <c r="AN107" i="1"/>
  <c r="AX107" i="1"/>
  <c r="BH107" i="1"/>
  <c r="CV107" i="1"/>
  <c r="DS107" i="1"/>
  <c r="DT107" i="1"/>
  <c r="DU107" i="1"/>
  <c r="DW107" i="1"/>
  <c r="DZ107" i="1"/>
  <c r="DX107" i="1"/>
  <c r="DY107" i="1"/>
  <c r="AD108" i="1"/>
  <c r="AN108" i="1"/>
  <c r="AX108" i="1"/>
  <c r="BH108" i="1"/>
  <c r="CV108" i="1"/>
  <c r="DS108" i="1"/>
  <c r="DT108" i="1"/>
  <c r="DU108" i="1"/>
  <c r="DW108" i="1"/>
  <c r="DX108" i="1"/>
  <c r="DY108" i="1"/>
  <c r="AD109" i="1"/>
  <c r="AN109" i="1"/>
  <c r="AX109" i="1"/>
  <c r="BH109" i="1"/>
  <c r="CV109" i="1"/>
  <c r="DS109" i="1"/>
  <c r="DT109" i="1"/>
  <c r="DU109" i="1"/>
  <c r="DW109" i="1"/>
  <c r="DZ109" i="1" s="1"/>
  <c r="DX109" i="1"/>
  <c r="DY109" i="1"/>
  <c r="AD110" i="1"/>
  <c r="AN110" i="1"/>
  <c r="AX110" i="1"/>
  <c r="BH110" i="1"/>
  <c r="CV110" i="1"/>
  <c r="DS110" i="1"/>
  <c r="DT110" i="1"/>
  <c r="DU110" i="1"/>
  <c r="DZ110" i="1" s="1"/>
  <c r="DW110" i="1"/>
  <c r="DX110" i="1"/>
  <c r="DY110" i="1"/>
  <c r="AD111" i="1"/>
  <c r="AN111" i="1"/>
  <c r="AX111" i="1"/>
  <c r="BH111" i="1"/>
  <c r="CV111" i="1"/>
  <c r="DS111" i="1"/>
  <c r="DT111" i="1"/>
  <c r="DU111" i="1"/>
  <c r="DW111" i="1"/>
  <c r="DX111" i="1"/>
  <c r="DY111" i="1"/>
  <c r="AD112" i="1"/>
  <c r="AN112" i="1"/>
  <c r="AX112" i="1"/>
  <c r="BH112" i="1"/>
  <c r="CV112" i="1"/>
  <c r="DS112" i="1"/>
  <c r="DT112" i="1"/>
  <c r="DU112" i="1"/>
  <c r="DZ112" i="1" s="1"/>
  <c r="DW112" i="1"/>
  <c r="DX112" i="1"/>
  <c r="DY112" i="1"/>
  <c r="AD113" i="1"/>
  <c r="AN113" i="1"/>
  <c r="AX113" i="1"/>
  <c r="BH113" i="1"/>
  <c r="CV113" i="1"/>
  <c r="DS113" i="1"/>
  <c r="DT113" i="1"/>
  <c r="DU113" i="1"/>
  <c r="DW113" i="1"/>
  <c r="DZ113" i="1" s="1"/>
  <c r="DX113" i="1"/>
  <c r="DY113" i="1"/>
  <c r="AD114" i="1"/>
  <c r="AN114" i="1"/>
  <c r="AX114" i="1"/>
  <c r="BH114" i="1"/>
  <c r="CV114" i="1"/>
  <c r="DS114" i="1"/>
  <c r="DT114" i="1"/>
  <c r="DU114" i="1"/>
  <c r="DW114" i="1"/>
  <c r="DX114" i="1"/>
  <c r="DY114" i="1"/>
  <c r="AD115" i="1"/>
  <c r="AN115" i="1"/>
  <c r="AX115" i="1"/>
  <c r="BH115" i="1"/>
  <c r="CV115" i="1"/>
  <c r="DS115" i="1"/>
  <c r="DT115" i="1"/>
  <c r="DU115" i="1"/>
  <c r="DW115" i="1"/>
  <c r="DX115" i="1"/>
  <c r="DY115" i="1"/>
  <c r="AD116" i="1"/>
  <c r="AN116" i="1"/>
  <c r="AX116" i="1"/>
  <c r="BH116" i="1"/>
  <c r="CV116" i="1"/>
  <c r="DS116" i="1"/>
  <c r="DT116" i="1"/>
  <c r="DU116" i="1"/>
  <c r="DZ116" i="1" s="1"/>
  <c r="DW116" i="1"/>
  <c r="DX116" i="1"/>
  <c r="DY116" i="1"/>
  <c r="AD117" i="1"/>
  <c r="AN117" i="1"/>
  <c r="AX117" i="1"/>
  <c r="BH117" i="1"/>
  <c r="CV117" i="1"/>
  <c r="DS117" i="1"/>
  <c r="DT117" i="1"/>
  <c r="DU117" i="1"/>
  <c r="DZ117" i="1"/>
  <c r="DW117" i="1"/>
  <c r="DX117" i="1"/>
  <c r="DY117" i="1"/>
  <c r="AD118" i="1"/>
  <c r="AN118" i="1"/>
  <c r="AX118" i="1"/>
  <c r="BH118" i="1"/>
  <c r="CV118" i="1"/>
  <c r="DS118" i="1"/>
  <c r="DT118" i="1"/>
  <c r="DU118" i="1"/>
  <c r="DW118" i="1"/>
  <c r="DZ118" i="1" s="1"/>
  <c r="DX118" i="1"/>
  <c r="DY118" i="1"/>
  <c r="AD123" i="1"/>
  <c r="AN123" i="1"/>
  <c r="AX123" i="1"/>
  <c r="BH123" i="1"/>
  <c r="CV123" i="1"/>
  <c r="DT123" i="1"/>
  <c r="DU123" i="1"/>
  <c r="DZ123" i="1" s="1"/>
  <c r="DW123" i="1"/>
  <c r="DX123" i="1"/>
  <c r="DY123" i="1"/>
  <c r="AD124" i="1"/>
  <c r="AN124" i="1"/>
  <c r="AX124" i="1"/>
  <c r="BH124" i="1"/>
  <c r="CV124" i="1"/>
  <c r="DT124" i="1"/>
  <c r="DU124" i="1"/>
  <c r="DZ124" i="1" s="1"/>
  <c r="DW124" i="1"/>
  <c r="DX124" i="1"/>
  <c r="DY124" i="1"/>
  <c r="AD125" i="1"/>
  <c r="AN125" i="1"/>
  <c r="AX125" i="1"/>
  <c r="BH125" i="1"/>
  <c r="CV125" i="1"/>
  <c r="DT125" i="1"/>
  <c r="DU125" i="1"/>
  <c r="DW125" i="1"/>
  <c r="DZ125" i="1"/>
  <c r="DX125" i="1"/>
  <c r="DY125" i="1"/>
  <c r="AD126" i="1"/>
  <c r="AN126" i="1"/>
  <c r="AX126" i="1"/>
  <c r="BH126" i="1"/>
  <c r="CV126" i="1"/>
  <c r="DT126" i="1"/>
  <c r="DU126" i="1"/>
  <c r="DW126" i="1"/>
  <c r="DX126" i="1"/>
  <c r="DY126" i="1"/>
  <c r="DT127" i="1"/>
  <c r="DU127" i="1"/>
  <c r="DW127" i="1"/>
  <c r="DX127" i="1"/>
  <c r="DY127" i="1"/>
  <c r="AD128" i="1"/>
  <c r="AN128" i="1"/>
  <c r="AX128" i="1"/>
  <c r="BH128" i="1"/>
  <c r="CV128" i="1"/>
  <c r="DT128" i="1"/>
  <c r="DU128" i="1"/>
  <c r="DW128" i="1"/>
  <c r="DZ128" i="1" s="1"/>
  <c r="DX128" i="1"/>
  <c r="DY128" i="1"/>
  <c r="DT129" i="1"/>
  <c r="DU129" i="1"/>
  <c r="DW129" i="1"/>
  <c r="DX129" i="1"/>
  <c r="DY129" i="1"/>
  <c r="AD130" i="1"/>
  <c r="AN130" i="1"/>
  <c r="AX130" i="1"/>
  <c r="BH130" i="1"/>
  <c r="CV130" i="1"/>
  <c r="DT130" i="1"/>
  <c r="DU130" i="1"/>
  <c r="DZ130" i="1" s="1"/>
  <c r="DW130" i="1"/>
  <c r="DX130" i="1"/>
  <c r="DY130" i="1"/>
  <c r="DT131" i="1"/>
  <c r="DU131" i="1"/>
  <c r="DW131" i="1"/>
  <c r="DX131" i="1"/>
  <c r="DY131" i="1"/>
  <c r="DT133" i="1"/>
  <c r="DU133" i="1"/>
  <c r="DZ133" i="1" s="1"/>
  <c r="DW133" i="1"/>
  <c r="J134" i="1"/>
  <c r="T134" i="1"/>
  <c r="AD134" i="1"/>
  <c r="AN134" i="1"/>
  <c r="AX134" i="1"/>
  <c r="BH134" i="1"/>
  <c r="CV134" i="1"/>
  <c r="DT134" i="1"/>
  <c r="DU134" i="1"/>
  <c r="DW134" i="1"/>
  <c r="J135" i="1"/>
  <c r="T135" i="1"/>
  <c r="AD135" i="1"/>
  <c r="AN135" i="1"/>
  <c r="AX135" i="1"/>
  <c r="BH135" i="1"/>
  <c r="CV135" i="1"/>
  <c r="DT135" i="1"/>
  <c r="DU135" i="1"/>
  <c r="DW135" i="1"/>
  <c r="J136" i="1"/>
  <c r="T136" i="1"/>
  <c r="AD136" i="1"/>
  <c r="AN136" i="1"/>
  <c r="AX136" i="1"/>
  <c r="BH136" i="1"/>
  <c r="CV136" i="1"/>
  <c r="DT136" i="1"/>
  <c r="DU136" i="1"/>
  <c r="DW136" i="1"/>
  <c r="DZ136" i="1"/>
  <c r="J137" i="1"/>
  <c r="T137" i="1"/>
  <c r="AD137" i="1"/>
  <c r="AN137" i="1"/>
  <c r="AX137" i="1"/>
  <c r="BH137" i="1"/>
  <c r="CV137" i="1"/>
  <c r="DT137" i="1"/>
  <c r="DU137" i="1"/>
  <c r="DZ137" i="1" s="1"/>
  <c r="DW137" i="1"/>
  <c r="AX138" i="1"/>
  <c r="BH138" i="1"/>
  <c r="CV138" i="1"/>
  <c r="DT138" i="1"/>
  <c r="DU138" i="1"/>
  <c r="DW138" i="1"/>
  <c r="DZ138" i="1" s="1"/>
  <c r="DT11" i="1"/>
  <c r="L10" i="14"/>
  <c r="EB10" i="14"/>
  <c r="M29" i="14"/>
  <c r="EC29" i="14" s="1"/>
  <c r="S28" i="14"/>
  <c r="AM28" i="14"/>
  <c r="AW28" i="14"/>
  <c r="CK28" i="14"/>
  <c r="DE28" i="14"/>
  <c r="DY28" i="14"/>
  <c r="S26" i="14"/>
  <c r="AM26" i="14"/>
  <c r="AW26" i="14"/>
  <c r="BQ26" i="14"/>
  <c r="CK26" i="14"/>
  <c r="DE26" i="14"/>
  <c r="DY26" i="14"/>
  <c r="S25" i="14"/>
  <c r="AM25" i="14"/>
  <c r="AW25" i="14"/>
  <c r="BQ25" i="14"/>
  <c r="CK25" i="14"/>
  <c r="DE25" i="14"/>
  <c r="DY25" i="14"/>
  <c r="S24" i="14"/>
  <c r="CK24" i="14"/>
  <c r="EC23" i="14"/>
  <c r="AW23" i="14"/>
  <c r="BQ23" i="14"/>
  <c r="DY23" i="14"/>
  <c r="S22" i="14"/>
  <c r="AM22" i="14"/>
  <c r="AW22" i="14"/>
  <c r="BQ22" i="14"/>
  <c r="CK22" i="14"/>
  <c r="DE22" i="14"/>
  <c r="DY22" i="14"/>
  <c r="DE21" i="14"/>
  <c r="AM20" i="14"/>
  <c r="CK20" i="14"/>
  <c r="DY20" i="14"/>
  <c r="EC19" i="14"/>
  <c r="ED19" i="14"/>
  <c r="EB19" i="14"/>
  <c r="W14" i="14"/>
  <c r="AM11" i="14"/>
  <c r="CA11" i="14"/>
  <c r="DO11" i="14"/>
  <c r="BQ11" i="14"/>
  <c r="EO26" i="14"/>
  <c r="DU15" i="1"/>
  <c r="DZ15" i="1" s="1"/>
  <c r="AX14" i="1"/>
  <c r="AX12" i="1"/>
  <c r="J12" i="1"/>
  <c r="DO33" i="14"/>
  <c r="AM33" i="14"/>
  <c r="ED30" i="14"/>
  <c r="DO28" i="14"/>
  <c r="CU28" i="14"/>
  <c r="CA28" i="14"/>
  <c r="ED27" i="14"/>
  <c r="EB27" i="14"/>
  <c r="DO26" i="14"/>
  <c r="CU26" i="14"/>
  <c r="CA26" i="14"/>
  <c r="BG26" i="14"/>
  <c r="DO25" i="14"/>
  <c r="CU25" i="14"/>
  <c r="CA25" i="14"/>
  <c r="BG25" i="14"/>
  <c r="DO24" i="14"/>
  <c r="CU23" i="14"/>
  <c r="CA23" i="14"/>
  <c r="DO22" i="14"/>
  <c r="CU22" i="14"/>
  <c r="CA22" i="14"/>
  <c r="BG22" i="14"/>
  <c r="CU21" i="14"/>
  <c r="DO20" i="14"/>
  <c r="CA20" i="14"/>
  <c r="EN15" i="14"/>
  <c r="AW11" i="14"/>
  <c r="EN16" i="14"/>
  <c r="EB18" i="14"/>
  <c r="AL16" i="14"/>
  <c r="ED16" i="14"/>
  <c r="EB16" i="14"/>
  <c r="EH13" i="14"/>
  <c r="ED10" i="14"/>
  <c r="DS17" i="1"/>
  <c r="AD44" i="1"/>
  <c r="X29" i="14"/>
  <c r="AB29" i="14" s="1"/>
  <c r="DZ45" i="1"/>
  <c r="BK17" i="14"/>
  <c r="BH20" i="1"/>
  <c r="AD20" i="1"/>
  <c r="T20" i="1"/>
  <c r="EC30" i="14"/>
  <c r="DU14" i="1"/>
  <c r="DZ14" i="1" s="1"/>
  <c r="DD34" i="14"/>
  <c r="CJ34" i="14"/>
  <c r="EP18" i="14"/>
  <c r="EO16" i="14"/>
  <c r="AL34" i="14"/>
  <c r="EC33" i="14"/>
  <c r="EB24" i="14"/>
  <c r="DZ95" i="1"/>
  <c r="DZ99" i="1"/>
  <c r="DZ24" i="1"/>
  <c r="DP20" i="1"/>
  <c r="CE17" i="14"/>
  <c r="BR20" i="1"/>
  <c r="DZ21" i="1"/>
  <c r="ES16" i="14"/>
  <c r="J20" i="1"/>
  <c r="DZ19" i="1"/>
  <c r="DZ18" i="1"/>
  <c r="ED13" i="14"/>
  <c r="ES15" i="14"/>
  <c r="AL11" i="14"/>
  <c r="EP14" i="14" s="1"/>
  <c r="DZ81" i="1"/>
  <c r="BZ34" i="14"/>
  <c r="ED34" i="14"/>
  <c r="DZ80" i="1"/>
  <c r="DZ134" i="1"/>
  <c r="EB30" i="14"/>
  <c r="DZ111" i="1"/>
  <c r="DZ104" i="1"/>
  <c r="DZ90" i="1"/>
  <c r="DZ114" i="1"/>
  <c r="DZ115" i="1"/>
  <c r="DZ108" i="1"/>
  <c r="DU44" i="1"/>
  <c r="DZ66" i="1"/>
  <c r="DZ64" i="1"/>
  <c r="DZ68" i="1"/>
  <c r="DZ57" i="1"/>
  <c r="DZ54" i="1"/>
  <c r="DZ62" i="1"/>
  <c r="DV44" i="1"/>
  <c r="DZ35" i="1"/>
  <c r="DJ29" i="14"/>
  <c r="DN29" i="14"/>
  <c r="DF20" i="1"/>
  <c r="ED25" i="14"/>
  <c r="DZ36" i="1"/>
  <c r="ED22" i="14"/>
  <c r="AV22" i="14"/>
  <c r="EQ18" i="14"/>
  <c r="ED26" i="14"/>
  <c r="DW20" i="1"/>
  <c r="DZ34" i="1"/>
  <c r="ED23" i="14"/>
  <c r="DZ33" i="1"/>
  <c r="EB28" i="14"/>
  <c r="CF29" i="14"/>
  <c r="CJ29" i="14"/>
  <c r="DZ42" i="1"/>
  <c r="DZ37" i="1"/>
  <c r="DS20" i="1"/>
  <c r="BV29" i="14"/>
  <c r="BZ29" i="14"/>
  <c r="DT44" i="1"/>
  <c r="DZ41" i="1"/>
  <c r="DZ38" i="1"/>
  <c r="DZ27" i="1"/>
  <c r="DZ25" i="1"/>
  <c r="EC14" i="14"/>
  <c r="CT34" i="14"/>
  <c r="EH30" i="14"/>
  <c r="EH25" i="14"/>
  <c r="AX15" i="1"/>
  <c r="DU12" i="1"/>
  <c r="DZ12" i="1" s="1"/>
  <c r="AB34" i="14"/>
  <c r="CJ33" i="14"/>
  <c r="EG30" i="14"/>
  <c r="EH22" i="14"/>
  <c r="EN18" i="14"/>
  <c r="EH16" i="14"/>
  <c r="AB11" i="14"/>
  <c r="EO14" i="14"/>
  <c r="EO19" i="14"/>
  <c r="EH23" i="14"/>
  <c r="ET15" i="14"/>
  <c r="EH19" i="14"/>
  <c r="EP16" i="14"/>
  <c r="CB20" i="1"/>
  <c r="DZ28" i="1"/>
  <c r="BZ17" i="14"/>
  <c r="ED17" i="14"/>
  <c r="AC28" i="14"/>
  <c r="EI28" i="14" s="1"/>
  <c r="EJ28" i="14" s="1"/>
  <c r="BQ28" i="14"/>
  <c r="BG28" i="14"/>
  <c r="BG18" i="14"/>
  <c r="BQ18" i="14"/>
  <c r="EO28" i="14"/>
  <c r="CL11" i="1"/>
  <c r="DU11" i="1"/>
  <c r="DZ11" i="1"/>
  <c r="CO10" i="14"/>
  <c r="BJ13" i="14"/>
  <c r="EB13" i="14"/>
  <c r="DT14" i="1"/>
  <c r="CO13" i="14"/>
  <c r="EC13" i="14"/>
  <c r="CL14" i="1"/>
  <c r="DT20" i="1"/>
  <c r="ED18" i="14"/>
  <c r="AN44" i="1"/>
  <c r="AC34" i="14"/>
  <c r="EI34" i="14" s="1"/>
  <c r="CU34" i="14"/>
  <c r="DO34" i="14"/>
  <c r="BG34" i="14"/>
  <c r="CK34" i="14"/>
  <c r="DY34" i="14"/>
  <c r="S34" i="14"/>
  <c r="AW34" i="14"/>
  <c r="CA34" i="14"/>
  <c r="AL28" i="14"/>
  <c r="ED28" i="14"/>
  <c r="EC22" i="14"/>
  <c r="AC21" i="14"/>
  <c r="S21" i="14"/>
  <c r="CK21" i="14"/>
  <c r="DO21" i="14"/>
  <c r="DU20" i="1"/>
  <c r="DZ20" i="1"/>
  <c r="ED20" i="14"/>
  <c r="DT15" i="1"/>
  <c r="BG21" i="14"/>
  <c r="DY21" i="14"/>
  <c r="AM21" i="14"/>
  <c r="BQ34" i="14"/>
  <c r="DU17" i="1"/>
  <c r="DZ17" i="1"/>
  <c r="DY33" i="14"/>
  <c r="CU33" i="14"/>
  <c r="AC33" i="14"/>
  <c r="CA30" i="14"/>
  <c r="CK27" i="14"/>
  <c r="CB11" i="1"/>
  <c r="CE10" i="14"/>
  <c r="AM27" i="14"/>
  <c r="DE27" i="14"/>
  <c r="CA33" i="14"/>
  <c r="DO30" i="14"/>
  <c r="BG30" i="14"/>
  <c r="DY27" i="14"/>
  <c r="CU19" i="14"/>
  <c r="BG19" i="14"/>
  <c r="CU16" i="14"/>
  <c r="AM16" i="14"/>
  <c r="EJ34" i="14" l="1"/>
  <c r="EZ18" i="14"/>
  <c r="EI25" i="14"/>
  <c r="EJ25" i="14" s="1"/>
  <c r="BB29" i="14"/>
  <c r="BF29" i="14" s="1"/>
  <c r="DW44" i="1"/>
  <c r="DZ44" i="1" s="1"/>
  <c r="BP24" i="14"/>
  <c r="EH24" i="14" s="1"/>
  <c r="ED24" i="14"/>
  <c r="AL21" i="14"/>
  <c r="EH21" i="14" s="1"/>
  <c r="ED21" i="14"/>
  <c r="EH10" i="14"/>
  <c r="EH11" i="14" s="1"/>
  <c r="EG29" i="14"/>
  <c r="CO17" i="14"/>
  <c r="CL20" i="1"/>
  <c r="BA17" i="14"/>
  <c r="EC17" i="14" s="1"/>
  <c r="AX20" i="1"/>
  <c r="CJ15" i="14"/>
  <c r="EH15" i="14" s="1"/>
  <c r="ED15" i="14"/>
  <c r="DN12" i="14"/>
  <c r="ED12" i="14"/>
  <c r="DS44" i="1"/>
  <c r="W12" i="14"/>
  <c r="EC12" i="14" s="1"/>
  <c r="T12" i="1"/>
  <c r="EG34" i="14"/>
  <c r="DT29" i="14"/>
  <c r="DX29" i="14" s="1"/>
  <c r="AN20" i="1"/>
  <c r="EZ16" i="14"/>
  <c r="DZ135" i="1"/>
  <c r="DZ126" i="1"/>
  <c r="DZ102" i="1"/>
  <c r="CP29" i="14"/>
  <c r="CT29" i="14" s="1"/>
  <c r="CL44" i="1"/>
  <c r="DY44" i="1"/>
  <c r="R29" i="14"/>
  <c r="ED29" i="14"/>
  <c r="EC34" i="14"/>
  <c r="EB22" i="14"/>
  <c r="DZ103" i="1"/>
  <c r="AZ15" i="14"/>
  <c r="EB15" i="14" s="1"/>
  <c r="DT17" i="1"/>
  <c r="BF14" i="14"/>
  <c r="EH14" i="14" s="1"/>
  <c r="ED14" i="14"/>
  <c r="EH27" i="14"/>
  <c r="EB23" i="14"/>
  <c r="EZ19" i="14"/>
  <c r="AC23" i="14"/>
  <c r="S23" i="14"/>
  <c r="EI23" i="14" s="1"/>
  <c r="EN31" i="14" s="1"/>
  <c r="ER31" i="14" s="1"/>
  <c r="CK23" i="14"/>
  <c r="EO31" i="14"/>
  <c r="BG23" i="14"/>
  <c r="AM23" i="14"/>
  <c r="DE23" i="14"/>
  <c r="DO23" i="14"/>
  <c r="EC24" i="14"/>
  <c r="CU30" i="14"/>
  <c r="AW30" i="14"/>
  <c r="EC26" i="14"/>
  <c r="EH20" i="14"/>
  <c r="EH18" i="14"/>
  <c r="EQ29" i="14"/>
  <c r="ES29" i="14" s="1"/>
  <c r="R33" i="14"/>
  <c r="EH33" i="14" s="1"/>
  <c r="AW29" i="14"/>
  <c r="DY29" i="14"/>
  <c r="BQ29" i="14"/>
  <c r="EZ14" i="14"/>
  <c r="CU14" i="14"/>
  <c r="BG14" i="14"/>
  <c r="AM14" i="14"/>
  <c r="S14" i="14"/>
  <c r="DY13" i="14"/>
  <c r="DO13" i="14"/>
  <c r="BQ13" i="14"/>
  <c r="BG13" i="14"/>
  <c r="EI13" i="14" s="1"/>
  <c r="DY14" i="14"/>
  <c r="CK14" i="14"/>
  <c r="AW14" i="14"/>
  <c r="EJ13" i="14"/>
  <c r="AC27" i="14"/>
  <c r="S27" i="14"/>
  <c r="BG27" i="14"/>
  <c r="CA27" i="14"/>
  <c r="DO27" i="14"/>
  <c r="AM24" i="14"/>
  <c r="BQ24" i="14"/>
  <c r="DE24" i="14"/>
  <c r="CU24" i="14"/>
  <c r="BG24" i="14"/>
  <c r="AM18" i="14"/>
  <c r="AC18" i="14"/>
  <c r="AW18" i="14"/>
  <c r="DE18" i="14"/>
  <c r="DO18" i="14"/>
  <c r="CK18" i="14"/>
  <c r="EI17" i="14"/>
  <c r="EJ17" i="14" s="1"/>
  <c r="AC16" i="14"/>
  <c r="BQ16" i="14"/>
  <c r="CK16" i="14"/>
  <c r="DO16" i="14"/>
  <c r="EI15" i="14"/>
  <c r="EJ15" i="14" s="1"/>
  <c r="S12" i="14"/>
  <c r="AM12" i="14"/>
  <c r="AW12" i="14"/>
  <c r="BG12" i="14"/>
  <c r="CA12" i="14"/>
  <c r="CK12" i="14"/>
  <c r="CU12" i="14"/>
  <c r="DE12" i="14"/>
  <c r="DO12" i="14"/>
  <c r="BG16" i="14"/>
  <c r="AC12" i="14"/>
  <c r="AW27" i="14"/>
  <c r="BQ27" i="14"/>
  <c r="EP31" i="14"/>
  <c r="DY18" i="14"/>
  <c r="CA18" i="14"/>
  <c r="CA24" i="14"/>
  <c r="EI22" i="14"/>
  <c r="DY24" i="14"/>
  <c r="AW24" i="14"/>
  <c r="EI26" i="14"/>
  <c r="EJ26" i="14" s="1"/>
  <c r="AW33" i="14"/>
  <c r="EI33" i="14" s="1"/>
  <c r="EJ33" i="14" s="1"/>
  <c r="BQ33" i="14"/>
  <c r="BG33" i="14"/>
  <c r="AC30" i="14"/>
  <c r="S30" i="14"/>
  <c r="BQ30" i="14"/>
  <c r="DY30" i="14"/>
  <c r="S29" i="14"/>
  <c r="AM29" i="14"/>
  <c r="BG29" i="14"/>
  <c r="CA29" i="14"/>
  <c r="CU29" i="14"/>
  <c r="DO29" i="14"/>
  <c r="AW21" i="14"/>
  <c r="BQ21" i="14"/>
  <c r="CA21" i="14"/>
  <c r="S20" i="14"/>
  <c r="AW20" i="14"/>
  <c r="BQ20" i="14"/>
  <c r="DE20" i="14"/>
  <c r="CU20" i="14"/>
  <c r="BG20" i="14"/>
  <c r="AM19" i="14"/>
  <c r="S19" i="14"/>
  <c r="AW19" i="14"/>
  <c r="CA19" i="14"/>
  <c r="DE19" i="14"/>
  <c r="DY19" i="14"/>
  <c r="CU18" i="14"/>
  <c r="DE16" i="14"/>
  <c r="AW16" i="14"/>
  <c r="S16" i="14"/>
  <c r="EI14" i="14"/>
  <c r="EJ14" i="14" s="1"/>
  <c r="DY12" i="14"/>
  <c r="CK11" i="14"/>
  <c r="S11" i="14"/>
  <c r="BG11" i="14"/>
  <c r="CU11" i="14"/>
  <c r="AC11" i="14"/>
  <c r="DE11" i="14"/>
  <c r="DY11" i="14"/>
  <c r="EQ31" i="14" l="1"/>
  <c r="ES31" i="14"/>
  <c r="EH29" i="14"/>
  <c r="EI18" i="14"/>
  <c r="EN28" i="14" s="1"/>
  <c r="EX15" i="14"/>
  <c r="EZ15" i="14" s="1"/>
  <c r="ER27" i="14" s="1"/>
  <c r="EQ27" i="14" s="1"/>
  <c r="ES27" i="14" s="1"/>
  <c r="EH12" i="14"/>
  <c r="EI24" i="14"/>
  <c r="EJ24" i="14" s="1"/>
  <c r="EJ23" i="14"/>
  <c r="EI20" i="14"/>
  <c r="EJ20" i="14" s="1"/>
  <c r="EI30" i="14"/>
  <c r="EJ30" i="14" s="1"/>
  <c r="EJ22" i="14"/>
  <c r="EN30" i="14"/>
  <c r="EI12" i="14"/>
  <c r="EJ12" i="14" s="1"/>
  <c r="EI11" i="14"/>
  <c r="EI16" i="14"/>
  <c r="EJ16" i="14" s="1"/>
  <c r="EI19" i="14"/>
  <c r="EJ19" i="14" s="1"/>
  <c r="EI21" i="14"/>
  <c r="EJ21" i="14" s="1"/>
  <c r="EI29" i="14"/>
  <c r="EJ29" i="14" s="1"/>
  <c r="EI27" i="14"/>
  <c r="EJ27" i="14" s="1"/>
  <c r="EJ18" i="14" l="1"/>
  <c r="EJ11" i="14"/>
  <c r="EN26" i="14"/>
  <c r="EP30" i="14"/>
  <c r="ER30" i="14"/>
  <c r="ER28" i="14"/>
  <c r="EP28" i="14"/>
  <c r="EQ30" i="14" l="1"/>
  <c r="ES30" i="14" s="1"/>
  <c r="ER26" i="14"/>
  <c r="EP26" i="14"/>
  <c r="EQ28" i="14"/>
  <c r="ES28" i="14" s="1"/>
  <c r="EQ26" i="14" l="1"/>
  <c r="ES26" i="14" s="1"/>
</calcChain>
</file>

<file path=xl/sharedStrings.xml><?xml version="1.0" encoding="utf-8"?>
<sst xmlns="http://schemas.openxmlformats.org/spreadsheetml/2006/main" count="3876" uniqueCount="258">
  <si>
    <t>Luas Panen</t>
  </si>
  <si>
    <t>Produksi</t>
  </si>
  <si>
    <t>Komuditas</t>
  </si>
  <si>
    <t>No</t>
  </si>
  <si>
    <t>Distribusi</t>
  </si>
  <si>
    <t>Luas Kerusakan</t>
  </si>
  <si>
    <t>(Ton)</t>
  </si>
  <si>
    <t>(Ha)</t>
  </si>
  <si>
    <t>Masuk (Ton)</t>
  </si>
  <si>
    <t>Keluar (Ton)</t>
  </si>
  <si>
    <t>Puso (Ha)</t>
  </si>
  <si>
    <t>I</t>
  </si>
  <si>
    <t>Padi-Padian</t>
  </si>
  <si>
    <t>BULAN  : Januari</t>
  </si>
  <si>
    <t>II</t>
  </si>
  <si>
    <t>Umbi - Umbian</t>
  </si>
  <si>
    <t>Ubi Kayu</t>
  </si>
  <si>
    <t>Ubi Jalar / Ketela Rambat</t>
  </si>
  <si>
    <t>III</t>
  </si>
  <si>
    <t>Kacang - Kacangan</t>
  </si>
  <si>
    <t>Kacang Tanah</t>
  </si>
  <si>
    <t>Kedelai</t>
  </si>
  <si>
    <t>Kacang Hijau</t>
  </si>
  <si>
    <t>IV</t>
  </si>
  <si>
    <t>Sayuran</t>
  </si>
  <si>
    <t>Bawang Merah</t>
  </si>
  <si>
    <t>Bawang Putih</t>
  </si>
  <si>
    <t>Bawang Daun</t>
  </si>
  <si>
    <t>Kentang</t>
  </si>
  <si>
    <t>Kubis</t>
  </si>
  <si>
    <t>Kembang Kol</t>
  </si>
  <si>
    <t>Petsai / Sawi</t>
  </si>
  <si>
    <t>Wortel</t>
  </si>
  <si>
    <t>Kacang Merah</t>
  </si>
  <si>
    <t>Kacang Panjang</t>
  </si>
  <si>
    <t xml:space="preserve">Cabe Besar </t>
  </si>
  <si>
    <t>Cabe Rawit</t>
  </si>
  <si>
    <t xml:space="preserve">Jamur </t>
  </si>
  <si>
    <t>Tomat</t>
  </si>
  <si>
    <t>Terung</t>
  </si>
  <si>
    <t>Buncis</t>
  </si>
  <si>
    <t>Ketimun</t>
  </si>
  <si>
    <t>Melon</t>
  </si>
  <si>
    <t>V</t>
  </si>
  <si>
    <t>Buah - Buahan</t>
  </si>
  <si>
    <t>Semangka</t>
  </si>
  <si>
    <t>Belimbing</t>
  </si>
  <si>
    <t>Duku/Langsat/kokosan</t>
  </si>
  <si>
    <t>Durian</t>
  </si>
  <si>
    <t>Jambu Biji</t>
  </si>
  <si>
    <t>Jambu Air</t>
  </si>
  <si>
    <t>Jeruk Siam/Keprok</t>
  </si>
  <si>
    <t>Jeruk Besar</t>
  </si>
  <si>
    <t>Mangga</t>
  </si>
  <si>
    <t>Manggis</t>
  </si>
  <si>
    <t xml:space="preserve">Nangka </t>
  </si>
  <si>
    <t>Nanas</t>
  </si>
  <si>
    <t>Alpukat</t>
  </si>
  <si>
    <t>Pepaya</t>
  </si>
  <si>
    <t>Pisang</t>
  </si>
  <si>
    <t>Rambutan</t>
  </si>
  <si>
    <t>Salak</t>
  </si>
  <si>
    <t>Sukun</t>
  </si>
  <si>
    <t>Sawo</t>
  </si>
  <si>
    <t>Sirsak</t>
  </si>
  <si>
    <t>Melinjo</t>
  </si>
  <si>
    <t>Petai</t>
  </si>
  <si>
    <t>VI</t>
  </si>
  <si>
    <t>Peternakan</t>
  </si>
  <si>
    <t>Labu Siam</t>
  </si>
  <si>
    <t>Kangkung</t>
  </si>
  <si>
    <t>Bayam</t>
  </si>
  <si>
    <t>VII</t>
  </si>
  <si>
    <t>Perikanan</t>
  </si>
  <si>
    <t>Perairan Umum</t>
  </si>
  <si>
    <t xml:space="preserve">Baung </t>
  </si>
  <si>
    <t>Mujair</t>
  </si>
  <si>
    <t>Nila</t>
  </si>
  <si>
    <t>Lele</t>
  </si>
  <si>
    <t>Mas</t>
  </si>
  <si>
    <t>Tawes</t>
  </si>
  <si>
    <t>Patin Jambal</t>
  </si>
  <si>
    <t>Udang Tawar</t>
  </si>
  <si>
    <t>Cendro</t>
  </si>
  <si>
    <t>Banyar</t>
  </si>
  <si>
    <t>Kembung</t>
  </si>
  <si>
    <t>Selar Komo</t>
  </si>
  <si>
    <t>Tongkol</t>
  </si>
  <si>
    <t>Cakalang</t>
  </si>
  <si>
    <t>Lemadang</t>
  </si>
  <si>
    <t>Tengiri</t>
  </si>
  <si>
    <t>Kuwe</t>
  </si>
  <si>
    <t>Lencam</t>
  </si>
  <si>
    <t>Kakap Merah</t>
  </si>
  <si>
    <t>Ekor Kuning</t>
  </si>
  <si>
    <t>Kerapu Karang</t>
  </si>
  <si>
    <t>Kerapu Lumpur</t>
  </si>
  <si>
    <t>Lobster Mutiara</t>
  </si>
  <si>
    <t>Lobster Pasir</t>
  </si>
  <si>
    <t>Lobster Batu</t>
  </si>
  <si>
    <t>Gurita</t>
  </si>
  <si>
    <t>Perikanan Budidaya</t>
  </si>
  <si>
    <t>Gurami</t>
  </si>
  <si>
    <t xml:space="preserve">Patin </t>
  </si>
  <si>
    <t>Sapi Potong</t>
  </si>
  <si>
    <t>Sapi Perah / Susu</t>
  </si>
  <si>
    <t>Kambing</t>
  </si>
  <si>
    <t>Domba</t>
  </si>
  <si>
    <t>Babi</t>
  </si>
  <si>
    <t>Ayam Pedaging</t>
  </si>
  <si>
    <t>( Ton / Ekor )</t>
  </si>
  <si>
    <t>( Karkas / Ton )</t>
  </si>
  <si>
    <t>pakan</t>
  </si>
  <si>
    <t>bibit</t>
  </si>
  <si>
    <t>food</t>
  </si>
  <si>
    <t>non food</t>
  </si>
  <si>
    <t>tercecer</t>
  </si>
  <si>
    <t>kg/kap/th</t>
  </si>
  <si>
    <t>KABUPATEN BLITAR</t>
  </si>
  <si>
    <t>Jagung</t>
  </si>
  <si>
    <t>Petsai/Sawi</t>
  </si>
  <si>
    <t>VIII</t>
  </si>
  <si>
    <t>Kopi</t>
  </si>
  <si>
    <t>Kakao</t>
  </si>
  <si>
    <t>Gula Merah</t>
  </si>
  <si>
    <t>Produktifitas</t>
  </si>
  <si>
    <t>Perkebunan</t>
  </si>
  <si>
    <t>Udang</t>
  </si>
  <si>
    <t>(Ton/Ha)</t>
  </si>
  <si>
    <t>Buah-buahan</t>
  </si>
  <si>
    <t>Jumlah RT</t>
  </si>
  <si>
    <t xml:space="preserve"> ( Ekor )</t>
  </si>
  <si>
    <t>Populasi</t>
  </si>
  <si>
    <t>Usaha Peternakan</t>
  </si>
  <si>
    <t>Kebutuhan Konsumsi</t>
  </si>
  <si>
    <t>Daging sapi</t>
  </si>
  <si>
    <t>NB : DATA BULOG</t>
  </si>
  <si>
    <t>Kelapa Berkulit/Daging</t>
  </si>
  <si>
    <t>Kelapa Daging/Kopra</t>
  </si>
  <si>
    <t>Tebu (Gula Pasir)</t>
  </si>
  <si>
    <t>Padi Total (Sawah+Ladang)</t>
  </si>
  <si>
    <t>DINAS PERTANIAN DAN PANGAN KABUPATEN BLITAR</t>
  </si>
  <si>
    <t>DATA KETERSEDIAAN PANGAN</t>
  </si>
  <si>
    <t>Kabupaten</t>
  </si>
  <si>
    <t>: BLITAR</t>
  </si>
  <si>
    <t>Bulan  :</t>
  </si>
  <si>
    <t>Jumlah Penduduk</t>
  </si>
  <si>
    <t>Tahun :</t>
  </si>
  <si>
    <t>No.</t>
  </si>
  <si>
    <t>Komoditas</t>
  </si>
  <si>
    <t xml:space="preserve">  Distribusi</t>
  </si>
  <si>
    <t>Ketersediaan</t>
  </si>
  <si>
    <t>Umbi Kayu</t>
  </si>
  <si>
    <t>Umbi Jalar/Ketela Rambat</t>
  </si>
  <si>
    <t>Sayur - Sayuran</t>
  </si>
  <si>
    <t>Bawang merah</t>
  </si>
  <si>
    <t>Cabe besar</t>
  </si>
  <si>
    <t>Cabe rawit</t>
  </si>
  <si>
    <t>Kacang panjang</t>
  </si>
  <si>
    <t>kacang tanah</t>
  </si>
  <si>
    <t>Gula Pasir</t>
  </si>
  <si>
    <t>Sumber Data:  Dinas Pertanian dan Pangan, Dinas Peternakan dan Perikanan, BPS</t>
  </si>
  <si>
    <t>Banyak Kematian</t>
  </si>
  <si>
    <t>Ekor (bln)</t>
  </si>
  <si>
    <t>Itik (Telur)</t>
  </si>
  <si>
    <t>Lainnya</t>
  </si>
  <si>
    <t>Markisa/Konyal</t>
  </si>
  <si>
    <t>Bulan</t>
  </si>
  <si>
    <t>Keluar</t>
  </si>
  <si>
    <t>Masuk</t>
  </si>
  <si>
    <t>Januari</t>
  </si>
  <si>
    <t>Pebruari</t>
  </si>
  <si>
    <t>Maret</t>
  </si>
  <si>
    <t>April</t>
  </si>
  <si>
    <t>Mei</t>
  </si>
  <si>
    <t>Juni</t>
  </si>
  <si>
    <t xml:space="preserve">Juli </t>
  </si>
  <si>
    <t>Agustus</t>
  </si>
  <si>
    <t>September</t>
  </si>
  <si>
    <t>Oktober</t>
  </si>
  <si>
    <t>November</t>
  </si>
  <si>
    <t>Desember</t>
  </si>
  <si>
    <t>Perairan Laut</t>
  </si>
  <si>
    <t>ton/bln</t>
  </si>
  <si>
    <t>Juli</t>
  </si>
  <si>
    <t>Nopember</t>
  </si>
  <si>
    <t>DISTRIBUSI BERAS MEDIUM</t>
  </si>
  <si>
    <t>DISTRIBUSI BERAS PREMIUM</t>
  </si>
  <si>
    <t>PERSEDIAAN AWAL</t>
  </si>
  <si>
    <t>PERSEDIAAN AKHIR BULAN</t>
  </si>
  <si>
    <t>Beras Premium</t>
  </si>
  <si>
    <t>Beras Medium</t>
  </si>
  <si>
    <t>Puso</t>
  </si>
  <si>
    <t>Pari</t>
  </si>
  <si>
    <t>DATA KETERSEDIAAN STOK BERAS</t>
  </si>
  <si>
    <t xml:space="preserve"> </t>
  </si>
  <si>
    <t>DATA PRODUKSI PANGAN</t>
  </si>
  <si>
    <t>Satuan netto : Kg</t>
  </si>
  <si>
    <t>Luas Lahan</t>
  </si>
  <si>
    <t>Jagung Total (Sawah+Ladang)</t>
  </si>
  <si>
    <t>Jml penduduk 2019 :</t>
  </si>
  <si>
    <t>KONVERSI</t>
  </si>
  <si>
    <t>PEMAKAIAN DALAM NEGERI</t>
  </si>
  <si>
    <t>Diolah untuk</t>
  </si>
  <si>
    <t>Bln</t>
  </si>
  <si>
    <t>Ayam Ras Petelur</t>
  </si>
  <si>
    <t>Ayam Buras (Telur)</t>
  </si>
  <si>
    <t>Bandeng</t>
  </si>
  <si>
    <t xml:space="preserve">BULAN  : Februari </t>
  </si>
  <si>
    <t>BULAN  : Maret</t>
  </si>
  <si>
    <t>Luas Penanaman  (Baru)</t>
  </si>
  <si>
    <t>Kematian</t>
  </si>
  <si>
    <t xml:space="preserve">Ayam Pedaging </t>
  </si>
  <si>
    <t>(Ton/Bln)</t>
  </si>
  <si>
    <t>Rekap  :</t>
  </si>
  <si>
    <t>Januari - Desember</t>
  </si>
  <si>
    <t>(Pohon/Rumpun)</t>
  </si>
  <si>
    <t>Luas Tanaman Akhir Bulan Yang Lalu</t>
  </si>
  <si>
    <t>BULAN  : April</t>
  </si>
  <si>
    <t>BULAN  : Mei</t>
  </si>
  <si>
    <t>BULAN  : Juni</t>
  </si>
  <si>
    <t>BULAN  : Juli</t>
  </si>
  <si>
    <t>BULAN  : Desember</t>
  </si>
  <si>
    <t>BULAN  : Nopember</t>
  </si>
  <si>
    <t>BULAN  : Oktober</t>
  </si>
  <si>
    <t>BULAN  : September</t>
  </si>
  <si>
    <t>BULAN  : Agustus</t>
  </si>
  <si>
    <t>BULAN  : Januari - Desember</t>
  </si>
  <si>
    <t>TAHUN : 2020</t>
  </si>
  <si>
    <t>DINAS PERTANIAN DAN PANGAN KABUPATEN BLITAR TAHUN 2020</t>
  </si>
  <si>
    <t>TBM/TTM (Ha)</t>
  </si>
  <si>
    <t>Padi/Gabah (GKG)</t>
  </si>
  <si>
    <t>Beras</t>
  </si>
  <si>
    <t>KEBUTUHAN KONSUMSI</t>
  </si>
  <si>
    <t>BERAS</t>
  </si>
  <si>
    <t>JAGUNG</t>
  </si>
  <si>
    <t>BAWANG MERAH</t>
  </si>
  <si>
    <t>BAWANG PUTIH</t>
  </si>
  <si>
    <t>CABE BESAR</t>
  </si>
  <si>
    <t>CABE RAWIT</t>
  </si>
  <si>
    <t>Tahun (Ton)</t>
  </si>
  <si>
    <t>Bulan (Ton)</t>
  </si>
  <si>
    <t>Hari (Ton)</t>
  </si>
  <si>
    <t>KETERSEDIAAN</t>
  </si>
  <si>
    <t>Februari</t>
  </si>
  <si>
    <t>Jumlah Penduduk : 1,259.426</t>
  </si>
  <si>
    <t>SUSENAS 2020</t>
  </si>
  <si>
    <t>Luas Tanaman Total</t>
  </si>
  <si>
    <t>Luas Panen Total</t>
  </si>
  <si>
    <t>: 1.259.420</t>
  </si>
  <si>
    <t>-</t>
  </si>
  <si>
    <t>Defisit/Surplus</t>
  </si>
  <si>
    <t>Total</t>
  </si>
  <si>
    <t xml:space="preserve">Defisit </t>
  </si>
  <si>
    <t>Surplus</t>
  </si>
  <si>
    <t>Tahun</t>
  </si>
  <si>
    <t xml:space="preserve">Ketersediaan Energi </t>
  </si>
  <si>
    <t>Ketersediaan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</si>
</sst>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"/>
    <numFmt numFmtId="168" formatCode="_(* #,##0_);_(* \(#,##0\);_(* &quot;-&quot;??_);_(@_)"/>
    <numFmt numFmtId="169" formatCode="_(* #,##0.0_);_(* \(#,##0.0\);_(* &quot;-&quot;?_);_(@_)"/>
    <numFmt numFmtId="170" formatCode="_(* #,##0.000_);_(* \(#,##0.000\);_(* &quot;-&quot;???_);_(@_)"/>
  </numFmts>
  <fonts count="25" x14ac:knownFonts="1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3">
    <xf numFmtId="0" fontId="0" fillId="0" borderId="0" xfId="0"/>
    <xf numFmtId="0" fontId="0" fillId="0" borderId="1" xfId="0" applyBorder="1"/>
    <xf numFmtId="165" fontId="0" fillId="0" borderId="1" xfId="0" applyNumberFormat="1" applyBorder="1" applyAlignment="1">
      <alignment horizontal="left" vertical="center"/>
    </xf>
    <xf numFmtId="165" fontId="0" fillId="0" borderId="1" xfId="0" applyNumberFormat="1" applyBorder="1"/>
    <xf numFmtId="0" fontId="0" fillId="0" borderId="1" xfId="0" applyBorder="1" applyAlignment="1">
      <alignment horizontal="right" vertical="center"/>
    </xf>
    <xf numFmtId="166" fontId="0" fillId="0" borderId="0" xfId="0" applyNumberFormat="1"/>
    <xf numFmtId="166" fontId="0" fillId="0" borderId="1" xfId="0" applyNumberFormat="1" applyBorder="1"/>
    <xf numFmtId="166" fontId="0" fillId="0" borderId="1" xfId="0" applyNumberFormat="1" applyBorder="1" applyAlignment="1">
      <alignment horizontal="right" vertical="center"/>
    </xf>
    <xf numFmtId="169" fontId="0" fillId="0" borderId="0" xfId="0" applyNumberFormat="1" applyAlignment="1">
      <alignment horizontal="right" vertical="center"/>
    </xf>
    <xf numFmtId="169" fontId="3" fillId="2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166" fontId="2" fillId="0" borderId="0" xfId="1" applyFont="1" applyBorder="1" applyAlignment="1">
      <alignment horizontal="right" vertical="center"/>
    </xf>
    <xf numFmtId="169" fontId="0" fillId="0" borderId="0" xfId="0" applyNumberFormat="1"/>
    <xf numFmtId="10" fontId="5" fillId="3" borderId="1" xfId="3" applyNumberFormat="1" applyFont="1" applyFill="1" applyBorder="1" applyAlignment="1">
      <alignment horizontal="center"/>
    </xf>
    <xf numFmtId="10" fontId="5" fillId="4" borderId="1" xfId="3" applyNumberFormat="1" applyFont="1" applyFill="1" applyBorder="1" applyAlignment="1">
      <alignment horizontal="center"/>
    </xf>
    <xf numFmtId="10" fontId="5" fillId="5" borderId="1" xfId="3" applyNumberFormat="1" applyFont="1" applyFill="1" applyBorder="1" applyAlignment="1">
      <alignment horizontal="center"/>
    </xf>
    <xf numFmtId="10" fontId="5" fillId="6" borderId="1" xfId="3" applyNumberFormat="1" applyFont="1" applyFill="1" applyBorder="1" applyAlignment="1">
      <alignment horizontal="center"/>
    </xf>
    <xf numFmtId="0" fontId="3" fillId="0" borderId="0" xfId="0" applyFont="1"/>
    <xf numFmtId="166" fontId="6" fillId="0" borderId="1" xfId="1" applyFont="1" applyBorder="1"/>
    <xf numFmtId="0" fontId="5" fillId="0" borderId="0" xfId="0" applyFont="1"/>
    <xf numFmtId="3" fontId="7" fillId="0" borderId="0" xfId="0" applyNumberFormat="1" applyFont="1" applyAlignment="1">
      <alignment wrapText="1"/>
    </xf>
    <xf numFmtId="0" fontId="8" fillId="0" borderId="0" xfId="0" applyFont="1"/>
    <xf numFmtId="10" fontId="5" fillId="4" borderId="2" xfId="3" applyNumberFormat="1" applyFont="1" applyFill="1" applyBorder="1" applyAlignment="1">
      <alignment horizontal="center"/>
    </xf>
    <xf numFmtId="164" fontId="0" fillId="0" borderId="0" xfId="0" applyNumberFormat="1"/>
    <xf numFmtId="0" fontId="3" fillId="7" borderId="1" xfId="0" applyFont="1" applyFill="1" applyBorder="1" applyAlignment="1">
      <alignment vertical="center"/>
    </xf>
    <xf numFmtId="165" fontId="3" fillId="7" borderId="1" xfId="0" applyNumberFormat="1" applyFont="1" applyFill="1" applyBorder="1" applyAlignment="1">
      <alignment horizontal="center" vertical="center"/>
    </xf>
    <xf numFmtId="166" fontId="2" fillId="7" borderId="1" xfId="1" applyFont="1" applyFill="1" applyBorder="1" applyAlignment="1">
      <alignment horizontal="right" vertical="center"/>
    </xf>
    <xf numFmtId="166" fontId="2" fillId="7" borderId="1" xfId="1" applyFont="1" applyFill="1" applyBorder="1" applyAlignment="1">
      <alignment horizontal="center" vertical="center"/>
    </xf>
    <xf numFmtId="166" fontId="2" fillId="7" borderId="1" xfId="1" applyFont="1" applyFill="1" applyBorder="1"/>
    <xf numFmtId="166" fontId="0" fillId="7" borderId="1" xfId="0" applyNumberFormat="1" applyFill="1" applyBorder="1"/>
    <xf numFmtId="0" fontId="0" fillId="7" borderId="0" xfId="0" applyFill="1"/>
    <xf numFmtId="0" fontId="3" fillId="7" borderId="1" xfId="0" applyFont="1" applyFill="1" applyBorder="1"/>
    <xf numFmtId="164" fontId="3" fillId="7" borderId="1" xfId="0" applyNumberFormat="1" applyFont="1" applyFill="1" applyBorder="1" applyAlignment="1">
      <alignment horizontal="left" vertical="center"/>
    </xf>
    <xf numFmtId="169" fontId="0" fillId="7" borderId="1" xfId="0" applyNumberFormat="1" applyFill="1" applyBorder="1" applyAlignment="1">
      <alignment horizontal="right" vertical="center"/>
    </xf>
    <xf numFmtId="165" fontId="0" fillId="7" borderId="1" xfId="0" applyNumberFormat="1" applyFill="1" applyBorder="1" applyAlignment="1">
      <alignment horizontal="center" vertical="center"/>
    </xf>
    <xf numFmtId="166" fontId="3" fillId="7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166" fontId="0" fillId="7" borderId="1" xfId="0" applyNumberFormat="1" applyFill="1" applyBorder="1" applyAlignment="1">
      <alignment horizontal="right" vertical="center"/>
    </xf>
    <xf numFmtId="0" fontId="3" fillId="7" borderId="0" xfId="0" applyFont="1" applyFill="1" applyAlignment="1">
      <alignment horizontal="center" vertical="center"/>
    </xf>
    <xf numFmtId="166" fontId="3" fillId="0" borderId="1" xfId="1" applyFont="1" applyBorder="1" applyAlignment="1">
      <alignment horizontal="right" vertical="center"/>
    </xf>
    <xf numFmtId="166" fontId="3" fillId="7" borderId="3" xfId="1" applyFont="1" applyFill="1" applyBorder="1" applyAlignment="1">
      <alignment vertical="center"/>
    </xf>
    <xf numFmtId="0" fontId="3" fillId="7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165" fontId="3" fillId="0" borderId="1" xfId="0" applyNumberFormat="1" applyFont="1" applyBorder="1"/>
    <xf numFmtId="166" fontId="3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/>
    <xf numFmtId="166" fontId="10" fillId="0" borderId="1" xfId="0" applyNumberFormat="1" applyFont="1" applyBorder="1" applyAlignment="1">
      <alignment horizontal="right" vertical="center" shrinkToFit="1"/>
    </xf>
    <xf numFmtId="166" fontId="6" fillId="0" borderId="1" xfId="0" applyNumberFormat="1" applyFont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right"/>
    </xf>
    <xf numFmtId="0" fontId="3" fillId="0" borderId="1" xfId="0" applyFont="1" applyBorder="1"/>
    <xf numFmtId="166" fontId="6" fillId="0" borderId="1" xfId="0" applyNumberFormat="1" applyFont="1" applyBorder="1" applyAlignment="1">
      <alignment horizontal="right" vertical="center" wrapText="1" shrinkToFit="1"/>
    </xf>
    <xf numFmtId="166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39" fontId="0" fillId="0" borderId="0" xfId="0" applyNumberFormat="1"/>
    <xf numFmtId="4" fontId="0" fillId="0" borderId="0" xfId="0" applyNumberFormat="1"/>
    <xf numFmtId="0" fontId="11" fillId="0" borderId="0" xfId="0" applyFont="1"/>
    <xf numFmtId="164" fontId="2" fillId="0" borderId="0" xfId="2" applyFont="1"/>
    <xf numFmtId="166" fontId="6" fillId="0" borderId="1" xfId="0" applyNumberFormat="1" applyFont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0" fontId="5" fillId="5" borderId="2" xfId="3" applyNumberFormat="1" applyFont="1" applyFill="1" applyBorder="1" applyAlignment="1">
      <alignment horizontal="center"/>
    </xf>
    <xf numFmtId="3" fontId="5" fillId="8" borderId="4" xfId="3" applyNumberFormat="1" applyFont="1" applyFill="1" applyBorder="1" applyAlignment="1">
      <alignment horizontal="center"/>
    </xf>
    <xf numFmtId="4" fontId="5" fillId="8" borderId="5" xfId="3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/>
    </xf>
    <xf numFmtId="166" fontId="10" fillId="0" borderId="1" xfId="0" applyNumberFormat="1" applyFont="1" applyBorder="1"/>
    <xf numFmtId="166" fontId="12" fillId="0" borderId="1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10" fillId="7" borderId="1" xfId="0" applyNumberFormat="1" applyFont="1" applyFill="1" applyBorder="1" applyAlignment="1">
      <alignment horizontal="right" vertical="center" shrinkToFit="1"/>
    </xf>
    <xf numFmtId="166" fontId="6" fillId="7" borderId="1" xfId="0" applyNumberFormat="1" applyFont="1" applyFill="1" applyBorder="1"/>
    <xf numFmtId="0" fontId="13" fillId="0" borderId="0" xfId="0" applyFont="1"/>
    <xf numFmtId="166" fontId="2" fillId="0" borderId="1" xfId="1" applyFont="1" applyBorder="1" applyAlignment="1">
      <alignment horizontal="right" vertical="center"/>
    </xf>
    <xf numFmtId="166" fontId="3" fillId="7" borderId="1" xfId="1" applyFont="1" applyFill="1" applyBorder="1" applyAlignment="1">
      <alignment horizontal="right" vertical="center"/>
    </xf>
    <xf numFmtId="166" fontId="3" fillId="0" borderId="0" xfId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6" fontId="2" fillId="0" borderId="1" xfId="1" applyFont="1" applyBorder="1" applyAlignment="1">
      <alignment horizontal="center" vertical="center"/>
    </xf>
    <xf numFmtId="166" fontId="2" fillId="0" borderId="1" xfId="1" applyFont="1" applyBorder="1" applyAlignment="1">
      <alignment horizontal="center"/>
    </xf>
    <xf numFmtId="166" fontId="2" fillId="7" borderId="1" xfId="1" applyFont="1" applyFill="1" applyBorder="1" applyAlignment="1">
      <alignment horizontal="center"/>
    </xf>
    <xf numFmtId="170" fontId="8" fillId="0" borderId="0" xfId="0" applyNumberFormat="1" applyFont="1"/>
    <xf numFmtId="170" fontId="5" fillId="0" borderId="0" xfId="0" applyNumberFormat="1" applyFont="1"/>
    <xf numFmtId="170" fontId="5" fillId="0" borderId="0" xfId="0" applyNumberFormat="1" applyFont="1" applyAlignment="1">
      <alignment horizontal="right"/>
    </xf>
    <xf numFmtId="170" fontId="0" fillId="0" borderId="0" xfId="0" applyNumberFormat="1"/>
    <xf numFmtId="166" fontId="2" fillId="0" borderId="1" xfId="1" applyFont="1" applyBorder="1"/>
    <xf numFmtId="0" fontId="3" fillId="2" borderId="6" xfId="0" applyFont="1" applyFill="1" applyBorder="1" applyAlignment="1">
      <alignment horizontal="center" vertical="center"/>
    </xf>
    <xf numFmtId="0" fontId="6" fillId="0" borderId="1" xfId="0" applyFont="1" applyBorder="1"/>
    <xf numFmtId="166" fontId="6" fillId="0" borderId="1" xfId="0" applyNumberFormat="1" applyFont="1" applyBorder="1" applyAlignment="1">
      <alignment horizontal="right" vertical="center"/>
    </xf>
    <xf numFmtId="3" fontId="5" fillId="8" borderId="7" xfId="3" applyNumberFormat="1" applyFont="1" applyFill="1" applyBorder="1" applyAlignment="1">
      <alignment horizontal="center"/>
    </xf>
    <xf numFmtId="10" fontId="15" fillId="4" borderId="1" xfId="3" applyNumberFormat="1" applyFont="1" applyFill="1" applyBorder="1" applyAlignment="1">
      <alignment horizontal="center"/>
    </xf>
    <xf numFmtId="166" fontId="3" fillId="7" borderId="6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6" xfId="0" applyFont="1" applyFill="1" applyBorder="1" applyAlignment="1">
      <alignment horizontal="left"/>
    </xf>
    <xf numFmtId="0" fontId="3" fillId="7" borderId="6" xfId="0" applyFont="1" applyFill="1" applyBorder="1"/>
    <xf numFmtId="0" fontId="16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6" fontId="5" fillId="10" borderId="1" xfId="3" applyNumberFormat="1" applyFont="1" applyFill="1" applyBorder="1" applyAlignment="1">
      <alignment horizontal="center"/>
    </xf>
    <xf numFmtId="166" fontId="5" fillId="1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6" fontId="10" fillId="10" borderId="1" xfId="0" applyNumberFormat="1" applyFont="1" applyFill="1" applyBorder="1" applyAlignment="1">
      <alignment horizontal="center" vertical="center" wrapText="1"/>
    </xf>
    <xf numFmtId="166" fontId="10" fillId="10" borderId="1" xfId="0" applyNumberFormat="1" applyFont="1" applyFill="1" applyBorder="1" applyAlignment="1">
      <alignment horizontal="center" vertical="center" shrinkToFit="1"/>
    </xf>
    <xf numFmtId="0" fontId="0" fillId="3" borderId="0" xfId="0" applyFill="1"/>
    <xf numFmtId="166" fontId="10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 shrinkToFit="1"/>
    </xf>
    <xf numFmtId="3" fontId="5" fillId="8" borderId="1" xfId="3" applyNumberFormat="1" applyFont="1" applyFill="1" applyBorder="1" applyAlignment="1">
      <alignment horizontal="center"/>
    </xf>
    <xf numFmtId="166" fontId="10" fillId="7" borderId="1" xfId="1" applyFont="1" applyFill="1" applyBorder="1"/>
    <xf numFmtId="0" fontId="0" fillId="7" borderId="1" xfId="0" applyFill="1" applyBorder="1" applyAlignment="1">
      <alignment vertical="center"/>
    </xf>
    <xf numFmtId="165" fontId="0" fillId="7" borderId="1" xfId="0" applyNumberFormat="1" applyFill="1" applyBorder="1" applyAlignment="1">
      <alignment vertical="center"/>
    </xf>
    <xf numFmtId="166" fontId="10" fillId="7" borderId="1" xfId="1" applyFont="1" applyFill="1" applyBorder="1" applyAlignment="1">
      <alignment vertical="center"/>
    </xf>
    <xf numFmtId="166" fontId="2" fillId="7" borderId="1" xfId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166" fontId="3" fillId="0" borderId="1" xfId="0" applyNumberFormat="1" applyFont="1" applyBorder="1"/>
    <xf numFmtId="166" fontId="3" fillId="7" borderId="1" xfId="0" applyNumberFormat="1" applyFont="1" applyFill="1" applyBorder="1" applyAlignment="1">
      <alignment horizontal="center" vertical="center"/>
    </xf>
    <xf numFmtId="166" fontId="0" fillId="7" borderId="1" xfId="0" applyNumberFormat="1" applyFill="1" applyBorder="1" applyAlignment="1">
      <alignment vertical="center"/>
    </xf>
    <xf numFmtId="166" fontId="3" fillId="7" borderId="3" xfId="0" applyNumberFormat="1" applyFont="1" applyFill="1" applyBorder="1" applyAlignment="1">
      <alignment horizontal="center" vertical="center"/>
    </xf>
    <xf numFmtId="166" fontId="3" fillId="7" borderId="6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  <xf numFmtId="166" fontId="3" fillId="7" borderId="1" xfId="0" applyNumberFormat="1" applyFont="1" applyFill="1" applyBorder="1"/>
    <xf numFmtId="166" fontId="3" fillId="7" borderId="6" xfId="0" applyNumberFormat="1" applyFont="1" applyFill="1" applyBorder="1"/>
    <xf numFmtId="166" fontId="3" fillId="0" borderId="1" xfId="0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164" fontId="17" fillId="0" borderId="1" xfId="1" applyNumberFormat="1" applyFont="1" applyBorder="1"/>
    <xf numFmtId="168" fontId="1" fillId="0" borderId="1" xfId="0" applyNumberFormat="1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0" xfId="0" applyFont="1"/>
    <xf numFmtId="166" fontId="19" fillId="9" borderId="1" xfId="0" applyNumberFormat="1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166" fontId="19" fillId="8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/>
    <xf numFmtId="166" fontId="6" fillId="0" borderId="1" xfId="1" applyFont="1" applyBorder="1" applyAlignment="1">
      <alignment horizontal="right" vertical="center"/>
    </xf>
    <xf numFmtId="166" fontId="12" fillId="7" borderId="1" xfId="0" applyNumberFormat="1" applyFont="1" applyFill="1" applyBorder="1"/>
    <xf numFmtId="166" fontId="2" fillId="0" borderId="1" xfId="1" applyFont="1" applyFill="1" applyBorder="1" applyAlignment="1">
      <alignment horizontal="right" vertical="center"/>
    </xf>
    <xf numFmtId="164" fontId="17" fillId="0" borderId="0" xfId="0" applyNumberFormat="1" applyFont="1" applyAlignment="1">
      <alignment horizontal="left" vertical="center"/>
    </xf>
    <xf numFmtId="3" fontId="20" fillId="0" borderId="0" xfId="0" applyNumberFormat="1" applyFont="1" applyAlignment="1">
      <alignment wrapText="1"/>
    </xf>
    <xf numFmtId="166" fontId="5" fillId="8" borderId="1" xfId="3" applyNumberFormat="1" applyFont="1" applyFill="1" applyBorder="1" applyAlignment="1">
      <alignment horizontal="center"/>
    </xf>
    <xf numFmtId="0" fontId="3" fillId="13" borderId="1" xfId="0" applyFont="1" applyFill="1" applyBorder="1"/>
    <xf numFmtId="166" fontId="10" fillId="13" borderId="1" xfId="0" applyNumberFormat="1" applyFont="1" applyFill="1" applyBorder="1" applyAlignment="1">
      <alignment horizontal="right" vertical="center" shrinkToFit="1"/>
    </xf>
    <xf numFmtId="166" fontId="12" fillId="13" borderId="1" xfId="0" applyNumberFormat="1" applyFont="1" applyFill="1" applyBorder="1" applyAlignment="1">
      <alignment horizontal="right"/>
    </xf>
    <xf numFmtId="0" fontId="0" fillId="13" borderId="1" xfId="0" applyFill="1" applyBorder="1" applyAlignment="1">
      <alignment horizontal="center"/>
    </xf>
    <xf numFmtId="166" fontId="0" fillId="13" borderId="1" xfId="0" applyNumberFormat="1" applyFill="1" applyBorder="1" applyAlignment="1">
      <alignment horizontal="right"/>
    </xf>
    <xf numFmtId="164" fontId="5" fillId="8" borderId="1" xfId="3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164" fontId="0" fillId="13" borderId="1" xfId="0" applyNumberFormat="1" applyFill="1" applyBorder="1" applyAlignment="1">
      <alignment vertical="center"/>
    </xf>
    <xf numFmtId="10" fontId="5" fillId="13" borderId="1" xfId="3" applyNumberFormat="1" applyFont="1" applyFill="1" applyBorder="1" applyAlignment="1">
      <alignment horizontal="center"/>
    </xf>
    <xf numFmtId="166" fontId="5" fillId="13" borderId="1" xfId="3" applyNumberFormat="1" applyFont="1" applyFill="1" applyBorder="1" applyAlignment="1">
      <alignment horizontal="center"/>
    </xf>
    <xf numFmtId="3" fontId="5" fillId="13" borderId="7" xfId="3" applyNumberFormat="1" applyFont="1" applyFill="1" applyBorder="1" applyAlignment="1">
      <alignment horizontal="center"/>
    </xf>
    <xf numFmtId="10" fontId="5" fillId="3" borderId="6" xfId="3" applyNumberFormat="1" applyFont="1" applyFill="1" applyBorder="1" applyAlignment="1">
      <alignment horizontal="center"/>
    </xf>
    <xf numFmtId="10" fontId="5" fillId="4" borderId="6" xfId="3" applyNumberFormat="1" applyFont="1" applyFill="1" applyBorder="1" applyAlignment="1">
      <alignment horizontal="center"/>
    </xf>
    <xf numFmtId="10" fontId="5" fillId="5" borderId="6" xfId="3" applyNumberFormat="1" applyFont="1" applyFill="1" applyBorder="1" applyAlignment="1">
      <alignment horizontal="center"/>
    </xf>
    <xf numFmtId="10" fontId="5" fillId="6" borderId="6" xfId="3" applyNumberFormat="1" applyFont="1" applyFill="1" applyBorder="1" applyAlignment="1">
      <alignment horizontal="center"/>
    </xf>
    <xf numFmtId="166" fontId="5" fillId="10" borderId="6" xfId="3" applyNumberFormat="1" applyFont="1" applyFill="1" applyBorder="1" applyAlignment="1">
      <alignment horizontal="center"/>
    </xf>
    <xf numFmtId="166" fontId="5" fillId="8" borderId="6" xfId="3" applyNumberFormat="1" applyFont="1" applyFill="1" applyBorder="1" applyAlignment="1">
      <alignment horizontal="center"/>
    </xf>
    <xf numFmtId="3" fontId="5" fillId="8" borderId="9" xfId="3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166" fontId="6" fillId="0" borderId="6" xfId="0" applyNumberFormat="1" applyFont="1" applyBorder="1" applyAlignment="1">
      <alignment horizontal="right" vertical="center" shrinkToFit="1"/>
    </xf>
    <xf numFmtId="166" fontId="10" fillId="7" borderId="6" xfId="0" applyNumberFormat="1" applyFont="1" applyFill="1" applyBorder="1" applyAlignment="1">
      <alignment horizontal="right" vertical="center" shrinkToFit="1"/>
    </xf>
    <xf numFmtId="166" fontId="10" fillId="0" borderId="6" xfId="0" applyNumberFormat="1" applyFont="1" applyBorder="1" applyAlignment="1">
      <alignment horizontal="right" vertical="center" shrinkToFit="1"/>
    </xf>
    <xf numFmtId="166" fontId="12" fillId="0" borderId="6" xfId="0" applyNumberFormat="1" applyFon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0" fontId="0" fillId="13" borderId="9" xfId="0" applyFill="1" applyBorder="1"/>
    <xf numFmtId="166" fontId="10" fillId="13" borderId="9" xfId="0" applyNumberFormat="1" applyFont="1" applyFill="1" applyBorder="1" applyAlignment="1">
      <alignment horizontal="right" vertical="center" shrinkToFit="1"/>
    </xf>
    <xf numFmtId="166" fontId="5" fillId="0" borderId="0" xfId="0" applyNumberFormat="1" applyFont="1"/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2" fillId="0" borderId="1" xfId="1" applyNumberFormat="1" applyFont="1" applyBorder="1" applyAlignment="1">
      <alignment horizontal="center" vertical="center"/>
    </xf>
    <xf numFmtId="0" fontId="6" fillId="7" borderId="1" xfId="0" applyFont="1" applyFill="1" applyBorder="1"/>
    <xf numFmtId="0" fontId="0" fillId="7" borderId="1" xfId="0" applyFill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166" fontId="3" fillId="0" borderId="1" xfId="1" applyFont="1" applyFill="1" applyBorder="1" applyAlignment="1">
      <alignment horizontal="right" vertical="center"/>
    </xf>
    <xf numFmtId="166" fontId="3" fillId="0" borderId="1" xfId="1" applyFont="1" applyBorder="1"/>
    <xf numFmtId="166" fontId="3" fillId="7" borderId="1" xfId="1" applyFont="1" applyFill="1" applyBorder="1" applyAlignment="1">
      <alignment vertical="center"/>
    </xf>
    <xf numFmtId="0" fontId="10" fillId="7" borderId="1" xfId="0" applyFont="1" applyFill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166" fontId="3" fillId="0" borderId="1" xfId="0" applyNumberFormat="1" applyFont="1" applyBorder="1" applyAlignment="1">
      <alignment horizontal="right" vertical="center"/>
    </xf>
    <xf numFmtId="0" fontId="10" fillId="7" borderId="1" xfId="0" applyFont="1" applyFill="1" applyBorder="1"/>
    <xf numFmtId="166" fontId="3" fillId="0" borderId="1" xfId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right" vertical="center"/>
    </xf>
    <xf numFmtId="166" fontId="0" fillId="13" borderId="1" xfId="0" applyNumberFormat="1" applyFill="1" applyBorder="1"/>
    <xf numFmtId="0" fontId="0" fillId="0" borderId="9" xfId="0" applyBorder="1"/>
    <xf numFmtId="166" fontId="0" fillId="1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24" fillId="0" borderId="1" xfId="0" applyNumberFormat="1" applyFont="1" applyBorder="1" applyAlignment="1">
      <alignment horizontal="right" vertical="center" shrinkToFit="1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165" fontId="3" fillId="7" borderId="3" xfId="0" applyNumberFormat="1" applyFont="1" applyFill="1" applyBorder="1" applyAlignment="1">
      <alignment horizontal="center" vertical="center"/>
    </xf>
    <xf numFmtId="165" fontId="3" fillId="7" borderId="6" xfId="0" applyNumberFormat="1" applyFont="1" applyFill="1" applyBorder="1" applyAlignment="1">
      <alignment horizontal="center" vertical="center"/>
    </xf>
    <xf numFmtId="166" fontId="3" fillId="7" borderId="3" xfId="1" applyFont="1" applyFill="1" applyBorder="1" applyAlignment="1">
      <alignment horizontal="center" vertical="center"/>
    </xf>
    <xf numFmtId="166" fontId="3" fillId="7" borderId="6" xfId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6" fontId="10" fillId="3" borderId="3" xfId="0" applyNumberFormat="1" applyFont="1" applyFill="1" applyBorder="1" applyAlignment="1">
      <alignment horizontal="center" vertical="center" shrinkToFit="1"/>
    </xf>
    <xf numFmtId="166" fontId="10" fillId="3" borderId="6" xfId="0" applyNumberFormat="1" applyFont="1" applyFill="1" applyBorder="1" applyAlignment="1">
      <alignment horizontal="center" vertical="center" shrinkToFit="1"/>
    </xf>
    <xf numFmtId="166" fontId="10" fillId="3" borderId="3" xfId="0" applyNumberFormat="1" applyFont="1" applyFill="1" applyBorder="1" applyAlignment="1">
      <alignment horizontal="center" vertical="center"/>
    </xf>
    <xf numFmtId="166" fontId="10" fillId="3" borderId="6" xfId="0" applyNumberFormat="1" applyFont="1" applyFill="1" applyBorder="1" applyAlignment="1">
      <alignment horizontal="center" vertical="center"/>
    </xf>
    <xf numFmtId="166" fontId="10" fillId="3" borderId="4" xfId="0" applyNumberFormat="1" applyFont="1" applyFill="1" applyBorder="1" applyAlignment="1">
      <alignment horizontal="center" wrapText="1"/>
    </xf>
    <xf numFmtId="166" fontId="10" fillId="3" borderId="2" xfId="0" applyNumberFormat="1" applyFont="1" applyFill="1" applyBorder="1" applyAlignment="1">
      <alignment horizontal="center" wrapText="1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6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13" xfId="3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center"/>
    </xf>
    <xf numFmtId="10" fontId="5" fillId="3" borderId="14" xfId="3" applyNumberFormat="1" applyFont="1" applyFill="1" applyBorder="1" applyAlignment="1">
      <alignment horizontal="center"/>
    </xf>
    <xf numFmtId="10" fontId="5" fillId="3" borderId="9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70" fontId="8" fillId="11" borderId="3" xfId="0" applyNumberFormat="1" applyFont="1" applyFill="1" applyBorder="1" applyAlignment="1">
      <alignment horizontal="center" vertical="center"/>
    </xf>
    <xf numFmtId="170" fontId="8" fillId="11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8" fillId="14" borderId="13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9" fillId="11" borderId="4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3" xfId="0" applyFont="1" applyFill="1" applyBorder="1" applyAlignment="1">
      <alignment horizontal="center" vertical="center"/>
    </xf>
    <xf numFmtId="0" fontId="19" fillId="11" borderId="6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140</xdr:row>
      <xdr:rowOff>19050</xdr:rowOff>
    </xdr:from>
    <xdr:to>
      <xdr:col>5</xdr:col>
      <xdr:colOff>990600</xdr:colOff>
      <xdr:row>145</xdr:row>
      <xdr:rowOff>76200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26889075"/>
          <a:ext cx="6953250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10</xdr:col>
      <xdr:colOff>0</xdr:colOff>
      <xdr:row>140</xdr:row>
      <xdr:rowOff>0</xdr:rowOff>
    </xdr:from>
    <xdr:to>
      <xdr:col>15</xdr:col>
      <xdr:colOff>990600</xdr:colOff>
      <xdr:row>145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125200" y="26870025"/>
          <a:ext cx="67151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20</xdr:col>
      <xdr:colOff>0</xdr:colOff>
      <xdr:row>140</xdr:row>
      <xdr:rowOff>0</xdr:rowOff>
    </xdr:from>
    <xdr:to>
      <xdr:col>25</xdr:col>
      <xdr:colOff>990600</xdr:colOff>
      <xdr:row>145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012275" y="26870025"/>
          <a:ext cx="5562600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30</xdr:col>
      <xdr:colOff>0</xdr:colOff>
      <xdr:row>140</xdr:row>
      <xdr:rowOff>0</xdr:rowOff>
    </xdr:from>
    <xdr:to>
      <xdr:col>35</xdr:col>
      <xdr:colOff>990600</xdr:colOff>
      <xdr:row>145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2088475" y="27251025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40</xdr:col>
      <xdr:colOff>0</xdr:colOff>
      <xdr:row>140</xdr:row>
      <xdr:rowOff>0</xdr:rowOff>
    </xdr:from>
    <xdr:to>
      <xdr:col>45</xdr:col>
      <xdr:colOff>990600</xdr:colOff>
      <xdr:row>145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088475" y="28013025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50</xdr:col>
      <xdr:colOff>0</xdr:colOff>
      <xdr:row>140</xdr:row>
      <xdr:rowOff>0</xdr:rowOff>
    </xdr:from>
    <xdr:to>
      <xdr:col>55</xdr:col>
      <xdr:colOff>990600</xdr:colOff>
      <xdr:row>145</xdr:row>
      <xdr:rowOff>57150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4319825" y="28775025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40</xdr:col>
      <xdr:colOff>0</xdr:colOff>
      <xdr:row>140</xdr:row>
      <xdr:rowOff>0</xdr:rowOff>
    </xdr:from>
    <xdr:to>
      <xdr:col>45</xdr:col>
      <xdr:colOff>990600</xdr:colOff>
      <xdr:row>145</xdr:row>
      <xdr:rowOff>57150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3204150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50</xdr:col>
      <xdr:colOff>0</xdr:colOff>
      <xdr:row>140</xdr:row>
      <xdr:rowOff>0</xdr:rowOff>
    </xdr:from>
    <xdr:to>
      <xdr:col>55</xdr:col>
      <xdr:colOff>990600</xdr:colOff>
      <xdr:row>145</xdr:row>
      <xdr:rowOff>57150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3204150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60</xdr:col>
      <xdr:colOff>0</xdr:colOff>
      <xdr:row>140</xdr:row>
      <xdr:rowOff>0</xdr:rowOff>
    </xdr:from>
    <xdr:to>
      <xdr:col>65</xdr:col>
      <xdr:colOff>990600</xdr:colOff>
      <xdr:row>145</xdr:row>
      <xdr:rowOff>57150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5616475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60</xdr:col>
      <xdr:colOff>0</xdr:colOff>
      <xdr:row>140</xdr:row>
      <xdr:rowOff>0</xdr:rowOff>
    </xdr:from>
    <xdr:to>
      <xdr:col>65</xdr:col>
      <xdr:colOff>990600</xdr:colOff>
      <xdr:row>145</xdr:row>
      <xdr:rowOff>57150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5616475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70</xdr:col>
      <xdr:colOff>0</xdr:colOff>
      <xdr:row>140</xdr:row>
      <xdr:rowOff>0</xdr:rowOff>
    </xdr:from>
    <xdr:to>
      <xdr:col>75</xdr:col>
      <xdr:colOff>990600</xdr:colOff>
      <xdr:row>145</xdr:row>
      <xdr:rowOff>57150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5616475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70</xdr:col>
      <xdr:colOff>0</xdr:colOff>
      <xdr:row>140</xdr:row>
      <xdr:rowOff>0</xdr:rowOff>
    </xdr:from>
    <xdr:to>
      <xdr:col>75</xdr:col>
      <xdr:colOff>990600</xdr:colOff>
      <xdr:row>145</xdr:row>
      <xdr:rowOff>57150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5616475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70</xdr:col>
      <xdr:colOff>0</xdr:colOff>
      <xdr:row>140</xdr:row>
      <xdr:rowOff>0</xdr:rowOff>
    </xdr:from>
    <xdr:to>
      <xdr:col>75</xdr:col>
      <xdr:colOff>990600</xdr:colOff>
      <xdr:row>145</xdr:row>
      <xdr:rowOff>57150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70</xdr:col>
      <xdr:colOff>0</xdr:colOff>
      <xdr:row>140</xdr:row>
      <xdr:rowOff>0</xdr:rowOff>
    </xdr:from>
    <xdr:to>
      <xdr:col>75</xdr:col>
      <xdr:colOff>990600</xdr:colOff>
      <xdr:row>145</xdr:row>
      <xdr:rowOff>57150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80</xdr:col>
      <xdr:colOff>0</xdr:colOff>
      <xdr:row>140</xdr:row>
      <xdr:rowOff>0</xdr:rowOff>
    </xdr:from>
    <xdr:to>
      <xdr:col>85</xdr:col>
      <xdr:colOff>990600</xdr:colOff>
      <xdr:row>145</xdr:row>
      <xdr:rowOff>57150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80</xdr:col>
      <xdr:colOff>0</xdr:colOff>
      <xdr:row>140</xdr:row>
      <xdr:rowOff>0</xdr:rowOff>
    </xdr:from>
    <xdr:to>
      <xdr:col>85</xdr:col>
      <xdr:colOff>990600</xdr:colOff>
      <xdr:row>145</xdr:row>
      <xdr:rowOff>57150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90</xdr:col>
      <xdr:colOff>0</xdr:colOff>
      <xdr:row>140</xdr:row>
      <xdr:rowOff>0</xdr:rowOff>
    </xdr:from>
    <xdr:to>
      <xdr:col>95</xdr:col>
      <xdr:colOff>990600</xdr:colOff>
      <xdr:row>145</xdr:row>
      <xdr:rowOff>57150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90</xdr:col>
      <xdr:colOff>0</xdr:colOff>
      <xdr:row>140</xdr:row>
      <xdr:rowOff>0</xdr:rowOff>
    </xdr:from>
    <xdr:to>
      <xdr:col>95</xdr:col>
      <xdr:colOff>990600</xdr:colOff>
      <xdr:row>145</xdr:row>
      <xdr:rowOff>57150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100</xdr:col>
      <xdr:colOff>0</xdr:colOff>
      <xdr:row>140</xdr:row>
      <xdr:rowOff>0</xdr:rowOff>
    </xdr:from>
    <xdr:to>
      <xdr:col>105</xdr:col>
      <xdr:colOff>990600</xdr:colOff>
      <xdr:row>145</xdr:row>
      <xdr:rowOff>57150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100</xdr:col>
      <xdr:colOff>0</xdr:colOff>
      <xdr:row>140</xdr:row>
      <xdr:rowOff>0</xdr:rowOff>
    </xdr:from>
    <xdr:to>
      <xdr:col>105</xdr:col>
      <xdr:colOff>990600</xdr:colOff>
      <xdr:row>145</xdr:row>
      <xdr:rowOff>57150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110</xdr:col>
      <xdr:colOff>0</xdr:colOff>
      <xdr:row>140</xdr:row>
      <xdr:rowOff>0</xdr:rowOff>
    </xdr:from>
    <xdr:to>
      <xdr:col>115</xdr:col>
      <xdr:colOff>990600</xdr:colOff>
      <xdr:row>145</xdr:row>
      <xdr:rowOff>57150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110</xdr:col>
      <xdr:colOff>0</xdr:colOff>
      <xdr:row>140</xdr:row>
      <xdr:rowOff>0</xdr:rowOff>
    </xdr:from>
    <xdr:to>
      <xdr:col>115</xdr:col>
      <xdr:colOff>990600</xdr:colOff>
      <xdr:row>145</xdr:row>
      <xdr:rowOff>57150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120</xdr:col>
      <xdr:colOff>0</xdr:colOff>
      <xdr:row>140</xdr:row>
      <xdr:rowOff>0</xdr:rowOff>
    </xdr:from>
    <xdr:to>
      <xdr:col>125</xdr:col>
      <xdr:colOff>990600</xdr:colOff>
      <xdr:row>145</xdr:row>
      <xdr:rowOff>57150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22653425" y="28708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120</xdr:col>
      <xdr:colOff>0</xdr:colOff>
      <xdr:row>140</xdr:row>
      <xdr:rowOff>0</xdr:rowOff>
    </xdr:from>
    <xdr:to>
      <xdr:col>125</xdr:col>
      <xdr:colOff>990600</xdr:colOff>
      <xdr:row>145</xdr:row>
      <xdr:rowOff>57150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22653425" y="28708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0</xdr:col>
      <xdr:colOff>0</xdr:colOff>
      <xdr:row>140</xdr:row>
      <xdr:rowOff>19050</xdr:rowOff>
    </xdr:from>
    <xdr:to>
      <xdr:col>5</xdr:col>
      <xdr:colOff>990600</xdr:colOff>
      <xdr:row>145</xdr:row>
      <xdr:rowOff>76200</xdr:rowOff>
    </xdr:to>
    <xdr:sp macro="" textlink="">
      <xdr:nvSpPr>
        <xdr:cNvPr id="2" name="Rectangl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26889075"/>
          <a:ext cx="6953250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10</xdr:col>
      <xdr:colOff>0</xdr:colOff>
      <xdr:row>140</xdr:row>
      <xdr:rowOff>0</xdr:rowOff>
    </xdr:from>
    <xdr:to>
      <xdr:col>15</xdr:col>
      <xdr:colOff>990600</xdr:colOff>
      <xdr:row>145</xdr:row>
      <xdr:rowOff>57150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1125200" y="26870025"/>
          <a:ext cx="67151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20</xdr:col>
      <xdr:colOff>0</xdr:colOff>
      <xdr:row>140</xdr:row>
      <xdr:rowOff>0</xdr:rowOff>
    </xdr:from>
    <xdr:to>
      <xdr:col>25</xdr:col>
      <xdr:colOff>990600</xdr:colOff>
      <xdr:row>145</xdr:row>
      <xdr:rowOff>57150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2012275" y="26870025"/>
          <a:ext cx="5562600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30</xdr:col>
      <xdr:colOff>0</xdr:colOff>
      <xdr:row>140</xdr:row>
      <xdr:rowOff>0</xdr:rowOff>
    </xdr:from>
    <xdr:to>
      <xdr:col>35</xdr:col>
      <xdr:colOff>990600</xdr:colOff>
      <xdr:row>145</xdr:row>
      <xdr:rowOff>57150</xdr:rowOff>
    </xdr:to>
    <xdr:sp macro="" textlink="">
      <xdr:nvSpPr>
        <xdr:cNvPr id="28" name="Rectangl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2088475" y="27251025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40</xdr:col>
      <xdr:colOff>0</xdr:colOff>
      <xdr:row>140</xdr:row>
      <xdr:rowOff>0</xdr:rowOff>
    </xdr:from>
    <xdr:to>
      <xdr:col>45</xdr:col>
      <xdr:colOff>990600</xdr:colOff>
      <xdr:row>145</xdr:row>
      <xdr:rowOff>57150</xdr:rowOff>
    </xdr:to>
    <xdr:sp macro="" textlink="">
      <xdr:nvSpPr>
        <xdr:cNvPr id="29" name="Rectangle 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2088475" y="28013025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50</xdr:col>
      <xdr:colOff>0</xdr:colOff>
      <xdr:row>140</xdr:row>
      <xdr:rowOff>0</xdr:rowOff>
    </xdr:from>
    <xdr:to>
      <xdr:col>55</xdr:col>
      <xdr:colOff>990600</xdr:colOff>
      <xdr:row>145</xdr:row>
      <xdr:rowOff>57150</xdr:rowOff>
    </xdr:to>
    <xdr:sp macro="" textlink="">
      <xdr:nvSpPr>
        <xdr:cNvPr id="30" name="Rectangle 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4319825" y="28775025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40</xdr:col>
      <xdr:colOff>0</xdr:colOff>
      <xdr:row>140</xdr:row>
      <xdr:rowOff>0</xdr:rowOff>
    </xdr:from>
    <xdr:to>
      <xdr:col>45</xdr:col>
      <xdr:colOff>990600</xdr:colOff>
      <xdr:row>145</xdr:row>
      <xdr:rowOff>57150</xdr:rowOff>
    </xdr:to>
    <xdr:sp macro="" textlink="">
      <xdr:nvSpPr>
        <xdr:cNvPr id="31" name="Rectangle 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3204150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50</xdr:col>
      <xdr:colOff>0</xdr:colOff>
      <xdr:row>140</xdr:row>
      <xdr:rowOff>0</xdr:rowOff>
    </xdr:from>
    <xdr:to>
      <xdr:col>55</xdr:col>
      <xdr:colOff>990600</xdr:colOff>
      <xdr:row>145</xdr:row>
      <xdr:rowOff>57150</xdr:rowOff>
    </xdr:to>
    <xdr:sp macro="" textlink="">
      <xdr:nvSpPr>
        <xdr:cNvPr id="64" name="Rectangle 8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33204150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60</xdr:col>
      <xdr:colOff>0</xdr:colOff>
      <xdr:row>140</xdr:row>
      <xdr:rowOff>0</xdr:rowOff>
    </xdr:from>
    <xdr:to>
      <xdr:col>65</xdr:col>
      <xdr:colOff>990600</xdr:colOff>
      <xdr:row>145</xdr:row>
      <xdr:rowOff>57150</xdr:rowOff>
    </xdr:to>
    <xdr:sp macro="" textlink="">
      <xdr:nvSpPr>
        <xdr:cNvPr id="65" name="Rectangle 9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55616475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60</xdr:col>
      <xdr:colOff>0</xdr:colOff>
      <xdr:row>140</xdr:row>
      <xdr:rowOff>0</xdr:rowOff>
    </xdr:from>
    <xdr:to>
      <xdr:col>65</xdr:col>
      <xdr:colOff>990600</xdr:colOff>
      <xdr:row>145</xdr:row>
      <xdr:rowOff>57150</xdr:rowOff>
    </xdr:to>
    <xdr:sp macro="" textlink="">
      <xdr:nvSpPr>
        <xdr:cNvPr id="66" name="Rectangle 10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55616475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70</xdr:col>
      <xdr:colOff>0</xdr:colOff>
      <xdr:row>140</xdr:row>
      <xdr:rowOff>0</xdr:rowOff>
    </xdr:from>
    <xdr:to>
      <xdr:col>75</xdr:col>
      <xdr:colOff>990600</xdr:colOff>
      <xdr:row>145</xdr:row>
      <xdr:rowOff>57150</xdr:rowOff>
    </xdr:to>
    <xdr:sp macro="" textlink="">
      <xdr:nvSpPr>
        <xdr:cNvPr id="67" name="Rectangle 1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55616475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70</xdr:col>
      <xdr:colOff>0</xdr:colOff>
      <xdr:row>140</xdr:row>
      <xdr:rowOff>0</xdr:rowOff>
    </xdr:from>
    <xdr:to>
      <xdr:col>75</xdr:col>
      <xdr:colOff>990600</xdr:colOff>
      <xdr:row>145</xdr:row>
      <xdr:rowOff>57150</xdr:rowOff>
    </xdr:to>
    <xdr:sp macro="" textlink="">
      <xdr:nvSpPr>
        <xdr:cNvPr id="68" name="Rectangle 14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55616475" y="27184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70</xdr:col>
      <xdr:colOff>0</xdr:colOff>
      <xdr:row>140</xdr:row>
      <xdr:rowOff>0</xdr:rowOff>
    </xdr:from>
    <xdr:to>
      <xdr:col>75</xdr:col>
      <xdr:colOff>990600</xdr:colOff>
      <xdr:row>145</xdr:row>
      <xdr:rowOff>57150</xdr:rowOff>
    </xdr:to>
    <xdr:sp macro="" textlink="">
      <xdr:nvSpPr>
        <xdr:cNvPr id="69" name="Rectangle 15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70</xdr:col>
      <xdr:colOff>0</xdr:colOff>
      <xdr:row>140</xdr:row>
      <xdr:rowOff>0</xdr:rowOff>
    </xdr:from>
    <xdr:to>
      <xdr:col>75</xdr:col>
      <xdr:colOff>990600</xdr:colOff>
      <xdr:row>145</xdr:row>
      <xdr:rowOff>57150</xdr:rowOff>
    </xdr:to>
    <xdr:sp macro="" textlink="">
      <xdr:nvSpPr>
        <xdr:cNvPr id="70" name="Rectangle 16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80</xdr:col>
      <xdr:colOff>0</xdr:colOff>
      <xdr:row>140</xdr:row>
      <xdr:rowOff>0</xdr:rowOff>
    </xdr:from>
    <xdr:to>
      <xdr:col>85</xdr:col>
      <xdr:colOff>990600</xdr:colOff>
      <xdr:row>145</xdr:row>
      <xdr:rowOff>57150</xdr:rowOff>
    </xdr:to>
    <xdr:sp macro="" textlink="">
      <xdr:nvSpPr>
        <xdr:cNvPr id="71" name="Rectangle 17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80</xdr:col>
      <xdr:colOff>0</xdr:colOff>
      <xdr:row>140</xdr:row>
      <xdr:rowOff>0</xdr:rowOff>
    </xdr:from>
    <xdr:to>
      <xdr:col>85</xdr:col>
      <xdr:colOff>990600</xdr:colOff>
      <xdr:row>145</xdr:row>
      <xdr:rowOff>57150</xdr:rowOff>
    </xdr:to>
    <xdr:sp macro="" textlink="">
      <xdr:nvSpPr>
        <xdr:cNvPr id="72" name="Rectangle 18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90</xdr:col>
      <xdr:colOff>0</xdr:colOff>
      <xdr:row>140</xdr:row>
      <xdr:rowOff>0</xdr:rowOff>
    </xdr:from>
    <xdr:to>
      <xdr:col>95</xdr:col>
      <xdr:colOff>990600</xdr:colOff>
      <xdr:row>145</xdr:row>
      <xdr:rowOff>57150</xdr:rowOff>
    </xdr:to>
    <xdr:sp macro="" textlink="">
      <xdr:nvSpPr>
        <xdr:cNvPr id="73" name="Rectangle 19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90</xdr:col>
      <xdr:colOff>0</xdr:colOff>
      <xdr:row>140</xdr:row>
      <xdr:rowOff>0</xdr:rowOff>
    </xdr:from>
    <xdr:to>
      <xdr:col>95</xdr:col>
      <xdr:colOff>990600</xdr:colOff>
      <xdr:row>145</xdr:row>
      <xdr:rowOff>57150</xdr:rowOff>
    </xdr:to>
    <xdr:sp macro="" textlink="">
      <xdr:nvSpPr>
        <xdr:cNvPr id="74" name="Rectangle 2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100</xdr:col>
      <xdr:colOff>0</xdr:colOff>
      <xdr:row>140</xdr:row>
      <xdr:rowOff>0</xdr:rowOff>
    </xdr:from>
    <xdr:to>
      <xdr:col>105</xdr:col>
      <xdr:colOff>990600</xdr:colOff>
      <xdr:row>145</xdr:row>
      <xdr:rowOff>57150</xdr:rowOff>
    </xdr:to>
    <xdr:sp macro="" textlink="">
      <xdr:nvSpPr>
        <xdr:cNvPr id="75" name="Rectangle 2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100</xdr:col>
      <xdr:colOff>0</xdr:colOff>
      <xdr:row>140</xdr:row>
      <xdr:rowOff>0</xdr:rowOff>
    </xdr:from>
    <xdr:to>
      <xdr:col>105</xdr:col>
      <xdr:colOff>990600</xdr:colOff>
      <xdr:row>145</xdr:row>
      <xdr:rowOff>57150</xdr:rowOff>
    </xdr:to>
    <xdr:sp macro="" textlink="">
      <xdr:nvSpPr>
        <xdr:cNvPr id="76" name="Rectangle 2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110</xdr:col>
      <xdr:colOff>0</xdr:colOff>
      <xdr:row>140</xdr:row>
      <xdr:rowOff>0</xdr:rowOff>
    </xdr:from>
    <xdr:to>
      <xdr:col>115</xdr:col>
      <xdr:colOff>990600</xdr:colOff>
      <xdr:row>145</xdr:row>
      <xdr:rowOff>57150</xdr:rowOff>
    </xdr:to>
    <xdr:sp macro="" textlink="">
      <xdr:nvSpPr>
        <xdr:cNvPr id="77" name="Rectangle 2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110</xdr:col>
      <xdr:colOff>0</xdr:colOff>
      <xdr:row>140</xdr:row>
      <xdr:rowOff>0</xdr:rowOff>
    </xdr:from>
    <xdr:to>
      <xdr:col>115</xdr:col>
      <xdr:colOff>990600</xdr:colOff>
      <xdr:row>145</xdr:row>
      <xdr:rowOff>57150</xdr:rowOff>
    </xdr:to>
    <xdr:sp macro="" textlink="">
      <xdr:nvSpPr>
        <xdr:cNvPr id="78" name="Rectangle 2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6789300" y="288988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120</xdr:col>
      <xdr:colOff>0</xdr:colOff>
      <xdr:row>140</xdr:row>
      <xdr:rowOff>0</xdr:rowOff>
    </xdr:from>
    <xdr:to>
      <xdr:col>125</xdr:col>
      <xdr:colOff>990600</xdr:colOff>
      <xdr:row>145</xdr:row>
      <xdr:rowOff>57150</xdr:rowOff>
    </xdr:to>
    <xdr:sp macro="" textlink="">
      <xdr:nvSpPr>
        <xdr:cNvPr id="79" name="Rectangle 2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122653425" y="28708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2018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  <xdr:twoCellAnchor>
    <xdr:from>
      <xdr:col>120</xdr:col>
      <xdr:colOff>0</xdr:colOff>
      <xdr:row>140</xdr:row>
      <xdr:rowOff>0</xdr:rowOff>
    </xdr:from>
    <xdr:to>
      <xdr:col>125</xdr:col>
      <xdr:colOff>990600</xdr:colOff>
      <xdr:row>145</xdr:row>
      <xdr:rowOff>57150</xdr:rowOff>
    </xdr:to>
    <xdr:sp macro="" textlink="">
      <xdr:nvSpPr>
        <xdr:cNvPr id="80" name="Rectangle 2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122653425" y="28708350"/>
          <a:ext cx="6943725" cy="1009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>
            <a:lnSpc>
              <a:spcPts val="1100"/>
            </a:lnSpc>
          </a:pPr>
          <a:r>
            <a:rPr lang="en-US" sz="1100"/>
            <a:t>Keterengan : </a:t>
          </a:r>
          <a:r>
            <a:rPr lang="en-US" sz="1100" baseline="0"/>
            <a:t> 1. Kolom </a:t>
          </a:r>
          <a:r>
            <a:rPr lang="en-US" sz="1100" b="1" baseline="0"/>
            <a:t>I - V dan VIII </a:t>
          </a:r>
          <a:r>
            <a:rPr lang="en-US" sz="1100" baseline="0"/>
            <a:t>Data dari Dinas Pertanian dan Pangan.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2. Kolom </a:t>
          </a:r>
          <a:r>
            <a:rPr lang="en-US" sz="1100" b="1" baseline="0"/>
            <a:t>VI - VII</a:t>
          </a:r>
          <a:r>
            <a:rPr lang="en-US" sz="1100" baseline="0"/>
            <a:t> Data Dari Dinas Peternakan dan Perikanan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3. Kolom VI Angka Populasi adalah Populasi akhir Tahun 2019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4. Populasi ayam daging adalah populasi sesaat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5. Data perkebunan Data Tahunan</a:t>
          </a:r>
        </a:p>
        <a:p>
          <a:pPr algn="l">
            <a:lnSpc>
              <a:spcPts val="1100"/>
            </a:lnSpc>
          </a:pPr>
          <a:r>
            <a:rPr lang="en-US" sz="1100" baseline="0"/>
            <a:t>                         </a:t>
          </a:r>
        </a:p>
        <a:p>
          <a:pPr algn="l">
            <a:lnSpc>
              <a:spcPts val="1100"/>
            </a:lnSpc>
          </a:pPr>
          <a:endParaRPr lang="en-US" sz="1100" baseline="0"/>
        </a:p>
        <a:p>
          <a:pPr algn="l">
            <a:lnSpc>
              <a:spcPts val="1200"/>
            </a:lnSpc>
          </a:pP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361"/>
  <sheetViews>
    <sheetView topLeftCell="DS7" zoomScale="130" zoomScaleNormal="130" workbookViewId="0">
      <selection activeCell="DT19" sqref="DT19"/>
    </sheetView>
  </sheetViews>
  <sheetFormatPr defaultRowHeight="14.4" x14ac:dyDescent="0.3"/>
  <cols>
    <col min="1" max="1" width="6.6640625" customWidth="1"/>
    <col min="2" max="2" width="27.6640625" customWidth="1"/>
    <col min="3" max="3" width="18.6640625" customWidth="1"/>
    <col min="4" max="4" width="18.109375" style="8" customWidth="1"/>
    <col min="5" max="5" width="17.33203125" customWidth="1"/>
    <col min="6" max="6" width="17.109375" customWidth="1"/>
    <col min="7" max="7" width="15.6640625" customWidth="1"/>
    <col min="8" max="10" width="14.88671875" customWidth="1"/>
    <col min="11" max="11" width="6.6640625" customWidth="1"/>
    <col min="12" max="12" width="27.6640625" customWidth="1"/>
    <col min="13" max="13" width="18.6640625" customWidth="1"/>
    <col min="14" max="14" width="18" customWidth="1"/>
    <col min="15" max="15" width="16.6640625" customWidth="1"/>
    <col min="16" max="16" width="17.6640625" customWidth="1"/>
    <col min="17" max="17" width="15.6640625" customWidth="1"/>
    <col min="18" max="20" width="14.88671875" customWidth="1"/>
    <col min="21" max="21" width="6.6640625" customWidth="1"/>
    <col min="22" max="22" width="27.6640625" customWidth="1"/>
    <col min="23" max="23" width="18.6640625" customWidth="1"/>
    <col min="24" max="24" width="18" customWidth="1"/>
    <col min="25" max="25" width="18.109375" customWidth="1"/>
    <col min="26" max="26" width="17.88671875" customWidth="1"/>
    <col min="27" max="27" width="15.6640625" customWidth="1"/>
    <col min="28" max="29" width="14.88671875" customWidth="1"/>
    <col min="30" max="30" width="14.88671875" style="5" customWidth="1"/>
    <col min="31" max="31" width="6.6640625" customWidth="1"/>
    <col min="32" max="32" width="27.6640625" customWidth="1"/>
    <col min="33" max="33" width="18.6640625" customWidth="1"/>
    <col min="34" max="34" width="18" customWidth="1"/>
    <col min="35" max="35" width="18.109375" customWidth="1"/>
    <col min="36" max="36" width="18" customWidth="1"/>
    <col min="37" max="37" width="15.6640625" customWidth="1"/>
    <col min="38" max="40" width="14.88671875" customWidth="1"/>
    <col min="41" max="41" width="6.6640625" customWidth="1"/>
    <col min="42" max="42" width="27.6640625" customWidth="1"/>
    <col min="43" max="43" width="18.6640625" customWidth="1"/>
    <col min="44" max="44" width="18" customWidth="1"/>
    <col min="45" max="45" width="18.109375" customWidth="1"/>
    <col min="46" max="46" width="17.6640625" customWidth="1"/>
    <col min="47" max="47" width="15.6640625" customWidth="1"/>
    <col min="48" max="50" width="14.88671875" customWidth="1"/>
    <col min="51" max="51" width="6.6640625" customWidth="1"/>
    <col min="52" max="52" width="27.6640625" customWidth="1"/>
    <col min="53" max="53" width="18.6640625" customWidth="1"/>
    <col min="54" max="54" width="18" customWidth="1"/>
    <col min="55" max="55" width="18.109375" customWidth="1"/>
    <col min="56" max="56" width="18" customWidth="1"/>
    <col min="57" max="57" width="15.6640625" style="17" customWidth="1"/>
    <col min="58" max="60" width="14.88671875" customWidth="1"/>
    <col min="61" max="61" width="6.6640625" customWidth="1"/>
    <col min="62" max="62" width="27.6640625" customWidth="1"/>
    <col min="63" max="63" width="18.6640625" customWidth="1"/>
    <col min="64" max="64" width="18" customWidth="1"/>
    <col min="65" max="65" width="18.109375" customWidth="1"/>
    <col min="66" max="66" width="18" style="17" customWidth="1"/>
    <col min="67" max="67" width="15.6640625" customWidth="1"/>
    <col min="68" max="70" width="14.88671875" customWidth="1"/>
    <col min="71" max="71" width="6.6640625" customWidth="1"/>
    <col min="72" max="72" width="27.6640625" customWidth="1"/>
    <col min="73" max="73" width="18.6640625" customWidth="1"/>
    <col min="74" max="74" width="18" customWidth="1"/>
    <col min="75" max="75" width="18.109375" customWidth="1"/>
    <col min="76" max="76" width="18" customWidth="1"/>
    <col min="77" max="77" width="15.6640625" style="17" customWidth="1"/>
    <col min="78" max="80" width="14.88671875" customWidth="1"/>
    <col min="81" max="81" width="6.6640625" customWidth="1"/>
    <col min="82" max="82" width="27.6640625" customWidth="1"/>
    <col min="83" max="83" width="18.6640625" customWidth="1"/>
    <col min="84" max="84" width="18" customWidth="1"/>
    <col min="85" max="85" width="18.109375" customWidth="1"/>
    <col min="86" max="86" width="18" customWidth="1"/>
    <col min="87" max="87" width="15.6640625" customWidth="1"/>
    <col min="88" max="90" width="14.88671875" customWidth="1"/>
    <col min="91" max="91" width="6.6640625" customWidth="1"/>
    <col min="92" max="92" width="27.6640625" customWidth="1"/>
    <col min="93" max="93" width="18.6640625" style="17" customWidth="1"/>
    <col min="94" max="94" width="18" customWidth="1"/>
    <col min="95" max="95" width="18.109375" customWidth="1"/>
    <col min="96" max="96" width="18" customWidth="1"/>
    <col min="97" max="97" width="15.6640625" customWidth="1"/>
    <col min="98" max="100" width="14.88671875" customWidth="1"/>
    <col min="101" max="101" width="6.6640625" customWidth="1"/>
    <col min="102" max="102" width="27.6640625" customWidth="1"/>
    <col min="103" max="103" width="18.6640625" customWidth="1"/>
    <col min="104" max="104" width="18" customWidth="1"/>
    <col min="105" max="105" width="18.109375" customWidth="1"/>
    <col min="106" max="106" width="18" customWidth="1"/>
    <col min="107" max="107" width="15.6640625" style="17" customWidth="1"/>
    <col min="108" max="110" width="14.88671875" customWidth="1"/>
    <col min="111" max="111" width="6.6640625" style="17" customWidth="1"/>
    <col min="112" max="112" width="27.6640625" customWidth="1"/>
    <col min="113" max="113" width="18.6640625" customWidth="1"/>
    <col min="114" max="114" width="18" customWidth="1"/>
    <col min="115" max="115" width="18.109375" customWidth="1"/>
    <col min="116" max="116" width="18" customWidth="1"/>
    <col min="117" max="117" width="15.6640625" style="17" customWidth="1"/>
    <col min="118" max="119" width="14.88671875" customWidth="1"/>
    <col min="120" max="120" width="14.88671875" style="17" customWidth="1"/>
    <col min="121" max="121" width="6.6640625" customWidth="1"/>
    <col min="122" max="122" width="27.6640625" customWidth="1"/>
    <col min="123" max="123" width="18.6640625" customWidth="1"/>
    <col min="124" max="124" width="18" customWidth="1"/>
    <col min="125" max="125" width="18.109375" customWidth="1"/>
    <col min="126" max="126" width="18" customWidth="1"/>
    <col min="127" max="127" width="15.6640625" customWidth="1"/>
    <col min="128" max="130" width="14.88671875" customWidth="1"/>
  </cols>
  <sheetData>
    <row r="1" spans="1:144" ht="18" x14ac:dyDescent="0.35">
      <c r="A1" s="225" t="s">
        <v>196</v>
      </c>
      <c r="B1" s="225"/>
      <c r="C1" s="225"/>
      <c r="D1" s="225"/>
      <c r="E1" s="225"/>
      <c r="F1" s="225"/>
      <c r="G1" s="225"/>
      <c r="H1" s="225"/>
      <c r="I1" s="225"/>
      <c r="J1" s="225"/>
      <c r="K1" s="225" t="s">
        <v>196</v>
      </c>
      <c r="L1" s="225"/>
      <c r="M1" s="225"/>
      <c r="N1" s="225"/>
      <c r="O1" s="225"/>
      <c r="P1" s="225"/>
      <c r="Q1" s="225"/>
      <c r="R1" s="225"/>
      <c r="S1" s="225"/>
      <c r="T1" s="225"/>
      <c r="U1" s="225" t="s">
        <v>196</v>
      </c>
      <c r="V1" s="225"/>
      <c r="W1" s="225"/>
      <c r="X1" s="225"/>
      <c r="Y1" s="225"/>
      <c r="Z1" s="225"/>
      <c r="AA1" s="225"/>
      <c r="AB1" s="225"/>
      <c r="AC1" s="225"/>
      <c r="AD1" s="225"/>
      <c r="AE1" s="225" t="s">
        <v>196</v>
      </c>
      <c r="AF1" s="225"/>
      <c r="AG1" s="225"/>
      <c r="AH1" s="225"/>
      <c r="AI1" s="225"/>
      <c r="AJ1" s="225"/>
      <c r="AK1" s="225"/>
      <c r="AL1" s="225"/>
      <c r="AM1" s="225"/>
      <c r="AN1" s="225"/>
      <c r="AO1" s="225" t="s">
        <v>196</v>
      </c>
      <c r="AP1" s="225"/>
      <c r="AQ1" s="225"/>
      <c r="AR1" s="225"/>
      <c r="AS1" s="225"/>
      <c r="AT1" s="225"/>
      <c r="AU1" s="225"/>
      <c r="AV1" s="225"/>
      <c r="AW1" s="225"/>
      <c r="AX1" s="225"/>
      <c r="AY1" s="225" t="s">
        <v>196</v>
      </c>
      <c r="AZ1" s="225"/>
      <c r="BA1" s="225"/>
      <c r="BB1" s="225"/>
      <c r="BC1" s="225"/>
      <c r="BD1" s="225"/>
      <c r="BE1" s="225"/>
      <c r="BF1" s="225"/>
      <c r="BG1" s="225"/>
      <c r="BH1" s="225"/>
      <c r="BI1" s="225" t="s">
        <v>196</v>
      </c>
      <c r="BJ1" s="225"/>
      <c r="BK1" s="225"/>
      <c r="BL1" s="225"/>
      <c r="BM1" s="225"/>
      <c r="BN1" s="225"/>
      <c r="BO1" s="225"/>
      <c r="BP1" s="225"/>
      <c r="BQ1" s="225"/>
      <c r="BR1" s="225"/>
      <c r="BS1" s="225" t="s">
        <v>196</v>
      </c>
      <c r="BT1" s="225"/>
      <c r="BU1" s="225"/>
      <c r="BV1" s="225"/>
      <c r="BW1" s="225"/>
      <c r="BX1" s="225"/>
      <c r="BY1" s="225"/>
      <c r="BZ1" s="225"/>
      <c r="CA1" s="225"/>
      <c r="CB1" s="225"/>
      <c r="CC1" s="225" t="s">
        <v>196</v>
      </c>
      <c r="CD1" s="225"/>
      <c r="CE1" s="225"/>
      <c r="CF1" s="225"/>
      <c r="CG1" s="225"/>
      <c r="CH1" s="225"/>
      <c r="CI1" s="225"/>
      <c r="CJ1" s="225"/>
      <c r="CK1" s="225"/>
      <c r="CL1" s="225"/>
      <c r="CM1" s="225" t="s">
        <v>196</v>
      </c>
      <c r="CN1" s="225"/>
      <c r="CO1" s="225"/>
      <c r="CP1" s="225"/>
      <c r="CQ1" s="225"/>
      <c r="CR1" s="225"/>
      <c r="CS1" s="225"/>
      <c r="CT1" s="225"/>
      <c r="CU1" s="225"/>
      <c r="CV1" s="225"/>
      <c r="CW1" s="225" t="s">
        <v>196</v>
      </c>
      <c r="CX1" s="225"/>
      <c r="CY1" s="225"/>
      <c r="CZ1" s="225"/>
      <c r="DA1" s="225"/>
      <c r="DB1" s="225"/>
      <c r="DC1" s="225"/>
      <c r="DD1" s="225"/>
      <c r="DE1" s="225"/>
      <c r="DF1" s="225"/>
      <c r="DG1" s="225" t="s">
        <v>196</v>
      </c>
      <c r="DH1" s="225"/>
      <c r="DI1" s="225"/>
      <c r="DJ1" s="225"/>
      <c r="DK1" s="225"/>
      <c r="DL1" s="225"/>
      <c r="DM1" s="225"/>
      <c r="DN1" s="225"/>
      <c r="DO1" s="225"/>
      <c r="DP1" s="225"/>
      <c r="DQ1" s="225" t="s">
        <v>196</v>
      </c>
      <c r="DR1" s="225"/>
      <c r="DS1" s="225"/>
      <c r="DT1" s="225"/>
      <c r="DU1" s="225"/>
      <c r="DV1" s="225"/>
      <c r="DW1" s="225"/>
      <c r="DX1" s="225"/>
      <c r="DY1" s="225"/>
      <c r="DZ1" s="225"/>
    </row>
    <row r="2" spans="1:144" ht="18" x14ac:dyDescent="0.35">
      <c r="A2" s="225" t="s">
        <v>141</v>
      </c>
      <c r="B2" s="225"/>
      <c r="C2" s="225"/>
      <c r="D2" s="225"/>
      <c r="E2" s="225"/>
      <c r="F2" s="225"/>
      <c r="G2" s="225"/>
      <c r="H2" s="225"/>
      <c r="I2" s="225"/>
      <c r="J2" s="225"/>
      <c r="K2" s="225" t="s">
        <v>141</v>
      </c>
      <c r="L2" s="225"/>
      <c r="M2" s="225"/>
      <c r="N2" s="225"/>
      <c r="O2" s="225"/>
      <c r="P2" s="225"/>
      <c r="Q2" s="225"/>
      <c r="R2" s="225"/>
      <c r="S2" s="225"/>
      <c r="T2" s="225"/>
      <c r="U2" s="225" t="s">
        <v>141</v>
      </c>
      <c r="V2" s="225"/>
      <c r="W2" s="225"/>
      <c r="X2" s="225"/>
      <c r="Y2" s="225"/>
      <c r="Z2" s="225"/>
      <c r="AA2" s="225"/>
      <c r="AB2" s="225"/>
      <c r="AC2" s="225"/>
      <c r="AD2" s="225"/>
      <c r="AE2" s="225" t="s">
        <v>141</v>
      </c>
      <c r="AF2" s="225"/>
      <c r="AG2" s="225"/>
      <c r="AH2" s="225"/>
      <c r="AI2" s="225"/>
      <c r="AJ2" s="225"/>
      <c r="AK2" s="225"/>
      <c r="AL2" s="225"/>
      <c r="AM2" s="225"/>
      <c r="AN2" s="225"/>
      <c r="AO2" s="225" t="s">
        <v>141</v>
      </c>
      <c r="AP2" s="225"/>
      <c r="AQ2" s="225"/>
      <c r="AR2" s="225"/>
      <c r="AS2" s="225"/>
      <c r="AT2" s="225"/>
      <c r="AU2" s="225"/>
      <c r="AV2" s="225"/>
      <c r="AW2" s="225"/>
      <c r="AX2" s="225"/>
      <c r="AY2" s="225" t="s">
        <v>141</v>
      </c>
      <c r="AZ2" s="225"/>
      <c r="BA2" s="225"/>
      <c r="BB2" s="225"/>
      <c r="BC2" s="225"/>
      <c r="BD2" s="225"/>
      <c r="BE2" s="225"/>
      <c r="BF2" s="225"/>
      <c r="BG2" s="225"/>
      <c r="BH2" s="225"/>
      <c r="BI2" s="225" t="s">
        <v>141</v>
      </c>
      <c r="BJ2" s="225"/>
      <c r="BK2" s="225"/>
      <c r="BL2" s="225"/>
      <c r="BM2" s="225"/>
      <c r="BN2" s="225"/>
      <c r="BO2" s="225"/>
      <c r="BP2" s="225"/>
      <c r="BQ2" s="225"/>
      <c r="BR2" s="225"/>
      <c r="BS2" s="225" t="s">
        <v>141</v>
      </c>
      <c r="BT2" s="225"/>
      <c r="BU2" s="225"/>
      <c r="BV2" s="225"/>
      <c r="BW2" s="225"/>
      <c r="BX2" s="225"/>
      <c r="BY2" s="225"/>
      <c r="BZ2" s="225"/>
      <c r="CA2" s="225"/>
      <c r="CB2" s="225"/>
      <c r="CC2" s="225" t="s">
        <v>141</v>
      </c>
      <c r="CD2" s="225"/>
      <c r="CE2" s="225"/>
      <c r="CF2" s="225"/>
      <c r="CG2" s="225"/>
      <c r="CH2" s="225"/>
      <c r="CI2" s="225"/>
      <c r="CJ2" s="225"/>
      <c r="CK2" s="225"/>
      <c r="CL2" s="225"/>
      <c r="CM2" s="225" t="s">
        <v>141</v>
      </c>
      <c r="CN2" s="225"/>
      <c r="CO2" s="225"/>
      <c r="CP2" s="225"/>
      <c r="CQ2" s="225"/>
      <c r="CR2" s="225"/>
      <c r="CS2" s="225"/>
      <c r="CT2" s="225"/>
      <c r="CU2" s="225"/>
      <c r="CV2" s="225"/>
      <c r="CW2" s="225" t="s">
        <v>141</v>
      </c>
      <c r="CX2" s="225"/>
      <c r="CY2" s="225"/>
      <c r="CZ2" s="225"/>
      <c r="DA2" s="225"/>
      <c r="DB2" s="225"/>
      <c r="DC2" s="225"/>
      <c r="DD2" s="225"/>
      <c r="DE2" s="225"/>
      <c r="DF2" s="225"/>
      <c r="DG2" s="225" t="s">
        <v>141</v>
      </c>
      <c r="DH2" s="225"/>
      <c r="DI2" s="225"/>
      <c r="DJ2" s="225"/>
      <c r="DK2" s="225"/>
      <c r="DL2" s="225"/>
      <c r="DM2" s="225"/>
      <c r="DN2" s="225"/>
      <c r="DO2" s="225"/>
      <c r="DP2" s="225"/>
      <c r="DQ2" s="225" t="s">
        <v>141</v>
      </c>
      <c r="DR2" s="225"/>
      <c r="DS2" s="225"/>
      <c r="DT2" s="225"/>
      <c r="DU2" s="225"/>
      <c r="DV2" s="225"/>
      <c r="DW2" s="225"/>
      <c r="DX2" s="225"/>
      <c r="DY2" s="225"/>
      <c r="DZ2" s="225"/>
    </row>
    <row r="3" spans="1:144" ht="9" customHeight="1" x14ac:dyDescent="0.3">
      <c r="N3" s="8"/>
      <c r="X3" s="8"/>
      <c r="AD3"/>
      <c r="AH3" s="8"/>
      <c r="AR3" s="8"/>
      <c r="BB3" s="8"/>
      <c r="BL3" s="8"/>
      <c r="BN3"/>
      <c r="BV3" s="8"/>
      <c r="CF3" s="8"/>
      <c r="CO3"/>
      <c r="CP3" s="8"/>
      <c r="CZ3" s="8"/>
      <c r="DG3"/>
      <c r="DJ3" s="8"/>
      <c r="DP3"/>
      <c r="DT3" s="8"/>
    </row>
    <row r="4" spans="1:144" x14ac:dyDescent="0.3">
      <c r="A4" s="226" t="s">
        <v>13</v>
      </c>
      <c r="B4" s="226"/>
      <c r="C4" s="104"/>
      <c r="K4" s="226" t="s">
        <v>208</v>
      </c>
      <c r="L4" s="226"/>
      <c r="M4" s="104"/>
      <c r="N4" s="8"/>
      <c r="U4" s="226" t="s">
        <v>209</v>
      </c>
      <c r="V4" s="226"/>
      <c r="W4" s="104"/>
      <c r="X4" s="8"/>
      <c r="AD4"/>
      <c r="AE4" s="226" t="s">
        <v>218</v>
      </c>
      <c r="AF4" s="226"/>
      <c r="AG4" s="104"/>
      <c r="AH4" s="8"/>
      <c r="AO4" s="226" t="s">
        <v>219</v>
      </c>
      <c r="AP4" s="226"/>
      <c r="AQ4" s="104"/>
      <c r="AR4" s="8"/>
      <c r="AY4" s="226" t="s">
        <v>220</v>
      </c>
      <c r="AZ4" s="226"/>
      <c r="BA4" s="104"/>
      <c r="BB4" s="8"/>
      <c r="BI4" s="226" t="s">
        <v>221</v>
      </c>
      <c r="BJ4" s="226"/>
      <c r="BK4" s="104"/>
      <c r="BL4" s="8"/>
      <c r="BN4"/>
      <c r="BS4" s="226" t="s">
        <v>226</v>
      </c>
      <c r="BT4" s="226"/>
      <c r="BU4" s="104"/>
      <c r="BV4" s="8"/>
      <c r="CC4" s="226" t="s">
        <v>225</v>
      </c>
      <c r="CD4" s="226"/>
      <c r="CE4" s="104"/>
      <c r="CF4" s="8"/>
      <c r="CM4" s="226" t="s">
        <v>224</v>
      </c>
      <c r="CN4" s="226"/>
      <c r="CO4" s="104"/>
      <c r="CP4" s="8"/>
      <c r="CW4" s="226" t="s">
        <v>223</v>
      </c>
      <c r="CX4" s="226"/>
      <c r="CY4" s="104"/>
      <c r="CZ4" s="8"/>
      <c r="DG4" s="226" t="s">
        <v>222</v>
      </c>
      <c r="DH4" s="226"/>
      <c r="DI4" s="104"/>
      <c r="DJ4" s="8"/>
      <c r="DP4"/>
      <c r="DQ4" s="226" t="s">
        <v>227</v>
      </c>
      <c r="DR4" s="226"/>
      <c r="DS4" s="104"/>
      <c r="DT4" s="8"/>
    </row>
    <row r="5" spans="1:144" x14ac:dyDescent="0.3">
      <c r="A5" s="226" t="s">
        <v>228</v>
      </c>
      <c r="B5" s="226"/>
      <c r="C5" s="104"/>
      <c r="I5" s="23" t="s">
        <v>245</v>
      </c>
      <c r="J5" s="23"/>
      <c r="K5" s="226" t="s">
        <v>228</v>
      </c>
      <c r="L5" s="226"/>
      <c r="M5" s="104"/>
      <c r="N5" s="8"/>
      <c r="S5" s="23" t="s">
        <v>245</v>
      </c>
      <c r="T5" s="23"/>
      <c r="U5" s="226" t="s">
        <v>228</v>
      </c>
      <c r="V5" s="226"/>
      <c r="W5" s="104"/>
      <c r="X5" s="8"/>
      <c r="AC5" s="23" t="s">
        <v>245</v>
      </c>
      <c r="AD5" s="23"/>
      <c r="AE5" s="226" t="s">
        <v>228</v>
      </c>
      <c r="AF5" s="226"/>
      <c r="AG5" s="104"/>
      <c r="AH5" s="8"/>
      <c r="AM5" s="23" t="s">
        <v>245</v>
      </c>
      <c r="AN5" s="23"/>
      <c r="AO5" s="226" t="s">
        <v>228</v>
      </c>
      <c r="AP5" s="226"/>
      <c r="AQ5" s="104"/>
      <c r="AR5" s="8"/>
      <c r="AW5" s="23" t="s">
        <v>245</v>
      </c>
      <c r="AX5" s="23"/>
      <c r="AY5" s="226" t="s">
        <v>228</v>
      </c>
      <c r="AZ5" s="226"/>
      <c r="BA5" s="104"/>
      <c r="BB5" s="8"/>
      <c r="BG5" s="23" t="s">
        <v>245</v>
      </c>
      <c r="BH5" s="23"/>
      <c r="BI5" s="226" t="s">
        <v>228</v>
      </c>
      <c r="BJ5" s="226"/>
      <c r="BK5" s="104"/>
      <c r="BL5" s="8"/>
      <c r="BN5"/>
      <c r="BQ5" s="23" t="s">
        <v>245</v>
      </c>
      <c r="BR5" s="23"/>
      <c r="BS5" s="226" t="s">
        <v>228</v>
      </c>
      <c r="BT5" s="226"/>
      <c r="BU5" s="104"/>
      <c r="BV5" s="8"/>
      <c r="CA5" s="23" t="s">
        <v>245</v>
      </c>
      <c r="CB5" s="23"/>
      <c r="CC5" s="226" t="s">
        <v>228</v>
      </c>
      <c r="CD5" s="226"/>
      <c r="CE5" s="104"/>
      <c r="CF5" s="8"/>
      <c r="CK5" s="23" t="s">
        <v>245</v>
      </c>
      <c r="CL5" s="23"/>
      <c r="CM5" s="226" t="s">
        <v>228</v>
      </c>
      <c r="CN5" s="226"/>
      <c r="CO5" s="104"/>
      <c r="CP5" s="8"/>
      <c r="CU5" s="23" t="s">
        <v>245</v>
      </c>
      <c r="CV5" s="23"/>
      <c r="CW5" s="226" t="s">
        <v>228</v>
      </c>
      <c r="CX5" s="226"/>
      <c r="CY5" s="104"/>
      <c r="CZ5" s="8"/>
      <c r="DE5" s="23" t="s">
        <v>245</v>
      </c>
      <c r="DF5" s="23"/>
      <c r="DG5" s="226" t="s">
        <v>228</v>
      </c>
      <c r="DH5" s="226"/>
      <c r="DI5" s="104"/>
      <c r="DJ5" s="8"/>
      <c r="DO5" s="23" t="s">
        <v>245</v>
      </c>
      <c r="DP5" s="23"/>
      <c r="DQ5" s="226" t="s">
        <v>228</v>
      </c>
      <c r="DR5" s="226"/>
      <c r="DS5" s="104"/>
      <c r="DT5" s="8"/>
      <c r="DY5" s="23" t="s">
        <v>245</v>
      </c>
      <c r="DZ5" s="23"/>
    </row>
    <row r="6" spans="1:144" ht="7.5" customHeight="1" x14ac:dyDescent="0.3">
      <c r="N6" s="8"/>
      <c r="X6" s="8"/>
      <c r="AD6"/>
      <c r="AH6" s="8"/>
      <c r="AR6" s="8"/>
      <c r="BB6" s="8"/>
      <c r="BL6" s="8"/>
      <c r="BN6"/>
      <c r="BV6" s="8"/>
      <c r="CF6" s="8"/>
      <c r="CO6"/>
      <c r="CP6" s="8"/>
      <c r="CZ6" s="8"/>
      <c r="DG6"/>
      <c r="DJ6" s="8"/>
      <c r="DP6"/>
      <c r="DT6" s="8"/>
    </row>
    <row r="7" spans="1:144" ht="37.5" customHeight="1" x14ac:dyDescent="0.3">
      <c r="A7" s="211" t="s">
        <v>3</v>
      </c>
      <c r="B7" s="213" t="s">
        <v>2</v>
      </c>
      <c r="C7" s="121" t="s">
        <v>217</v>
      </c>
      <c r="D7" s="63" t="s">
        <v>210</v>
      </c>
      <c r="E7" s="82" t="s">
        <v>0</v>
      </c>
      <c r="F7" s="63" t="s">
        <v>5</v>
      </c>
      <c r="G7" s="9" t="s">
        <v>1</v>
      </c>
      <c r="H7" s="215" t="s">
        <v>4</v>
      </c>
      <c r="I7" s="216"/>
      <c r="J7" s="82" t="s">
        <v>125</v>
      </c>
      <c r="K7" s="211" t="s">
        <v>3</v>
      </c>
      <c r="L7" s="213" t="s">
        <v>2</v>
      </c>
      <c r="M7" s="121" t="s">
        <v>217</v>
      </c>
      <c r="N7" s="63" t="s">
        <v>210</v>
      </c>
      <c r="O7" s="82" t="s">
        <v>0</v>
      </c>
      <c r="P7" s="63" t="s">
        <v>5</v>
      </c>
      <c r="Q7" s="9" t="s">
        <v>1</v>
      </c>
      <c r="R7" s="215" t="s">
        <v>4</v>
      </c>
      <c r="S7" s="216"/>
      <c r="T7" s="82" t="s">
        <v>125</v>
      </c>
      <c r="U7" s="211" t="s">
        <v>3</v>
      </c>
      <c r="V7" s="213" t="s">
        <v>2</v>
      </c>
      <c r="W7" s="121" t="s">
        <v>217</v>
      </c>
      <c r="X7" s="63" t="s">
        <v>210</v>
      </c>
      <c r="Y7" s="82" t="s">
        <v>0</v>
      </c>
      <c r="Z7" s="63" t="s">
        <v>5</v>
      </c>
      <c r="AA7" s="9" t="s">
        <v>1</v>
      </c>
      <c r="AB7" s="215" t="s">
        <v>4</v>
      </c>
      <c r="AC7" s="216"/>
      <c r="AD7" s="82" t="s">
        <v>125</v>
      </c>
      <c r="AE7" s="211" t="s">
        <v>3</v>
      </c>
      <c r="AF7" s="213" t="s">
        <v>2</v>
      </c>
      <c r="AG7" s="121" t="s">
        <v>217</v>
      </c>
      <c r="AH7" s="63" t="s">
        <v>210</v>
      </c>
      <c r="AI7" s="82" t="s">
        <v>0</v>
      </c>
      <c r="AJ7" s="63" t="s">
        <v>5</v>
      </c>
      <c r="AK7" s="9" t="s">
        <v>1</v>
      </c>
      <c r="AL7" s="215" t="s">
        <v>4</v>
      </c>
      <c r="AM7" s="216"/>
      <c r="AN7" s="82" t="s">
        <v>125</v>
      </c>
      <c r="AO7" s="211" t="s">
        <v>3</v>
      </c>
      <c r="AP7" s="213" t="s">
        <v>2</v>
      </c>
      <c r="AQ7" s="121" t="s">
        <v>217</v>
      </c>
      <c r="AR7" s="63" t="s">
        <v>210</v>
      </c>
      <c r="AS7" s="82" t="s">
        <v>0</v>
      </c>
      <c r="AT7" s="63" t="s">
        <v>5</v>
      </c>
      <c r="AU7" s="9" t="s">
        <v>1</v>
      </c>
      <c r="AV7" s="215" t="s">
        <v>4</v>
      </c>
      <c r="AW7" s="216"/>
      <c r="AX7" s="82" t="s">
        <v>125</v>
      </c>
      <c r="AY7" s="211" t="s">
        <v>3</v>
      </c>
      <c r="AZ7" s="213" t="s">
        <v>2</v>
      </c>
      <c r="BA7" s="121" t="s">
        <v>217</v>
      </c>
      <c r="BB7" s="63" t="s">
        <v>210</v>
      </c>
      <c r="BC7" s="82" t="s">
        <v>0</v>
      </c>
      <c r="BD7" s="63" t="s">
        <v>5</v>
      </c>
      <c r="BE7" s="9" t="s">
        <v>1</v>
      </c>
      <c r="BF7" s="215" t="s">
        <v>4</v>
      </c>
      <c r="BG7" s="216"/>
      <c r="BH7" s="82" t="s">
        <v>125</v>
      </c>
      <c r="BI7" s="211" t="s">
        <v>3</v>
      </c>
      <c r="BJ7" s="213" t="s">
        <v>2</v>
      </c>
      <c r="BK7" s="121" t="s">
        <v>217</v>
      </c>
      <c r="BL7" s="63" t="s">
        <v>210</v>
      </c>
      <c r="BM7" s="82" t="s">
        <v>0</v>
      </c>
      <c r="BN7" s="63" t="s">
        <v>5</v>
      </c>
      <c r="BO7" s="9" t="s">
        <v>1</v>
      </c>
      <c r="BP7" s="215" t="s">
        <v>4</v>
      </c>
      <c r="BQ7" s="216"/>
      <c r="BR7" s="82" t="s">
        <v>125</v>
      </c>
      <c r="BS7" s="211" t="s">
        <v>3</v>
      </c>
      <c r="BT7" s="213" t="s">
        <v>2</v>
      </c>
      <c r="BU7" s="121" t="s">
        <v>217</v>
      </c>
      <c r="BV7" s="63" t="s">
        <v>210</v>
      </c>
      <c r="BW7" s="82" t="s">
        <v>0</v>
      </c>
      <c r="BX7" s="63" t="s">
        <v>5</v>
      </c>
      <c r="BY7" s="9" t="s">
        <v>1</v>
      </c>
      <c r="BZ7" s="215" t="s">
        <v>4</v>
      </c>
      <c r="CA7" s="216"/>
      <c r="CB7" s="82" t="s">
        <v>125</v>
      </c>
      <c r="CC7" s="211" t="s">
        <v>3</v>
      </c>
      <c r="CD7" s="213" t="s">
        <v>2</v>
      </c>
      <c r="CE7" s="121" t="s">
        <v>217</v>
      </c>
      <c r="CF7" s="63" t="s">
        <v>210</v>
      </c>
      <c r="CG7" s="82" t="s">
        <v>0</v>
      </c>
      <c r="CH7" s="63" t="s">
        <v>5</v>
      </c>
      <c r="CI7" s="9" t="s">
        <v>1</v>
      </c>
      <c r="CJ7" s="215" t="s">
        <v>4</v>
      </c>
      <c r="CK7" s="216"/>
      <c r="CL7" s="82" t="s">
        <v>125</v>
      </c>
      <c r="CM7" s="211" t="s">
        <v>3</v>
      </c>
      <c r="CN7" s="213" t="s">
        <v>2</v>
      </c>
      <c r="CO7" s="121" t="s">
        <v>217</v>
      </c>
      <c r="CP7" s="63" t="s">
        <v>210</v>
      </c>
      <c r="CQ7" s="82" t="s">
        <v>0</v>
      </c>
      <c r="CR7" s="63" t="s">
        <v>5</v>
      </c>
      <c r="CS7" s="9" t="s">
        <v>1</v>
      </c>
      <c r="CT7" s="215" t="s">
        <v>4</v>
      </c>
      <c r="CU7" s="216"/>
      <c r="CV7" s="82" t="s">
        <v>125</v>
      </c>
      <c r="CW7" s="211" t="s">
        <v>3</v>
      </c>
      <c r="CX7" s="213" t="s">
        <v>2</v>
      </c>
      <c r="CY7" s="121" t="s">
        <v>217</v>
      </c>
      <c r="CZ7" s="63" t="s">
        <v>210</v>
      </c>
      <c r="DA7" s="82" t="s">
        <v>0</v>
      </c>
      <c r="DB7" s="63" t="s">
        <v>5</v>
      </c>
      <c r="DC7" s="9" t="s">
        <v>1</v>
      </c>
      <c r="DD7" s="215" t="s">
        <v>4</v>
      </c>
      <c r="DE7" s="216"/>
      <c r="DF7" s="82" t="s">
        <v>125</v>
      </c>
      <c r="DG7" s="211" t="s">
        <v>3</v>
      </c>
      <c r="DH7" s="213" t="s">
        <v>2</v>
      </c>
      <c r="DI7" s="121" t="s">
        <v>217</v>
      </c>
      <c r="DJ7" s="63" t="s">
        <v>210</v>
      </c>
      <c r="DK7" s="82" t="s">
        <v>0</v>
      </c>
      <c r="DL7" s="63" t="s">
        <v>5</v>
      </c>
      <c r="DM7" s="9" t="s">
        <v>1</v>
      </c>
      <c r="DN7" s="215" t="s">
        <v>4</v>
      </c>
      <c r="DO7" s="216"/>
      <c r="DP7" s="82" t="s">
        <v>125</v>
      </c>
      <c r="DQ7" s="211" t="s">
        <v>3</v>
      </c>
      <c r="DR7" s="213" t="s">
        <v>2</v>
      </c>
      <c r="DS7" s="121" t="s">
        <v>217</v>
      </c>
      <c r="DT7" s="63" t="s">
        <v>210</v>
      </c>
      <c r="DU7" s="82" t="s">
        <v>0</v>
      </c>
      <c r="DV7" s="63" t="s">
        <v>5</v>
      </c>
      <c r="DW7" s="9" t="s">
        <v>1</v>
      </c>
      <c r="DX7" s="215" t="s">
        <v>4</v>
      </c>
      <c r="DY7" s="216"/>
      <c r="DZ7" s="82" t="s">
        <v>125</v>
      </c>
    </row>
    <row r="8" spans="1:144" ht="17.25" customHeight="1" x14ac:dyDescent="0.3">
      <c r="A8" s="212"/>
      <c r="B8" s="214"/>
      <c r="C8" s="82" t="s">
        <v>7</v>
      </c>
      <c r="D8" s="82" t="s">
        <v>7</v>
      </c>
      <c r="E8" s="82" t="s">
        <v>7</v>
      </c>
      <c r="F8" s="63" t="s">
        <v>10</v>
      </c>
      <c r="G8" s="9" t="s">
        <v>6</v>
      </c>
      <c r="H8" s="63" t="s">
        <v>8</v>
      </c>
      <c r="I8" s="63" t="s">
        <v>9</v>
      </c>
      <c r="J8" s="93" t="s">
        <v>128</v>
      </c>
      <c r="K8" s="212"/>
      <c r="L8" s="214"/>
      <c r="M8" s="82" t="s">
        <v>7</v>
      </c>
      <c r="N8" s="82" t="s">
        <v>7</v>
      </c>
      <c r="O8" s="82" t="s">
        <v>7</v>
      </c>
      <c r="P8" s="63" t="s">
        <v>10</v>
      </c>
      <c r="Q8" s="9" t="s">
        <v>6</v>
      </c>
      <c r="R8" s="63" t="s">
        <v>8</v>
      </c>
      <c r="S8" s="63" t="s">
        <v>9</v>
      </c>
      <c r="T8" s="93" t="s">
        <v>128</v>
      </c>
      <c r="U8" s="212"/>
      <c r="V8" s="214"/>
      <c r="W8" s="82" t="s">
        <v>7</v>
      </c>
      <c r="X8" s="82" t="s">
        <v>7</v>
      </c>
      <c r="Y8" s="82" t="s">
        <v>7</v>
      </c>
      <c r="Z8" s="63" t="s">
        <v>10</v>
      </c>
      <c r="AA8" s="9" t="s">
        <v>6</v>
      </c>
      <c r="AB8" s="63" t="s">
        <v>8</v>
      </c>
      <c r="AC8" s="63" t="s">
        <v>9</v>
      </c>
      <c r="AD8" s="93" t="s">
        <v>128</v>
      </c>
      <c r="AE8" s="212"/>
      <c r="AF8" s="214"/>
      <c r="AG8" s="82" t="s">
        <v>7</v>
      </c>
      <c r="AH8" s="82" t="s">
        <v>7</v>
      </c>
      <c r="AI8" s="82" t="s">
        <v>7</v>
      </c>
      <c r="AJ8" s="63" t="s">
        <v>10</v>
      </c>
      <c r="AK8" s="9" t="s">
        <v>6</v>
      </c>
      <c r="AL8" s="63" t="s">
        <v>8</v>
      </c>
      <c r="AM8" s="63" t="s">
        <v>9</v>
      </c>
      <c r="AN8" s="93" t="s">
        <v>128</v>
      </c>
      <c r="AO8" s="212"/>
      <c r="AP8" s="214"/>
      <c r="AQ8" s="82" t="s">
        <v>7</v>
      </c>
      <c r="AR8" s="82" t="s">
        <v>7</v>
      </c>
      <c r="AS8" s="82" t="s">
        <v>7</v>
      </c>
      <c r="AT8" s="63" t="s">
        <v>10</v>
      </c>
      <c r="AU8" s="9" t="s">
        <v>6</v>
      </c>
      <c r="AV8" s="63" t="s">
        <v>8</v>
      </c>
      <c r="AW8" s="63" t="s">
        <v>9</v>
      </c>
      <c r="AX8" s="93" t="s">
        <v>128</v>
      </c>
      <c r="AY8" s="212"/>
      <c r="AZ8" s="214"/>
      <c r="BA8" s="82" t="s">
        <v>7</v>
      </c>
      <c r="BB8" s="82" t="s">
        <v>7</v>
      </c>
      <c r="BC8" s="82" t="s">
        <v>7</v>
      </c>
      <c r="BD8" s="63" t="s">
        <v>10</v>
      </c>
      <c r="BE8" s="9" t="s">
        <v>6</v>
      </c>
      <c r="BF8" s="63" t="s">
        <v>8</v>
      </c>
      <c r="BG8" s="63" t="s">
        <v>9</v>
      </c>
      <c r="BH8" s="93" t="s">
        <v>128</v>
      </c>
      <c r="BI8" s="212"/>
      <c r="BJ8" s="214"/>
      <c r="BK8" s="82" t="s">
        <v>7</v>
      </c>
      <c r="BL8" s="82" t="s">
        <v>7</v>
      </c>
      <c r="BM8" s="82" t="s">
        <v>7</v>
      </c>
      <c r="BN8" s="63" t="s">
        <v>10</v>
      </c>
      <c r="BO8" s="9" t="s">
        <v>6</v>
      </c>
      <c r="BP8" s="63" t="s">
        <v>8</v>
      </c>
      <c r="BQ8" s="63" t="s">
        <v>9</v>
      </c>
      <c r="BR8" s="93" t="s">
        <v>128</v>
      </c>
      <c r="BS8" s="212"/>
      <c r="BT8" s="214"/>
      <c r="BU8" s="82" t="s">
        <v>7</v>
      </c>
      <c r="BV8" s="82" t="s">
        <v>7</v>
      </c>
      <c r="BW8" s="82" t="s">
        <v>7</v>
      </c>
      <c r="BX8" s="63" t="s">
        <v>10</v>
      </c>
      <c r="BY8" s="9" t="s">
        <v>6</v>
      </c>
      <c r="BZ8" s="63" t="s">
        <v>8</v>
      </c>
      <c r="CA8" s="63" t="s">
        <v>9</v>
      </c>
      <c r="CB8" s="93" t="s">
        <v>128</v>
      </c>
      <c r="CC8" s="212"/>
      <c r="CD8" s="214"/>
      <c r="CE8" s="82" t="s">
        <v>7</v>
      </c>
      <c r="CF8" s="82" t="s">
        <v>7</v>
      </c>
      <c r="CG8" s="82" t="s">
        <v>7</v>
      </c>
      <c r="CH8" s="63" t="s">
        <v>10</v>
      </c>
      <c r="CI8" s="9" t="s">
        <v>6</v>
      </c>
      <c r="CJ8" s="63" t="s">
        <v>8</v>
      </c>
      <c r="CK8" s="63" t="s">
        <v>9</v>
      </c>
      <c r="CL8" s="93" t="s">
        <v>128</v>
      </c>
      <c r="CM8" s="212"/>
      <c r="CN8" s="214"/>
      <c r="CO8" s="82" t="s">
        <v>7</v>
      </c>
      <c r="CP8" s="82" t="s">
        <v>7</v>
      </c>
      <c r="CQ8" s="82" t="s">
        <v>7</v>
      </c>
      <c r="CR8" s="63" t="s">
        <v>10</v>
      </c>
      <c r="CS8" s="9" t="s">
        <v>6</v>
      </c>
      <c r="CT8" s="63" t="s">
        <v>8</v>
      </c>
      <c r="CU8" s="63" t="s">
        <v>9</v>
      </c>
      <c r="CV8" s="93" t="s">
        <v>128</v>
      </c>
      <c r="CW8" s="212"/>
      <c r="CX8" s="214"/>
      <c r="CY8" s="82" t="s">
        <v>7</v>
      </c>
      <c r="CZ8" s="82" t="s">
        <v>7</v>
      </c>
      <c r="DA8" s="82" t="s">
        <v>7</v>
      </c>
      <c r="DB8" s="63" t="s">
        <v>10</v>
      </c>
      <c r="DC8" s="9" t="s">
        <v>6</v>
      </c>
      <c r="DD8" s="63" t="s">
        <v>8</v>
      </c>
      <c r="DE8" s="63" t="s">
        <v>9</v>
      </c>
      <c r="DF8" s="93" t="s">
        <v>128</v>
      </c>
      <c r="DG8" s="212"/>
      <c r="DH8" s="214"/>
      <c r="DI8" s="82" t="s">
        <v>7</v>
      </c>
      <c r="DJ8" s="82" t="s">
        <v>7</v>
      </c>
      <c r="DK8" s="82" t="s">
        <v>7</v>
      </c>
      <c r="DL8" s="63" t="s">
        <v>10</v>
      </c>
      <c r="DM8" s="9" t="s">
        <v>6</v>
      </c>
      <c r="DN8" s="63" t="s">
        <v>8</v>
      </c>
      <c r="DO8" s="63" t="s">
        <v>9</v>
      </c>
      <c r="DP8" s="93" t="s">
        <v>128</v>
      </c>
      <c r="DQ8" s="212"/>
      <c r="DR8" s="214"/>
      <c r="DS8" s="82" t="s">
        <v>7</v>
      </c>
      <c r="DT8" s="82" t="s">
        <v>7</v>
      </c>
      <c r="DU8" s="82" t="s">
        <v>7</v>
      </c>
      <c r="DV8" s="63" t="s">
        <v>10</v>
      </c>
      <c r="DW8" s="9" t="s">
        <v>6</v>
      </c>
      <c r="DX8" s="63" t="s">
        <v>8</v>
      </c>
      <c r="DY8" s="63" t="s">
        <v>9</v>
      </c>
      <c r="DZ8" s="93" t="s">
        <v>128</v>
      </c>
    </row>
    <row r="9" spans="1:144" s="19" customFormat="1" ht="8.25" customHeight="1" x14ac:dyDescent="0.2">
      <c r="A9" s="99">
        <v>1</v>
      </c>
      <c r="B9" s="100">
        <v>2</v>
      </c>
      <c r="C9" s="100"/>
      <c r="D9" s="99">
        <v>3</v>
      </c>
      <c r="E9" s="99">
        <v>4</v>
      </c>
      <c r="F9" s="99">
        <v>5</v>
      </c>
      <c r="G9" s="99">
        <v>6</v>
      </c>
      <c r="H9" s="99">
        <v>7</v>
      </c>
      <c r="I9" s="99">
        <v>8</v>
      </c>
      <c r="J9" s="99">
        <v>9</v>
      </c>
      <c r="K9" s="99">
        <v>1</v>
      </c>
      <c r="L9" s="100">
        <v>2</v>
      </c>
      <c r="M9" s="100"/>
      <c r="N9" s="99">
        <v>3</v>
      </c>
      <c r="O9" s="99">
        <v>4</v>
      </c>
      <c r="P9" s="99">
        <v>5</v>
      </c>
      <c r="Q9" s="99">
        <v>6</v>
      </c>
      <c r="R9" s="99">
        <v>7</v>
      </c>
      <c r="S9" s="99">
        <v>8</v>
      </c>
      <c r="T9" s="99">
        <v>9</v>
      </c>
      <c r="U9" s="99">
        <v>1</v>
      </c>
      <c r="V9" s="100">
        <v>2</v>
      </c>
      <c r="W9" s="100"/>
      <c r="X9" s="99">
        <v>3</v>
      </c>
      <c r="Y9" s="99">
        <v>4</v>
      </c>
      <c r="Z9" s="99">
        <v>5</v>
      </c>
      <c r="AA9" s="99">
        <v>6</v>
      </c>
      <c r="AB9" s="99">
        <v>7</v>
      </c>
      <c r="AC9" s="99">
        <v>8</v>
      </c>
      <c r="AD9" s="99">
        <v>9</v>
      </c>
      <c r="AE9" s="99">
        <v>1</v>
      </c>
      <c r="AF9" s="100">
        <v>2</v>
      </c>
      <c r="AG9" s="100"/>
      <c r="AH9" s="99">
        <v>3</v>
      </c>
      <c r="AI9" s="99">
        <v>4</v>
      </c>
      <c r="AJ9" s="99">
        <v>5</v>
      </c>
      <c r="AK9" s="99">
        <v>6</v>
      </c>
      <c r="AL9" s="99">
        <v>7</v>
      </c>
      <c r="AM9" s="99">
        <v>8</v>
      </c>
      <c r="AN9" s="99">
        <v>9</v>
      </c>
      <c r="AO9" s="99">
        <v>1</v>
      </c>
      <c r="AP9" s="100">
        <v>2</v>
      </c>
      <c r="AQ9" s="100"/>
      <c r="AR9" s="99">
        <v>3</v>
      </c>
      <c r="AS9" s="99">
        <v>4</v>
      </c>
      <c r="AT9" s="99">
        <v>5</v>
      </c>
      <c r="AU9" s="99">
        <v>6</v>
      </c>
      <c r="AV9" s="99">
        <v>7</v>
      </c>
      <c r="AW9" s="99">
        <v>8</v>
      </c>
      <c r="AX9" s="99">
        <v>9</v>
      </c>
      <c r="AY9" s="99">
        <v>1</v>
      </c>
      <c r="AZ9" s="100">
        <v>2</v>
      </c>
      <c r="BA9" s="100"/>
      <c r="BB9" s="99">
        <v>3</v>
      </c>
      <c r="BC9" s="99">
        <v>4</v>
      </c>
      <c r="BD9" s="99">
        <v>5</v>
      </c>
      <c r="BE9" s="195">
        <v>6</v>
      </c>
      <c r="BF9" s="99">
        <v>7</v>
      </c>
      <c r="BG9" s="99">
        <v>8</v>
      </c>
      <c r="BH9" s="99">
        <v>9</v>
      </c>
      <c r="BI9" s="99">
        <v>1</v>
      </c>
      <c r="BJ9" s="100">
        <v>2</v>
      </c>
      <c r="BK9" s="100"/>
      <c r="BL9" s="99">
        <v>3</v>
      </c>
      <c r="BM9" s="99">
        <v>4</v>
      </c>
      <c r="BN9" s="99">
        <v>5</v>
      </c>
      <c r="BO9" s="99">
        <v>6</v>
      </c>
      <c r="BP9" s="99">
        <v>7</v>
      </c>
      <c r="BQ9" s="99">
        <v>8</v>
      </c>
      <c r="BR9" s="99">
        <v>9</v>
      </c>
      <c r="BS9" s="99">
        <v>1</v>
      </c>
      <c r="BT9" s="100">
        <v>2</v>
      </c>
      <c r="BU9" s="100"/>
      <c r="BV9" s="99">
        <v>3</v>
      </c>
      <c r="BW9" s="99">
        <v>4</v>
      </c>
      <c r="BX9" s="99">
        <v>5</v>
      </c>
      <c r="BY9" s="195">
        <v>6</v>
      </c>
      <c r="BZ9" s="99">
        <v>7</v>
      </c>
      <c r="CA9" s="99">
        <v>8</v>
      </c>
      <c r="CB9" s="99">
        <v>9</v>
      </c>
      <c r="CC9" s="99">
        <v>1</v>
      </c>
      <c r="CD9" s="100">
        <v>2</v>
      </c>
      <c r="CE9" s="100"/>
      <c r="CF9" s="99">
        <v>3</v>
      </c>
      <c r="CG9" s="99">
        <v>4</v>
      </c>
      <c r="CH9" s="99">
        <v>5</v>
      </c>
      <c r="CI9" s="99">
        <v>6</v>
      </c>
      <c r="CJ9" s="99">
        <v>7</v>
      </c>
      <c r="CK9" s="99">
        <v>8</v>
      </c>
      <c r="CL9" s="99">
        <v>9</v>
      </c>
      <c r="CM9" s="99">
        <v>1</v>
      </c>
      <c r="CN9" s="100">
        <v>2</v>
      </c>
      <c r="CO9" s="100"/>
      <c r="CP9" s="99">
        <v>3</v>
      </c>
      <c r="CQ9" s="99">
        <v>4</v>
      </c>
      <c r="CR9" s="99">
        <v>5</v>
      </c>
      <c r="CS9" s="99">
        <v>6</v>
      </c>
      <c r="CT9" s="99">
        <v>7</v>
      </c>
      <c r="CU9" s="99">
        <v>8</v>
      </c>
      <c r="CV9" s="99">
        <v>9</v>
      </c>
      <c r="CW9" s="99">
        <v>1</v>
      </c>
      <c r="CX9" s="100">
        <v>2</v>
      </c>
      <c r="CY9" s="100"/>
      <c r="CZ9" s="99">
        <v>3</v>
      </c>
      <c r="DA9" s="99">
        <v>4</v>
      </c>
      <c r="DB9" s="99">
        <v>5</v>
      </c>
      <c r="DC9" s="195">
        <v>6</v>
      </c>
      <c r="DD9" s="99">
        <v>7</v>
      </c>
      <c r="DE9" s="99">
        <v>8</v>
      </c>
      <c r="DF9" s="99">
        <v>9</v>
      </c>
      <c r="DG9" s="99">
        <v>1</v>
      </c>
      <c r="DH9" s="100">
        <v>2</v>
      </c>
      <c r="DI9" s="100"/>
      <c r="DJ9" s="99">
        <v>3</v>
      </c>
      <c r="DK9" s="99">
        <v>4</v>
      </c>
      <c r="DL9" s="99">
        <v>5</v>
      </c>
      <c r="DM9" s="195">
        <v>6</v>
      </c>
      <c r="DN9" s="99">
        <v>7</v>
      </c>
      <c r="DO9" s="99">
        <v>8</v>
      </c>
      <c r="DP9" s="99">
        <v>9</v>
      </c>
      <c r="DQ9" s="99">
        <v>1</v>
      </c>
      <c r="DR9" s="100">
        <v>2</v>
      </c>
      <c r="DS9" s="100"/>
      <c r="DT9" s="99">
        <v>3</v>
      </c>
      <c r="DU9" s="99">
        <v>4</v>
      </c>
      <c r="DV9" s="99">
        <v>5</v>
      </c>
      <c r="DW9" s="99">
        <v>6</v>
      </c>
      <c r="DX9" s="99">
        <v>7</v>
      </c>
      <c r="DY9" s="99">
        <v>8</v>
      </c>
      <c r="DZ9" s="99">
        <v>9</v>
      </c>
    </row>
    <row r="10" spans="1:144" s="30" customFormat="1" x14ac:dyDescent="0.3">
      <c r="A10" s="32" t="s">
        <v>11</v>
      </c>
      <c r="B10" s="25" t="s">
        <v>12</v>
      </c>
      <c r="C10" s="25"/>
      <c r="D10" s="33"/>
      <c r="E10" s="34"/>
      <c r="F10" s="34"/>
      <c r="G10" s="34"/>
      <c r="H10" s="34"/>
      <c r="I10" s="34"/>
      <c r="J10" s="34"/>
      <c r="K10" s="32" t="s">
        <v>11</v>
      </c>
      <c r="L10" s="25" t="s">
        <v>12</v>
      </c>
      <c r="M10" s="25"/>
      <c r="N10" s="33"/>
      <c r="O10" s="34"/>
      <c r="P10" s="34"/>
      <c r="Q10" s="34"/>
      <c r="R10" s="34"/>
      <c r="S10" s="34"/>
      <c r="T10" s="34"/>
      <c r="U10" s="32" t="s">
        <v>11</v>
      </c>
      <c r="V10" s="25" t="s">
        <v>12</v>
      </c>
      <c r="W10" s="123"/>
      <c r="X10" s="33"/>
      <c r="Y10" s="34"/>
      <c r="Z10" s="34"/>
      <c r="AA10" s="34"/>
      <c r="AB10" s="34"/>
      <c r="AC10" s="34"/>
      <c r="AD10" s="34"/>
      <c r="AE10" s="32" t="s">
        <v>11</v>
      </c>
      <c r="AF10" s="25" t="s">
        <v>12</v>
      </c>
      <c r="AG10" s="123"/>
      <c r="AH10" s="33"/>
      <c r="AI10" s="34"/>
      <c r="AJ10" s="34"/>
      <c r="AK10" s="34"/>
      <c r="AL10" s="34"/>
      <c r="AM10" s="34"/>
      <c r="AN10" s="34"/>
      <c r="AO10" s="32" t="s">
        <v>11</v>
      </c>
      <c r="AP10" s="25" t="s">
        <v>12</v>
      </c>
      <c r="AQ10" s="123"/>
      <c r="AR10" s="33"/>
      <c r="AS10" s="34"/>
      <c r="AT10" s="34"/>
      <c r="AU10" s="34"/>
      <c r="AV10" s="34"/>
      <c r="AW10" s="34"/>
      <c r="AX10" s="34"/>
      <c r="AY10" s="32" t="s">
        <v>11</v>
      </c>
      <c r="AZ10" s="25" t="s">
        <v>12</v>
      </c>
      <c r="BA10" s="123"/>
      <c r="BB10" s="33"/>
      <c r="BC10" s="34"/>
      <c r="BD10" s="34"/>
      <c r="BE10" s="25"/>
      <c r="BF10" s="34"/>
      <c r="BG10" s="34"/>
      <c r="BH10" s="34"/>
      <c r="BI10" s="32" t="s">
        <v>11</v>
      </c>
      <c r="BJ10" s="25" t="s">
        <v>12</v>
      </c>
      <c r="BK10" s="123"/>
      <c r="BL10" s="33"/>
      <c r="BM10" s="34"/>
      <c r="BN10" s="34"/>
      <c r="BO10" s="34"/>
      <c r="BP10" s="34"/>
      <c r="BQ10" s="34"/>
      <c r="BR10" s="34"/>
      <c r="BS10" s="32" t="s">
        <v>11</v>
      </c>
      <c r="BT10" s="25" t="s">
        <v>12</v>
      </c>
      <c r="BU10" s="123"/>
      <c r="BV10" s="33"/>
      <c r="BW10" s="34"/>
      <c r="BX10" s="34"/>
      <c r="BY10" s="25"/>
      <c r="BZ10" s="34"/>
      <c r="CA10" s="34"/>
      <c r="CB10" s="34"/>
      <c r="CC10" s="32" t="s">
        <v>11</v>
      </c>
      <c r="CD10" s="25" t="s">
        <v>12</v>
      </c>
      <c r="CE10" s="123"/>
      <c r="CF10" s="33"/>
      <c r="CG10" s="34"/>
      <c r="CH10" s="34"/>
      <c r="CI10" s="34"/>
      <c r="CJ10" s="34"/>
      <c r="CK10" s="34"/>
      <c r="CL10" s="34"/>
      <c r="CM10" s="32" t="s">
        <v>11</v>
      </c>
      <c r="CN10" s="25" t="s">
        <v>12</v>
      </c>
      <c r="CO10" s="123"/>
      <c r="CP10" s="33"/>
      <c r="CQ10" s="34"/>
      <c r="CR10" s="34"/>
      <c r="CS10" s="34"/>
      <c r="CT10" s="34"/>
      <c r="CU10" s="34"/>
      <c r="CV10" s="34"/>
      <c r="CW10" s="32" t="s">
        <v>11</v>
      </c>
      <c r="CX10" s="25" t="s">
        <v>12</v>
      </c>
      <c r="CY10" s="123"/>
      <c r="CZ10" s="33"/>
      <c r="DA10" s="34"/>
      <c r="DB10" s="34"/>
      <c r="DC10" s="25"/>
      <c r="DD10" s="34"/>
      <c r="DE10" s="34"/>
      <c r="DF10" s="34"/>
      <c r="DG10" s="32" t="s">
        <v>11</v>
      </c>
      <c r="DH10" s="25" t="s">
        <v>12</v>
      </c>
      <c r="DI10" s="123"/>
      <c r="DJ10" s="33"/>
      <c r="DK10" s="34"/>
      <c r="DL10" s="34"/>
      <c r="DM10" s="25"/>
      <c r="DN10" s="34"/>
      <c r="DO10" s="34"/>
      <c r="DP10" s="34"/>
      <c r="DQ10" s="32" t="s">
        <v>11</v>
      </c>
      <c r="DR10" s="25" t="s">
        <v>12</v>
      </c>
      <c r="DS10" s="123"/>
      <c r="DT10" s="33"/>
      <c r="DU10" s="34"/>
      <c r="DV10" s="34"/>
      <c r="DW10" s="34"/>
      <c r="DX10" s="34"/>
      <c r="DY10" s="34"/>
      <c r="DZ10" s="34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</row>
    <row r="11" spans="1:144" x14ac:dyDescent="0.3">
      <c r="A11" s="54">
        <v>1</v>
      </c>
      <c r="B11" s="45" t="s">
        <v>140</v>
      </c>
      <c r="C11" s="122">
        <f>5882+4374</f>
        <v>10256</v>
      </c>
      <c r="D11" s="40">
        <f>12282+1354</f>
        <v>13636</v>
      </c>
      <c r="E11" s="40">
        <v>533</v>
      </c>
      <c r="F11" s="40">
        <v>0</v>
      </c>
      <c r="G11" s="40">
        <v>3114</v>
      </c>
      <c r="H11" s="40">
        <v>0</v>
      </c>
      <c r="I11" s="40">
        <v>0</v>
      </c>
      <c r="J11" s="40">
        <f>G11/E11</f>
        <v>5.8424015009380863</v>
      </c>
      <c r="K11" s="54">
        <v>1</v>
      </c>
      <c r="L11" s="45" t="s">
        <v>140</v>
      </c>
      <c r="M11" s="122">
        <f>17631+5728</f>
        <v>23359</v>
      </c>
      <c r="N11" s="40">
        <f>7736+103</f>
        <v>7839</v>
      </c>
      <c r="O11" s="40">
        <f>964</f>
        <v>964</v>
      </c>
      <c r="P11" s="40">
        <v>0</v>
      </c>
      <c r="Q11" s="40">
        <v>5632</v>
      </c>
      <c r="R11" s="40">
        <v>0</v>
      </c>
      <c r="S11" s="40">
        <v>0</v>
      </c>
      <c r="T11" s="40">
        <f>Q11/O11</f>
        <v>5.8423236514522818</v>
      </c>
      <c r="U11" s="54">
        <v>1</v>
      </c>
      <c r="V11" s="45" t="s">
        <v>140</v>
      </c>
      <c r="W11" s="122">
        <f>24403+5831</f>
        <v>30234</v>
      </c>
      <c r="X11" s="40">
        <f>3135+2</f>
        <v>3137</v>
      </c>
      <c r="Y11" s="40">
        <v>3736</v>
      </c>
      <c r="Z11" s="40"/>
      <c r="AA11" s="40">
        <v>25505</v>
      </c>
      <c r="AB11" s="40">
        <v>0</v>
      </c>
      <c r="AC11" s="40">
        <v>0</v>
      </c>
      <c r="AD11" s="40">
        <f>AA11/Y11</f>
        <v>6.8268201284796577</v>
      </c>
      <c r="AE11" s="54">
        <v>1</v>
      </c>
      <c r="AF11" s="45" t="s">
        <v>140</v>
      </c>
      <c r="AG11" s="122">
        <f>23968+5495</f>
        <v>29463</v>
      </c>
      <c r="AH11" s="40">
        <v>1741</v>
      </c>
      <c r="AI11" s="40">
        <f>9274+5355</f>
        <v>14629</v>
      </c>
      <c r="AJ11" s="40">
        <v>0</v>
      </c>
      <c r="AK11" s="40">
        <v>86970</v>
      </c>
      <c r="AL11" s="40">
        <v>0</v>
      </c>
      <c r="AM11" s="40">
        <v>0</v>
      </c>
      <c r="AN11" s="40">
        <f>AK11/AI11</f>
        <v>5.9450406726365435</v>
      </c>
      <c r="AO11" s="54">
        <v>1</v>
      </c>
      <c r="AP11" s="45" t="s">
        <v>140</v>
      </c>
      <c r="AQ11" s="122">
        <f>16435+140</f>
        <v>16575</v>
      </c>
      <c r="AR11" s="40">
        <f>3471+51</f>
        <v>3522</v>
      </c>
      <c r="AS11" s="40">
        <f>10580+42</f>
        <v>10622</v>
      </c>
      <c r="AT11" s="40">
        <v>0</v>
      </c>
      <c r="AU11" s="40">
        <v>66922</v>
      </c>
      <c r="AV11" s="40">
        <v>0</v>
      </c>
      <c r="AW11" s="40">
        <v>0</v>
      </c>
      <c r="AX11" s="40">
        <f>AU11/AS11</f>
        <v>6.3003200903784595</v>
      </c>
      <c r="AY11" s="54">
        <v>1</v>
      </c>
      <c r="AZ11" s="45" t="s">
        <v>140</v>
      </c>
      <c r="BA11" s="122">
        <f>9326+149</f>
        <v>9475</v>
      </c>
      <c r="BB11" s="40">
        <f>3383+24</f>
        <v>3407</v>
      </c>
      <c r="BC11" s="40">
        <f>3072+98</f>
        <v>3170</v>
      </c>
      <c r="BD11" s="40">
        <v>0</v>
      </c>
      <c r="BE11" s="40">
        <v>20131</v>
      </c>
      <c r="BF11" s="40">
        <v>0</v>
      </c>
      <c r="BG11" s="40">
        <v>0</v>
      </c>
      <c r="BH11" s="40">
        <f>BE11/BC11</f>
        <v>6.3504731861198742</v>
      </c>
      <c r="BI11" s="54">
        <v>1</v>
      </c>
      <c r="BJ11" s="45" t="s">
        <v>140</v>
      </c>
      <c r="BK11" s="122">
        <f>9637+75</f>
        <v>9712</v>
      </c>
      <c r="BL11" s="40">
        <f>2544+33</f>
        <v>2577</v>
      </c>
      <c r="BM11" s="40">
        <f>2288</f>
        <v>2288</v>
      </c>
      <c r="BN11" s="40">
        <v>1</v>
      </c>
      <c r="BO11" s="40">
        <v>14907</v>
      </c>
      <c r="BP11" s="40"/>
      <c r="BQ11" s="40"/>
      <c r="BR11" s="79">
        <f>BO11/BM11</f>
        <v>6.5152972027972025</v>
      </c>
      <c r="BS11" s="54">
        <v>1</v>
      </c>
      <c r="BT11" s="45" t="s">
        <v>140</v>
      </c>
      <c r="BU11" s="122">
        <f>9892+108</f>
        <v>10000</v>
      </c>
      <c r="BV11" s="40">
        <f>2238</f>
        <v>2238</v>
      </c>
      <c r="BW11" s="40">
        <f>4699+51</f>
        <v>4750</v>
      </c>
      <c r="BX11" s="40"/>
      <c r="BY11" s="40">
        <v>30394</v>
      </c>
      <c r="BZ11" s="40"/>
      <c r="CA11" s="40"/>
      <c r="CB11" s="79">
        <f>BY11/BW11</f>
        <v>6.3987368421052633</v>
      </c>
      <c r="CC11" s="54">
        <v>1</v>
      </c>
      <c r="CD11" s="45" t="s">
        <v>140</v>
      </c>
      <c r="CE11" s="122">
        <f>7429+57</f>
        <v>7486</v>
      </c>
      <c r="CF11" s="40">
        <f>1857+461</f>
        <v>2318</v>
      </c>
      <c r="CG11" s="40">
        <f>3456+24</f>
        <v>3480</v>
      </c>
      <c r="CH11" s="40">
        <v>0</v>
      </c>
      <c r="CI11" s="40">
        <v>22200</v>
      </c>
      <c r="CJ11" s="40"/>
      <c r="CK11" s="40"/>
      <c r="CL11" s="79">
        <f>CI11/CG11</f>
        <v>6.3793103448275863</v>
      </c>
      <c r="CM11" s="54">
        <v>1</v>
      </c>
      <c r="CN11" s="45" t="s">
        <v>140</v>
      </c>
      <c r="CO11" s="122">
        <f>5830+494</f>
        <v>6324</v>
      </c>
      <c r="CP11" s="40">
        <f>2851+4111</f>
        <v>6962</v>
      </c>
      <c r="CQ11" s="40">
        <f>1827</f>
        <v>1827</v>
      </c>
      <c r="CR11" s="40"/>
      <c r="CS11" s="40">
        <v>11664</v>
      </c>
      <c r="CT11" s="40"/>
      <c r="CU11" s="40"/>
      <c r="CV11" s="40">
        <f>CS11/CQ11</f>
        <v>6.3842364532019706</v>
      </c>
      <c r="CW11" s="54">
        <v>1</v>
      </c>
      <c r="CX11" s="45" t="s">
        <v>140</v>
      </c>
      <c r="CY11" s="122">
        <f>6854+4605</f>
        <v>11459</v>
      </c>
      <c r="CZ11" s="40">
        <f>3528+1728</f>
        <v>5256</v>
      </c>
      <c r="DA11" s="40">
        <f>3006+33</f>
        <v>3039</v>
      </c>
      <c r="DB11" s="40"/>
      <c r="DC11" s="40">
        <v>16432</v>
      </c>
      <c r="DD11" s="40"/>
      <c r="DE11" s="40"/>
      <c r="DF11" s="79">
        <f>DC11/DA11</f>
        <v>5.4070417900625207</v>
      </c>
      <c r="DG11" s="54">
        <v>1</v>
      </c>
      <c r="DH11" s="45" t="s">
        <v>140</v>
      </c>
      <c r="DI11" s="122">
        <f>5882+4374</f>
        <v>10256</v>
      </c>
      <c r="DJ11" s="40">
        <f>12282+1354</f>
        <v>13636</v>
      </c>
      <c r="DK11" s="40">
        <f>533</f>
        <v>533</v>
      </c>
      <c r="DL11" s="40"/>
      <c r="DM11" s="40">
        <v>13208</v>
      </c>
      <c r="DN11" s="40"/>
      <c r="DO11" s="40"/>
      <c r="DP11" s="79">
        <f>DM11/DK11</f>
        <v>24.780487804878049</v>
      </c>
      <c r="DQ11" s="54">
        <v>1</v>
      </c>
      <c r="DR11" s="45" t="s">
        <v>140</v>
      </c>
      <c r="DS11" s="122">
        <f>SUM(C11+M11+W11+AG11+AQ11+BA11+BK11+BU11+CE11+CO11+CY11+DI11)</f>
        <v>174599</v>
      </c>
      <c r="DT11" s="40">
        <f>SUM(D11+N11+X11+AH11+AR11+BB11+BL11+BV11+CF11+CP11+DA11+DJ11)</f>
        <v>64052</v>
      </c>
      <c r="DU11" s="40">
        <f>SUM(E11+O11+Y11+AI11+AS11+BC11+BM11+BW11+CG11+CQ11+DA11+DK11)</f>
        <v>49571</v>
      </c>
      <c r="DV11" s="40">
        <v>0</v>
      </c>
      <c r="DW11" s="40">
        <f>SUM(G11+Q11+AA11+AK11+AU11+BE11+BO11+BY11+CI11+CS11+DC11+DM11)</f>
        <v>317079</v>
      </c>
      <c r="DX11" s="40">
        <v>0</v>
      </c>
      <c r="DY11" s="40">
        <v>0</v>
      </c>
      <c r="DZ11" s="40">
        <f>DW11/DU11</f>
        <v>6.3964616408787398</v>
      </c>
    </row>
    <row r="12" spans="1:144" x14ac:dyDescent="0.3">
      <c r="A12" s="54">
        <v>2</v>
      </c>
      <c r="B12" s="45" t="s">
        <v>199</v>
      </c>
      <c r="C12" s="122">
        <f>8015+15766</f>
        <v>23781</v>
      </c>
      <c r="D12" s="40">
        <f>311+5488</f>
        <v>5799</v>
      </c>
      <c r="E12" s="40">
        <f>4068+412</f>
        <v>4480</v>
      </c>
      <c r="F12" s="40">
        <v>5</v>
      </c>
      <c r="G12" s="40">
        <v>22925</v>
      </c>
      <c r="H12" s="40">
        <v>0</v>
      </c>
      <c r="I12" s="40">
        <v>0</v>
      </c>
      <c r="J12" s="40">
        <f>G12/E12</f>
        <v>5.1171875</v>
      </c>
      <c r="K12" s="54">
        <v>2</v>
      </c>
      <c r="L12" s="45" t="s">
        <v>199</v>
      </c>
      <c r="M12" s="122">
        <f>4253+20842</f>
        <v>25095</v>
      </c>
      <c r="N12" s="40">
        <f>910+90</f>
        <v>1000</v>
      </c>
      <c r="O12" s="40">
        <f>2007+112</f>
        <v>2119</v>
      </c>
      <c r="P12" s="40">
        <v>4</v>
      </c>
      <c r="Q12" s="40">
        <v>11614</v>
      </c>
      <c r="R12" s="40">
        <v>0</v>
      </c>
      <c r="S12" s="40">
        <v>0</v>
      </c>
      <c r="T12" s="40">
        <f>Q12/O12</f>
        <v>5.4808872109485609</v>
      </c>
      <c r="U12" s="54">
        <v>2</v>
      </c>
      <c r="V12" s="45" t="s">
        <v>199</v>
      </c>
      <c r="W12" s="122">
        <f>2802+20770</f>
        <v>23572</v>
      </c>
      <c r="X12" s="40">
        <f>444+128</f>
        <v>572</v>
      </c>
      <c r="Y12" s="40">
        <f>1448+4+7460+3</f>
        <v>8915</v>
      </c>
      <c r="Z12" s="40"/>
      <c r="AA12" s="40">
        <v>45104</v>
      </c>
      <c r="AB12" s="40">
        <v>0</v>
      </c>
      <c r="AC12" s="40">
        <v>0</v>
      </c>
      <c r="AD12" s="40">
        <f>AA12/Y12</f>
        <v>5.0593381940549635</v>
      </c>
      <c r="AE12" s="54">
        <v>2</v>
      </c>
      <c r="AF12" s="45" t="s">
        <v>199</v>
      </c>
      <c r="AG12" s="122">
        <v>16229</v>
      </c>
      <c r="AH12" s="40">
        <v>3501</v>
      </c>
      <c r="AI12" s="40">
        <v>11887</v>
      </c>
      <c r="AJ12" s="40">
        <v>0</v>
      </c>
      <c r="AK12" s="40">
        <v>68311</v>
      </c>
      <c r="AL12" s="40">
        <v>0</v>
      </c>
      <c r="AM12" s="40">
        <v>0</v>
      </c>
      <c r="AN12" s="40">
        <f>AK12/AI12</f>
        <v>5.7466980735257005</v>
      </c>
      <c r="AO12" s="54">
        <v>2</v>
      </c>
      <c r="AP12" s="45" t="s">
        <v>199</v>
      </c>
      <c r="AQ12" s="122">
        <f>3443+3393</f>
        <v>6836</v>
      </c>
      <c r="AR12" s="40">
        <f>5818+990</f>
        <v>6808</v>
      </c>
      <c r="AS12" s="40">
        <f>504+2+1819</f>
        <v>2325</v>
      </c>
      <c r="AT12" s="40">
        <v>0</v>
      </c>
      <c r="AU12" s="40">
        <v>13227</v>
      </c>
      <c r="AV12" s="40">
        <v>0</v>
      </c>
      <c r="AW12" s="40">
        <v>0</v>
      </c>
      <c r="AX12" s="40">
        <f>AU12/AS12</f>
        <v>5.6890322580645165</v>
      </c>
      <c r="AY12" s="54">
        <v>2</v>
      </c>
      <c r="AZ12" s="45" t="s">
        <v>199</v>
      </c>
      <c r="BA12" s="122">
        <f>8755+2564</f>
        <v>11319</v>
      </c>
      <c r="BB12" s="40">
        <f>4801+531</f>
        <v>5332</v>
      </c>
      <c r="BC12" s="40">
        <f>635+138+71+386+1+90</f>
        <v>1321</v>
      </c>
      <c r="BD12" s="40">
        <v>0</v>
      </c>
      <c r="BE12" s="40">
        <v>5693</v>
      </c>
      <c r="BF12" s="40">
        <v>0</v>
      </c>
      <c r="BG12" s="40">
        <v>0</v>
      </c>
      <c r="BH12" s="40">
        <f>BE12/BC12</f>
        <v>4.3096139288417863</v>
      </c>
      <c r="BI12" s="54">
        <v>2</v>
      </c>
      <c r="BJ12" s="45" t="s">
        <v>199</v>
      </c>
      <c r="BK12" s="122">
        <f>12712+2618</f>
        <v>15330</v>
      </c>
      <c r="BL12" s="40">
        <f>1495+76</f>
        <v>1571</v>
      </c>
      <c r="BM12" s="40">
        <f>2107+57+1097</f>
        <v>3261</v>
      </c>
      <c r="BN12" s="40"/>
      <c r="BO12" s="40">
        <v>17832</v>
      </c>
      <c r="BP12" s="40"/>
      <c r="BQ12" s="40"/>
      <c r="BR12" s="79">
        <f t="shared" ref="BR12:BR28" si="0">BO12/BM12</f>
        <v>5.4682612695492177</v>
      </c>
      <c r="BS12" s="54">
        <v>2</v>
      </c>
      <c r="BT12" s="45" t="s">
        <v>199</v>
      </c>
      <c r="BU12" s="122">
        <f>12043+1597</f>
        <v>13640</v>
      </c>
      <c r="BV12" s="40">
        <f>6985+423</f>
        <v>7408</v>
      </c>
      <c r="BW12" s="40">
        <f>5066+3+21+716+95</f>
        <v>5901</v>
      </c>
      <c r="BX12" s="40"/>
      <c r="BY12" s="40">
        <v>31811</v>
      </c>
      <c r="BZ12" s="40"/>
      <c r="CA12" s="40"/>
      <c r="CB12" s="79">
        <f t="shared" ref="CB12:CB24" si="1">BY12/BW12</f>
        <v>5.3907812235214374</v>
      </c>
      <c r="CC12" s="54">
        <v>2</v>
      </c>
      <c r="CD12" s="45" t="s">
        <v>199</v>
      </c>
      <c r="CE12" s="122">
        <f>13938+1209</f>
        <v>15147</v>
      </c>
      <c r="CF12" s="40">
        <f>6722+2257</f>
        <v>8979</v>
      </c>
      <c r="CG12" s="40">
        <f>5000+26+25+491</f>
        <v>5542</v>
      </c>
      <c r="CH12" s="40">
        <v>0</v>
      </c>
      <c r="CI12" s="40">
        <v>30155</v>
      </c>
      <c r="CJ12" s="40"/>
      <c r="CK12" s="40"/>
      <c r="CL12" s="79">
        <f t="shared" ref="CL12:CL28" si="2">CI12/CG12</f>
        <v>5.4411764705882355</v>
      </c>
      <c r="CM12" s="54">
        <v>2</v>
      </c>
      <c r="CN12" s="45" t="s">
        <v>199</v>
      </c>
      <c r="CO12" s="122">
        <f>15607+2975</f>
        <v>18582</v>
      </c>
      <c r="CP12" s="40">
        <f>1322+14191</f>
        <v>15513</v>
      </c>
      <c r="CQ12" s="40">
        <f>4047+5+42+566</f>
        <v>4660</v>
      </c>
      <c r="CR12" s="40"/>
      <c r="CS12" s="40">
        <v>25389</v>
      </c>
      <c r="CT12" s="40"/>
      <c r="CU12" s="40"/>
      <c r="CV12" s="40">
        <f>CS12/CQ12</f>
        <v>5.4482832618025752</v>
      </c>
      <c r="CW12" s="54">
        <v>2</v>
      </c>
      <c r="CX12" s="45" t="s">
        <v>199</v>
      </c>
      <c r="CY12" s="122">
        <f>12835+16598</f>
        <v>29433</v>
      </c>
      <c r="CZ12" s="40">
        <f>996+2481</f>
        <v>3477</v>
      </c>
      <c r="DA12" s="40">
        <f>2816+100+138+250</f>
        <v>3304</v>
      </c>
      <c r="DB12" s="40"/>
      <c r="DC12" s="40">
        <v>19658</v>
      </c>
      <c r="DD12" s="40"/>
      <c r="DE12" s="40"/>
      <c r="DF12" s="79">
        <f t="shared" ref="DF12:DF28" si="3">DC12/DA12</f>
        <v>5.9497578692493951</v>
      </c>
      <c r="DG12" s="54">
        <v>2</v>
      </c>
      <c r="DH12" s="45" t="s">
        <v>199</v>
      </c>
      <c r="DI12" s="122">
        <f>10777+18829</f>
        <v>29606</v>
      </c>
      <c r="DJ12" s="40">
        <f>97+295</f>
        <v>392</v>
      </c>
      <c r="DK12" s="40">
        <f>5407+134+323+3756+255+101</f>
        <v>9976</v>
      </c>
      <c r="DL12" s="40"/>
      <c r="DM12" s="40">
        <v>51176</v>
      </c>
      <c r="DN12" s="40"/>
      <c r="DO12" s="40"/>
      <c r="DP12" s="79">
        <f t="shared" ref="DP12:DP28" si="4">DM12/DK12</f>
        <v>5.129911788291901</v>
      </c>
      <c r="DQ12" s="54">
        <v>2</v>
      </c>
      <c r="DR12" s="45" t="s">
        <v>199</v>
      </c>
      <c r="DS12" s="122">
        <f t="shared" ref="DS12:DS28" si="5">SUM(C12+M12+W12+AG12+AQ12+BA12+BK12+BU12+CE12+CO12+CY12+DI12)</f>
        <v>228570</v>
      </c>
      <c r="DT12" s="40">
        <f>R14/100*AD14/100*AE14</f>
        <v>0</v>
      </c>
      <c r="DU12" s="40">
        <f t="shared" ref="DU12:DU28" si="6">SUM(E12+O12+Y12+AI12+AS12+BC12+BM12+BW12+CG12+CQ12+DA12+DK12)</f>
        <v>63691</v>
      </c>
      <c r="DV12" s="40">
        <v>0</v>
      </c>
      <c r="DW12" s="40">
        <f t="shared" ref="DW12:DW24" si="7">SUM(G12+Q12+AA12+AK12+AU12+BE12+BO12+BY12+CI12+CS12+DC12+DM12)</f>
        <v>342895</v>
      </c>
      <c r="DX12" s="40">
        <v>0</v>
      </c>
      <c r="DY12" s="40">
        <v>0</v>
      </c>
      <c r="DZ12" s="40">
        <f>DW12/DU12</f>
        <v>5.3837276852302525</v>
      </c>
    </row>
    <row r="13" spans="1:144" s="17" customFormat="1" x14ac:dyDescent="0.3">
      <c r="A13" s="24" t="s">
        <v>14</v>
      </c>
      <c r="B13" s="25" t="s">
        <v>15</v>
      </c>
      <c r="C13" s="123"/>
      <c r="D13" s="80"/>
      <c r="E13" s="26"/>
      <c r="F13" s="26"/>
      <c r="G13" s="27"/>
      <c r="H13" s="26"/>
      <c r="I13" s="26"/>
      <c r="J13" s="26"/>
      <c r="K13" s="24" t="s">
        <v>14</v>
      </c>
      <c r="L13" s="25" t="s">
        <v>15</v>
      </c>
      <c r="M13" s="123"/>
      <c r="N13" s="80"/>
      <c r="O13" s="26"/>
      <c r="P13" s="26"/>
      <c r="Q13" s="27"/>
      <c r="R13" s="26"/>
      <c r="S13" s="26"/>
      <c r="T13" s="26"/>
      <c r="U13" s="24" t="s">
        <v>14</v>
      </c>
      <c r="V13" s="25" t="s">
        <v>15</v>
      </c>
      <c r="W13" s="123"/>
      <c r="X13" s="80"/>
      <c r="Y13" s="26"/>
      <c r="Z13" s="26"/>
      <c r="AA13" s="27"/>
      <c r="AB13" s="26"/>
      <c r="AC13" s="26"/>
      <c r="AD13" s="26"/>
      <c r="AE13" s="24" t="s">
        <v>14</v>
      </c>
      <c r="AF13" s="25" t="s">
        <v>15</v>
      </c>
      <c r="AG13" s="123"/>
      <c r="AH13" s="80"/>
      <c r="AI13" s="26"/>
      <c r="AJ13" s="26"/>
      <c r="AK13" s="27"/>
      <c r="AL13" s="26"/>
      <c r="AM13" s="26"/>
      <c r="AN13" s="26"/>
      <c r="AO13" s="24" t="s">
        <v>14</v>
      </c>
      <c r="AP13" s="25" t="s">
        <v>15</v>
      </c>
      <c r="AQ13" s="123"/>
      <c r="AR13" s="80"/>
      <c r="AS13" s="26"/>
      <c r="AT13" s="26"/>
      <c r="AU13" s="27"/>
      <c r="AV13" s="26"/>
      <c r="AW13" s="26"/>
      <c r="AX13" s="26"/>
      <c r="AY13" s="24" t="s">
        <v>14</v>
      </c>
      <c r="AZ13" s="25" t="s">
        <v>15</v>
      </c>
      <c r="BA13" s="123"/>
      <c r="BB13" s="80"/>
      <c r="BC13" s="26"/>
      <c r="BD13" s="26"/>
      <c r="BE13" s="35"/>
      <c r="BF13" s="26"/>
      <c r="BG13" s="26"/>
      <c r="BH13" s="26"/>
      <c r="BI13" s="24" t="s">
        <v>14</v>
      </c>
      <c r="BJ13" s="25" t="s">
        <v>15</v>
      </c>
      <c r="BK13" s="128"/>
      <c r="BL13" s="80"/>
      <c r="BM13" s="80"/>
      <c r="BN13" s="80"/>
      <c r="BO13" s="80"/>
      <c r="BP13" s="80"/>
      <c r="BQ13" s="80"/>
      <c r="BR13" s="26" t="e">
        <f t="shared" si="0"/>
        <v>#DIV/0!</v>
      </c>
      <c r="BS13" s="24" t="s">
        <v>14</v>
      </c>
      <c r="BT13" s="25" t="s">
        <v>15</v>
      </c>
      <c r="BU13" s="128"/>
      <c r="BV13" s="80"/>
      <c r="BW13" s="80"/>
      <c r="BX13" s="80"/>
      <c r="BY13" s="80"/>
      <c r="BZ13" s="80"/>
      <c r="CA13" s="80"/>
      <c r="CB13" s="26" t="e">
        <f t="shared" si="1"/>
        <v>#DIV/0!</v>
      </c>
      <c r="CC13" s="24" t="s">
        <v>14</v>
      </c>
      <c r="CD13" s="25" t="s">
        <v>15</v>
      </c>
      <c r="CE13" s="128"/>
      <c r="CF13" s="80"/>
      <c r="CG13" s="80"/>
      <c r="CH13" s="80"/>
      <c r="CI13" s="80"/>
      <c r="CJ13" s="80"/>
      <c r="CK13" s="80"/>
      <c r="CL13" s="26" t="e">
        <f t="shared" si="2"/>
        <v>#DIV/0!</v>
      </c>
      <c r="CM13" s="24" t="s">
        <v>14</v>
      </c>
      <c r="CN13" s="25" t="s">
        <v>15</v>
      </c>
      <c r="CO13" s="128"/>
      <c r="CP13" s="80"/>
      <c r="CQ13" s="80"/>
      <c r="CR13" s="80"/>
      <c r="CS13" s="80"/>
      <c r="CT13" s="80"/>
      <c r="CU13" s="80"/>
      <c r="CV13" s="26"/>
      <c r="CW13" s="24" t="s">
        <v>14</v>
      </c>
      <c r="CX13" s="25" t="s">
        <v>15</v>
      </c>
      <c r="CY13" s="128"/>
      <c r="CZ13" s="80"/>
      <c r="DA13" s="80"/>
      <c r="DB13" s="80"/>
      <c r="DC13" s="80"/>
      <c r="DD13" s="80"/>
      <c r="DE13" s="80"/>
      <c r="DF13" s="26" t="e">
        <f t="shared" si="3"/>
        <v>#DIV/0!</v>
      </c>
      <c r="DG13" s="24" t="s">
        <v>14</v>
      </c>
      <c r="DH13" s="25" t="s">
        <v>15</v>
      </c>
      <c r="DI13" s="128"/>
      <c r="DJ13" s="80"/>
      <c r="DK13" s="80"/>
      <c r="DL13" s="80"/>
      <c r="DM13" s="80"/>
      <c r="DN13" s="80"/>
      <c r="DO13" s="80"/>
      <c r="DP13" s="26" t="e">
        <f t="shared" si="4"/>
        <v>#DIV/0!</v>
      </c>
      <c r="DQ13" s="24" t="s">
        <v>14</v>
      </c>
      <c r="DR13" s="25" t="s">
        <v>15</v>
      </c>
      <c r="DS13" s="148"/>
      <c r="DT13" s="80"/>
      <c r="DU13" s="80"/>
      <c r="DV13" s="80"/>
      <c r="DW13" s="80"/>
      <c r="DX13" s="80"/>
      <c r="DY13" s="80"/>
      <c r="DZ13" s="26"/>
    </row>
    <row r="14" spans="1:144" x14ac:dyDescent="0.3">
      <c r="A14" s="4">
        <v>1</v>
      </c>
      <c r="B14" s="3" t="s">
        <v>16</v>
      </c>
      <c r="C14" s="6">
        <f>20+669</f>
        <v>689</v>
      </c>
      <c r="D14" s="79">
        <v>1904</v>
      </c>
      <c r="E14" s="92">
        <v>18</v>
      </c>
      <c r="F14" s="92">
        <v>0</v>
      </c>
      <c r="G14" s="85">
        <v>314</v>
      </c>
      <c r="H14" s="92">
        <v>0</v>
      </c>
      <c r="I14" s="92">
        <v>0</v>
      </c>
      <c r="J14" s="79">
        <f>G14/E14</f>
        <v>17.444444444444443</v>
      </c>
      <c r="K14" s="4">
        <v>1</v>
      </c>
      <c r="L14" s="3" t="s">
        <v>16</v>
      </c>
      <c r="M14" s="6">
        <f>20+3060</f>
        <v>3080</v>
      </c>
      <c r="N14" s="79">
        <f>138</f>
        <v>138</v>
      </c>
      <c r="O14" s="92">
        <v>36</v>
      </c>
      <c r="P14" s="92">
        <v>0</v>
      </c>
      <c r="Q14" s="85">
        <v>628</v>
      </c>
      <c r="R14" s="92">
        <v>0</v>
      </c>
      <c r="S14" s="92">
        <v>0</v>
      </c>
      <c r="T14" s="79">
        <f>Q14/O14</f>
        <v>17.444444444444443</v>
      </c>
      <c r="U14" s="4">
        <v>1</v>
      </c>
      <c r="V14" s="3" t="s">
        <v>16</v>
      </c>
      <c r="W14" s="6">
        <f>20+3162</f>
        <v>3182</v>
      </c>
      <c r="X14" s="79">
        <f>41+2</f>
        <v>43</v>
      </c>
      <c r="Y14" s="92">
        <f>17</f>
        <v>17</v>
      </c>
      <c r="Z14" s="92"/>
      <c r="AA14" s="85">
        <v>296</v>
      </c>
      <c r="AB14" s="92">
        <v>0</v>
      </c>
      <c r="AC14" s="92">
        <v>0</v>
      </c>
      <c r="AD14" s="79">
        <f>AA14/Y14</f>
        <v>17.411764705882351</v>
      </c>
      <c r="AE14" s="4">
        <v>1</v>
      </c>
      <c r="AF14" s="3" t="s">
        <v>16</v>
      </c>
      <c r="AG14" s="6">
        <v>3208</v>
      </c>
      <c r="AH14" s="79">
        <v>49</v>
      </c>
      <c r="AI14" s="92">
        <v>88</v>
      </c>
      <c r="AJ14" s="92">
        <v>0</v>
      </c>
      <c r="AK14" s="85">
        <v>851</v>
      </c>
      <c r="AL14" s="92">
        <v>0</v>
      </c>
      <c r="AM14" s="92">
        <v>0</v>
      </c>
      <c r="AN14" s="79">
        <f>AK14/AI14</f>
        <v>9.670454545454545</v>
      </c>
      <c r="AO14" s="4">
        <v>1</v>
      </c>
      <c r="AP14" s="3" t="s">
        <v>16</v>
      </c>
      <c r="AQ14" s="6">
        <f>22+3225</f>
        <v>3247</v>
      </c>
      <c r="AR14" s="79">
        <f>4+40</f>
        <v>44</v>
      </c>
      <c r="AS14" s="92">
        <f>8+6</f>
        <v>14</v>
      </c>
      <c r="AT14" s="92">
        <v>0</v>
      </c>
      <c r="AU14" s="85">
        <v>237</v>
      </c>
      <c r="AV14" s="92">
        <v>0</v>
      </c>
      <c r="AW14" s="92">
        <v>0</v>
      </c>
      <c r="AX14" s="79">
        <f>AU14/AS14</f>
        <v>16.928571428571427</v>
      </c>
      <c r="AY14" s="4">
        <v>1</v>
      </c>
      <c r="AZ14" s="3" t="s">
        <v>16</v>
      </c>
      <c r="BA14" s="6">
        <f>18+3277</f>
        <v>3295</v>
      </c>
      <c r="BB14" s="79">
        <f>2+90</f>
        <v>92</v>
      </c>
      <c r="BC14" s="92">
        <f>4+25</f>
        <v>29</v>
      </c>
      <c r="BD14" s="92">
        <v>0</v>
      </c>
      <c r="BE14" s="203">
        <v>502</v>
      </c>
      <c r="BF14" s="92">
        <v>0</v>
      </c>
      <c r="BG14" s="92">
        <v>0</v>
      </c>
      <c r="BH14" s="79">
        <f>BE14/BC14</f>
        <v>17.310344827586206</v>
      </c>
      <c r="BI14" s="4">
        <v>1</v>
      </c>
      <c r="BJ14" s="3" t="s">
        <v>16</v>
      </c>
      <c r="BK14" s="122">
        <f>16+3342</f>
        <v>3358</v>
      </c>
      <c r="BL14" s="40">
        <f>2+27</f>
        <v>29</v>
      </c>
      <c r="BM14" s="40">
        <f>2+876</f>
        <v>878</v>
      </c>
      <c r="BN14" s="40"/>
      <c r="BO14" s="40">
        <v>15311</v>
      </c>
      <c r="BP14" s="40"/>
      <c r="BQ14" s="40"/>
      <c r="BR14" s="79">
        <f t="shared" si="0"/>
        <v>17.438496583143507</v>
      </c>
      <c r="BS14" s="4">
        <v>1</v>
      </c>
      <c r="BT14" s="3" t="s">
        <v>16</v>
      </c>
      <c r="BU14" s="6">
        <f>16+2493</f>
        <v>2509</v>
      </c>
      <c r="BV14" s="79">
        <f>9+43</f>
        <v>52</v>
      </c>
      <c r="BW14" s="79">
        <f>4+905</f>
        <v>909</v>
      </c>
      <c r="BX14" s="79"/>
      <c r="BY14" s="40">
        <v>15849</v>
      </c>
      <c r="BZ14" s="79"/>
      <c r="CA14" s="79"/>
      <c r="CB14" s="79">
        <f t="shared" si="1"/>
        <v>17.435643564356436</v>
      </c>
      <c r="CC14" s="4">
        <v>1</v>
      </c>
      <c r="CD14" s="3" t="s">
        <v>16</v>
      </c>
      <c r="CE14" s="6">
        <f>21+1631</f>
        <v>1652</v>
      </c>
      <c r="CF14" s="79">
        <f>3+71</f>
        <v>74</v>
      </c>
      <c r="CG14" s="79">
        <f>4+841</f>
        <v>845</v>
      </c>
      <c r="CH14" s="79">
        <v>0</v>
      </c>
      <c r="CI14" s="79">
        <v>14733</v>
      </c>
      <c r="CJ14" s="79"/>
      <c r="CK14" s="79"/>
      <c r="CL14" s="79">
        <f t="shared" si="2"/>
        <v>17.435502958579882</v>
      </c>
      <c r="CM14" s="4">
        <v>1</v>
      </c>
      <c r="CN14" s="3" t="s">
        <v>16</v>
      </c>
      <c r="CO14" s="6">
        <f>20+861</f>
        <v>881</v>
      </c>
      <c r="CP14" s="79">
        <f>7+1743</f>
        <v>1750</v>
      </c>
      <c r="CQ14" s="79">
        <f>2+249</f>
        <v>251</v>
      </c>
      <c r="CR14" s="79"/>
      <c r="CS14" s="79">
        <v>4376</v>
      </c>
      <c r="CT14" s="79"/>
      <c r="CU14" s="79"/>
      <c r="CV14" s="79">
        <f>CS14/CQ14</f>
        <v>17.43426294820717</v>
      </c>
      <c r="CW14" s="4">
        <v>1</v>
      </c>
      <c r="CX14" s="3" t="s">
        <v>16</v>
      </c>
      <c r="CY14" s="6">
        <f>25+2355</f>
        <v>2380</v>
      </c>
      <c r="CZ14" s="79">
        <f>2+404</f>
        <v>406</v>
      </c>
      <c r="DA14" s="79">
        <f>4+131</f>
        <v>135</v>
      </c>
      <c r="DB14" s="79"/>
      <c r="DC14" s="40">
        <v>2351</v>
      </c>
      <c r="DD14" s="79"/>
      <c r="DE14" s="79"/>
      <c r="DF14" s="79">
        <f t="shared" si="3"/>
        <v>17.414814814814815</v>
      </c>
      <c r="DG14" s="4">
        <v>1</v>
      </c>
      <c r="DH14" s="3" t="s">
        <v>16</v>
      </c>
      <c r="DI14" s="6">
        <f>23+2628</f>
        <v>2651</v>
      </c>
      <c r="DJ14" s="79">
        <f>1+184</f>
        <v>185</v>
      </c>
      <c r="DK14" s="79">
        <f>1+164</f>
        <v>165</v>
      </c>
      <c r="DL14" s="79"/>
      <c r="DM14" s="40">
        <v>2877</v>
      </c>
      <c r="DN14" s="79"/>
      <c r="DO14" s="79"/>
      <c r="DP14" s="79">
        <f t="shared" si="4"/>
        <v>17.436363636363637</v>
      </c>
      <c r="DQ14" s="4">
        <v>1</v>
      </c>
      <c r="DR14" s="3" t="s">
        <v>16</v>
      </c>
      <c r="DS14" s="6">
        <f t="shared" si="5"/>
        <v>30132</v>
      </c>
      <c r="DT14" s="79">
        <f t="shared" ref="DT14:DT28" si="8">SUM(D14+N14+X14+AH14+AR14+BB14+BL14+BV14+CF14+CP14+DA14+DJ14)</f>
        <v>4495</v>
      </c>
      <c r="DU14" s="79">
        <f t="shared" si="6"/>
        <v>3385</v>
      </c>
      <c r="DV14" s="40">
        <v>0</v>
      </c>
      <c r="DW14" s="79">
        <f t="shared" si="7"/>
        <v>58325</v>
      </c>
      <c r="DX14" s="40">
        <v>0</v>
      </c>
      <c r="DY14" s="40">
        <v>0</v>
      </c>
      <c r="DZ14" s="79">
        <f>DW14/DU14</f>
        <v>17.23042836041359</v>
      </c>
    </row>
    <row r="15" spans="1:144" x14ac:dyDescent="0.3">
      <c r="A15" s="4">
        <v>2</v>
      </c>
      <c r="B15" s="3" t="s">
        <v>17</v>
      </c>
      <c r="C15" s="6">
        <f>105+9</f>
        <v>114</v>
      </c>
      <c r="D15" s="79">
        <f>22+5</f>
        <v>27</v>
      </c>
      <c r="E15" s="92">
        <v>10</v>
      </c>
      <c r="F15" s="92">
        <v>0</v>
      </c>
      <c r="G15" s="85">
        <v>153</v>
      </c>
      <c r="H15" s="5"/>
      <c r="I15" s="92">
        <v>0</v>
      </c>
      <c r="J15" s="79">
        <f>G15/E15</f>
        <v>15.3</v>
      </c>
      <c r="K15" s="4">
        <v>2</v>
      </c>
      <c r="L15" s="3" t="s">
        <v>17</v>
      </c>
      <c r="M15" s="6">
        <f>117+14</f>
        <v>131</v>
      </c>
      <c r="N15" s="79">
        <f>32+4</f>
        <v>36</v>
      </c>
      <c r="O15" s="92">
        <f>43+1</f>
        <v>44</v>
      </c>
      <c r="P15" s="92">
        <v>0</v>
      </c>
      <c r="Q15" s="85">
        <v>672</v>
      </c>
      <c r="R15" s="5"/>
      <c r="S15" s="92">
        <v>0</v>
      </c>
      <c r="T15" s="79">
        <f>Q15/O15</f>
        <v>15.272727272727273</v>
      </c>
      <c r="U15" s="4">
        <v>2</v>
      </c>
      <c r="V15" s="3" t="s">
        <v>17</v>
      </c>
      <c r="W15" s="6">
        <f>106+17</f>
        <v>123</v>
      </c>
      <c r="X15" s="79">
        <v>7</v>
      </c>
      <c r="Y15" s="92">
        <v>20</v>
      </c>
      <c r="Z15" s="92"/>
      <c r="AA15" s="85">
        <v>307</v>
      </c>
      <c r="AB15" s="5">
        <v>0</v>
      </c>
      <c r="AC15" s="92">
        <v>0</v>
      </c>
      <c r="AD15" s="79">
        <f>AA15/Y15</f>
        <v>15.35</v>
      </c>
      <c r="AE15" s="4">
        <v>2</v>
      </c>
      <c r="AF15" s="3" t="s">
        <v>17</v>
      </c>
      <c r="AG15" s="6">
        <v>110</v>
      </c>
      <c r="AH15" s="79">
        <v>14</v>
      </c>
      <c r="AI15" s="92">
        <v>53</v>
      </c>
      <c r="AJ15" s="92">
        <v>0</v>
      </c>
      <c r="AK15" s="85">
        <v>818</v>
      </c>
      <c r="AL15" s="5">
        <v>0</v>
      </c>
      <c r="AM15" s="92">
        <v>0</v>
      </c>
      <c r="AN15" s="79">
        <f>AK15/AI15</f>
        <v>15.433962264150944</v>
      </c>
      <c r="AO15" s="4">
        <v>2</v>
      </c>
      <c r="AP15" s="3" t="s">
        <v>17</v>
      </c>
      <c r="AQ15" s="6">
        <f>66+5</f>
        <v>71</v>
      </c>
      <c r="AR15" s="79">
        <f>16</f>
        <v>16</v>
      </c>
      <c r="AS15" s="92">
        <f>22+2</f>
        <v>24</v>
      </c>
      <c r="AT15" s="92">
        <v>0</v>
      </c>
      <c r="AU15" s="85">
        <f>368</f>
        <v>368</v>
      </c>
      <c r="AV15" s="5">
        <v>0</v>
      </c>
      <c r="AW15" s="92">
        <v>0</v>
      </c>
      <c r="AX15" s="79">
        <f>AU15/AS15</f>
        <v>15.333333333333334</v>
      </c>
      <c r="AY15" s="4">
        <v>2</v>
      </c>
      <c r="AZ15" s="3" t="s">
        <v>17</v>
      </c>
      <c r="BA15" s="6">
        <f>60+3</f>
        <v>63</v>
      </c>
      <c r="BB15" s="79">
        <f>44+4</f>
        <v>48</v>
      </c>
      <c r="BC15" s="92">
        <f>7</f>
        <v>7</v>
      </c>
      <c r="BD15" s="92">
        <v>0</v>
      </c>
      <c r="BE15" s="203">
        <v>123</v>
      </c>
      <c r="BF15" s="5">
        <v>0</v>
      </c>
      <c r="BG15" s="92">
        <v>0</v>
      </c>
      <c r="BH15" s="79">
        <f>BE15/BC15</f>
        <v>17.571428571428573</v>
      </c>
      <c r="BI15" s="4">
        <v>2</v>
      </c>
      <c r="BJ15" s="3" t="s">
        <v>17</v>
      </c>
      <c r="BK15" s="122">
        <f>97+6</f>
        <v>103</v>
      </c>
      <c r="BL15" s="40">
        <f>61+39</f>
        <v>100</v>
      </c>
      <c r="BM15" s="40">
        <f>12+2</f>
        <v>14</v>
      </c>
      <c r="BN15" s="40"/>
      <c r="BO15" s="40">
        <v>215</v>
      </c>
      <c r="BP15" s="40"/>
      <c r="BQ15" s="40"/>
      <c r="BR15" s="79">
        <f t="shared" si="0"/>
        <v>15.357142857142858</v>
      </c>
      <c r="BS15" s="4">
        <v>2</v>
      </c>
      <c r="BT15" s="3" t="s">
        <v>17</v>
      </c>
      <c r="BU15" s="6">
        <f>146+43</f>
        <v>189</v>
      </c>
      <c r="BV15" s="79">
        <f>42+15</f>
        <v>57</v>
      </c>
      <c r="BW15" s="79">
        <f>28</f>
        <v>28</v>
      </c>
      <c r="BX15" s="79"/>
      <c r="BY15" s="40">
        <v>427</v>
      </c>
      <c r="BZ15" s="79"/>
      <c r="CA15" s="79"/>
      <c r="CB15" s="79">
        <f t="shared" si="1"/>
        <v>15.25</v>
      </c>
      <c r="CC15" s="4">
        <v>2</v>
      </c>
      <c r="CD15" s="3" t="s">
        <v>17</v>
      </c>
      <c r="CE15" s="6">
        <f>160+58</f>
        <v>218</v>
      </c>
      <c r="CF15" s="79">
        <f>35+1</f>
        <v>36</v>
      </c>
      <c r="CG15" s="79">
        <f>29+4</f>
        <v>33</v>
      </c>
      <c r="CH15" s="79">
        <v>0</v>
      </c>
      <c r="CI15" s="79">
        <v>507</v>
      </c>
      <c r="CJ15" s="79"/>
      <c r="CK15" s="79"/>
      <c r="CL15" s="79">
        <f t="shared" si="2"/>
        <v>15.363636363636363</v>
      </c>
      <c r="CM15" s="4">
        <v>2</v>
      </c>
      <c r="CN15" s="3" t="s">
        <v>17</v>
      </c>
      <c r="CO15" s="6">
        <f>166+55</f>
        <v>221</v>
      </c>
      <c r="CP15" s="79">
        <f>23+5</f>
        <v>28</v>
      </c>
      <c r="CQ15" s="79">
        <f>60+7</f>
        <v>67</v>
      </c>
      <c r="CR15" s="79"/>
      <c r="CS15" s="79">
        <v>1028</v>
      </c>
      <c r="CT15" s="79"/>
      <c r="CU15" s="79"/>
      <c r="CV15" s="79">
        <f>CS15/CQ15</f>
        <v>15.343283582089553</v>
      </c>
      <c r="CW15" s="4">
        <v>2</v>
      </c>
      <c r="CX15" s="3" t="s">
        <v>17</v>
      </c>
      <c r="CY15" s="6">
        <f>129+53</f>
        <v>182</v>
      </c>
      <c r="CZ15" s="79">
        <f>10+2</f>
        <v>12</v>
      </c>
      <c r="DA15" s="79">
        <f>37+7</f>
        <v>44</v>
      </c>
      <c r="DB15" s="79"/>
      <c r="DC15" s="40">
        <v>677</v>
      </c>
      <c r="DD15" s="79"/>
      <c r="DE15" s="79"/>
      <c r="DF15" s="79">
        <f t="shared" si="3"/>
        <v>15.386363636363637</v>
      </c>
      <c r="DG15" s="4">
        <v>2</v>
      </c>
      <c r="DH15" s="3" t="s">
        <v>17</v>
      </c>
      <c r="DI15" s="6">
        <f>102+48</f>
        <v>150</v>
      </c>
      <c r="DJ15" s="79">
        <f>13+1</f>
        <v>14</v>
      </c>
      <c r="DK15" s="79">
        <f>40+37</f>
        <v>77</v>
      </c>
      <c r="DL15" s="79"/>
      <c r="DM15" s="40">
        <v>1205</v>
      </c>
      <c r="DN15" s="79"/>
      <c r="DO15" s="79"/>
      <c r="DP15" s="79">
        <f t="shared" si="4"/>
        <v>15.64935064935065</v>
      </c>
      <c r="DQ15" s="4">
        <v>2</v>
      </c>
      <c r="DR15" s="3" t="s">
        <v>17</v>
      </c>
      <c r="DS15" s="6">
        <f t="shared" si="5"/>
        <v>1675</v>
      </c>
      <c r="DT15" s="79">
        <f t="shared" si="8"/>
        <v>427</v>
      </c>
      <c r="DU15" s="79">
        <f t="shared" si="6"/>
        <v>421</v>
      </c>
      <c r="DV15" s="40">
        <v>0</v>
      </c>
      <c r="DW15" s="79">
        <f t="shared" si="7"/>
        <v>6500</v>
      </c>
      <c r="DX15" s="40">
        <v>0</v>
      </c>
      <c r="DY15" s="40">
        <v>0</v>
      </c>
      <c r="DZ15" s="79">
        <f>DW15/DU15</f>
        <v>15.439429928741093</v>
      </c>
    </row>
    <row r="16" spans="1:144" s="17" customFormat="1" x14ac:dyDescent="0.3">
      <c r="A16" s="31" t="s">
        <v>18</v>
      </c>
      <c r="B16" s="25" t="s">
        <v>19</v>
      </c>
      <c r="C16" s="123"/>
      <c r="D16" s="26"/>
      <c r="E16" s="28"/>
      <c r="F16" s="28"/>
      <c r="G16" s="27"/>
      <c r="H16" s="28"/>
      <c r="I16" s="28"/>
      <c r="J16" s="26"/>
      <c r="K16" s="31" t="s">
        <v>18</v>
      </c>
      <c r="L16" s="25" t="s">
        <v>19</v>
      </c>
      <c r="M16" s="123"/>
      <c r="N16" s="26"/>
      <c r="O16" s="28"/>
      <c r="P16" s="28"/>
      <c r="Q16" s="27"/>
      <c r="R16" s="28"/>
      <c r="S16" s="28"/>
      <c r="T16" s="26"/>
      <c r="U16" s="31" t="s">
        <v>18</v>
      </c>
      <c r="V16" s="25" t="s">
        <v>19</v>
      </c>
      <c r="W16" s="123"/>
      <c r="X16" s="26"/>
      <c r="Y16" s="28"/>
      <c r="Z16" s="28"/>
      <c r="AA16" s="27"/>
      <c r="AB16" s="28"/>
      <c r="AC16" s="28"/>
      <c r="AD16" s="26"/>
      <c r="AE16" s="31" t="s">
        <v>18</v>
      </c>
      <c r="AF16" s="25" t="s">
        <v>19</v>
      </c>
      <c r="AG16" s="123"/>
      <c r="AH16" s="26"/>
      <c r="AI16" s="28"/>
      <c r="AJ16" s="28"/>
      <c r="AK16" s="27"/>
      <c r="AL16" s="28"/>
      <c r="AM16" s="28"/>
      <c r="AN16" s="26"/>
      <c r="AO16" s="31" t="s">
        <v>18</v>
      </c>
      <c r="AP16" s="25" t="s">
        <v>19</v>
      </c>
      <c r="AQ16" s="123"/>
      <c r="AR16" s="26"/>
      <c r="AS16" s="28"/>
      <c r="AT16" s="28"/>
      <c r="AU16" s="27"/>
      <c r="AV16" s="28"/>
      <c r="AW16" s="28"/>
      <c r="AX16" s="26"/>
      <c r="AY16" s="31" t="s">
        <v>18</v>
      </c>
      <c r="AZ16" s="25" t="s">
        <v>19</v>
      </c>
      <c r="BA16" s="123"/>
      <c r="BB16" s="26"/>
      <c r="BC16" s="28"/>
      <c r="BD16" s="28"/>
      <c r="BE16" s="35"/>
      <c r="BF16" s="28"/>
      <c r="BG16" s="28"/>
      <c r="BH16" s="26"/>
      <c r="BI16" s="31" t="s">
        <v>18</v>
      </c>
      <c r="BJ16" s="25" t="s">
        <v>19</v>
      </c>
      <c r="BK16" s="128"/>
      <c r="BL16" s="80"/>
      <c r="BM16" s="80"/>
      <c r="BN16" s="80"/>
      <c r="BO16" s="80"/>
      <c r="BP16" s="80"/>
      <c r="BQ16" s="80"/>
      <c r="BR16" s="26" t="e">
        <f t="shared" si="0"/>
        <v>#DIV/0!</v>
      </c>
      <c r="BS16" s="31" t="s">
        <v>18</v>
      </c>
      <c r="BT16" s="25" t="s">
        <v>19</v>
      </c>
      <c r="BU16" s="29"/>
      <c r="BV16" s="26"/>
      <c r="BW16" s="26"/>
      <c r="BX16" s="26"/>
      <c r="BY16" s="80"/>
      <c r="BZ16" s="26"/>
      <c r="CA16" s="26"/>
      <c r="CB16" s="26" t="e">
        <f t="shared" si="1"/>
        <v>#DIV/0!</v>
      </c>
      <c r="CC16" s="31" t="s">
        <v>18</v>
      </c>
      <c r="CD16" s="25" t="s">
        <v>19</v>
      </c>
      <c r="CE16" s="29"/>
      <c r="CF16" s="26"/>
      <c r="CG16" s="26"/>
      <c r="CH16" s="26"/>
      <c r="CI16" s="26"/>
      <c r="CJ16" s="26"/>
      <c r="CK16" s="26"/>
      <c r="CL16" s="26" t="e">
        <f t="shared" si="2"/>
        <v>#DIV/0!</v>
      </c>
      <c r="CM16" s="31" t="s">
        <v>18</v>
      </c>
      <c r="CN16" s="25" t="s">
        <v>19</v>
      </c>
      <c r="CO16" s="29"/>
      <c r="CP16" s="26"/>
      <c r="CQ16" s="26"/>
      <c r="CR16" s="26"/>
      <c r="CS16" s="26"/>
      <c r="CT16" s="26"/>
      <c r="CU16" s="26"/>
      <c r="CV16" s="26"/>
      <c r="CW16" s="31" t="s">
        <v>18</v>
      </c>
      <c r="CX16" s="25" t="s">
        <v>19</v>
      </c>
      <c r="CY16" s="29"/>
      <c r="CZ16" s="26"/>
      <c r="DA16" s="26"/>
      <c r="DB16" s="26"/>
      <c r="DC16" s="80"/>
      <c r="DD16" s="26"/>
      <c r="DE16" s="26"/>
      <c r="DF16" s="26" t="e">
        <f t="shared" si="3"/>
        <v>#DIV/0!</v>
      </c>
      <c r="DG16" s="31" t="s">
        <v>18</v>
      </c>
      <c r="DH16" s="25" t="s">
        <v>19</v>
      </c>
      <c r="DI16" s="29"/>
      <c r="DJ16" s="26"/>
      <c r="DK16" s="26"/>
      <c r="DL16" s="26"/>
      <c r="DM16" s="80"/>
      <c r="DN16" s="26"/>
      <c r="DO16" s="26"/>
      <c r="DP16" s="26" t="e">
        <f t="shared" si="4"/>
        <v>#DIV/0!</v>
      </c>
      <c r="DQ16" s="31" t="s">
        <v>18</v>
      </c>
      <c r="DR16" s="25" t="s">
        <v>19</v>
      </c>
      <c r="DS16" s="29"/>
      <c r="DT16" s="26"/>
      <c r="DU16" s="26"/>
      <c r="DV16" s="80"/>
      <c r="DW16" s="26"/>
      <c r="DX16" s="80"/>
      <c r="DY16" s="80"/>
      <c r="DZ16" s="26"/>
    </row>
    <row r="17" spans="1:144" s="30" customFormat="1" x14ac:dyDescent="0.3">
      <c r="A17" s="1">
        <v>1</v>
      </c>
      <c r="B17" s="3" t="s">
        <v>20</v>
      </c>
      <c r="C17" s="6">
        <f>114+51</f>
        <v>165</v>
      </c>
      <c r="D17" s="79">
        <f>21+286</f>
        <v>307</v>
      </c>
      <c r="E17" s="92">
        <v>83</v>
      </c>
      <c r="F17" s="92">
        <v>0</v>
      </c>
      <c r="G17" s="85">
        <v>170</v>
      </c>
      <c r="H17" s="92"/>
      <c r="I17" s="92"/>
      <c r="J17" s="79">
        <f>G17/E17</f>
        <v>2.0481927710843375</v>
      </c>
      <c r="K17" s="1">
        <v>1</v>
      </c>
      <c r="L17" s="3" t="s">
        <v>20</v>
      </c>
      <c r="M17" s="6">
        <f>52+337</f>
        <v>389</v>
      </c>
      <c r="N17" s="79">
        <f>16+5</f>
        <v>21</v>
      </c>
      <c r="O17" s="92">
        <f>13+12</f>
        <v>25</v>
      </c>
      <c r="P17" s="92">
        <v>0</v>
      </c>
      <c r="Q17" s="85">
        <v>53</v>
      </c>
      <c r="R17" s="92"/>
      <c r="S17" s="92"/>
      <c r="T17" s="79">
        <f>Q17/O17</f>
        <v>2.12</v>
      </c>
      <c r="U17" s="1">
        <v>1</v>
      </c>
      <c r="V17" s="3" t="s">
        <v>20</v>
      </c>
      <c r="W17" s="6">
        <f>55+330</f>
        <v>385</v>
      </c>
      <c r="X17" s="79">
        <f>5+29</f>
        <v>34</v>
      </c>
      <c r="Y17" s="92">
        <f>23+90</f>
        <v>113</v>
      </c>
      <c r="Z17" s="92"/>
      <c r="AA17" s="85">
        <v>241</v>
      </c>
      <c r="AB17" s="92">
        <v>0</v>
      </c>
      <c r="AC17" s="92">
        <v>0</v>
      </c>
      <c r="AD17" s="79">
        <f>AA17/Y17</f>
        <v>2.1327433628318584</v>
      </c>
      <c r="AE17" s="1">
        <v>1</v>
      </c>
      <c r="AF17" s="3" t="s">
        <v>20</v>
      </c>
      <c r="AG17" s="6">
        <f>37+269</f>
        <v>306</v>
      </c>
      <c r="AH17" s="79">
        <f>13+138</f>
        <v>151</v>
      </c>
      <c r="AI17" s="92">
        <f>10+235</f>
        <v>245</v>
      </c>
      <c r="AJ17" s="92">
        <v>0</v>
      </c>
      <c r="AK17" s="85">
        <v>528</v>
      </c>
      <c r="AL17" s="92">
        <v>0</v>
      </c>
      <c r="AM17" s="92">
        <v>0</v>
      </c>
      <c r="AN17" s="79">
        <f>AK17/AI17</f>
        <v>2.1551020408163266</v>
      </c>
      <c r="AO17" s="1">
        <v>1</v>
      </c>
      <c r="AP17" s="3" t="s">
        <v>20</v>
      </c>
      <c r="AQ17" s="6">
        <f>40+172</f>
        <v>212</v>
      </c>
      <c r="AR17" s="79">
        <f>88+64</f>
        <v>152</v>
      </c>
      <c r="AS17" s="92">
        <f>22+31</f>
        <v>53</v>
      </c>
      <c r="AT17" s="92">
        <v>0</v>
      </c>
      <c r="AU17" s="85">
        <v>112</v>
      </c>
      <c r="AV17" s="92">
        <v>0</v>
      </c>
      <c r="AW17" s="92">
        <v>0</v>
      </c>
      <c r="AX17" s="79">
        <f>AU17/AS17</f>
        <v>2.1132075471698113</v>
      </c>
      <c r="AY17" s="1">
        <v>1</v>
      </c>
      <c r="AZ17" s="3" t="s">
        <v>20</v>
      </c>
      <c r="BA17" s="6">
        <f>106+205</f>
        <v>311</v>
      </c>
      <c r="BB17" s="79">
        <f>132+40</f>
        <v>172</v>
      </c>
      <c r="BC17" s="92">
        <f>7+41</f>
        <v>48</v>
      </c>
      <c r="BD17" s="92">
        <v>0</v>
      </c>
      <c r="BE17" s="203">
        <v>103</v>
      </c>
      <c r="BF17" s="92">
        <v>0</v>
      </c>
      <c r="BG17" s="92">
        <v>0</v>
      </c>
      <c r="BH17" s="79">
        <f>BE17/BC17</f>
        <v>2.1458333333333335</v>
      </c>
      <c r="BI17" s="1">
        <v>1</v>
      </c>
      <c r="BJ17" s="3" t="s">
        <v>20</v>
      </c>
      <c r="BK17" s="122">
        <f>231+204</f>
        <v>435</v>
      </c>
      <c r="BL17" s="40">
        <f>46+9</f>
        <v>55</v>
      </c>
      <c r="BM17" s="40">
        <f>7+15</f>
        <v>22</v>
      </c>
      <c r="BN17" s="40"/>
      <c r="BO17" s="40">
        <v>47</v>
      </c>
      <c r="BP17" s="40"/>
      <c r="BQ17" s="40"/>
      <c r="BR17" s="79">
        <f t="shared" si="0"/>
        <v>2.1363636363636362</v>
      </c>
      <c r="BS17" s="1">
        <v>1</v>
      </c>
      <c r="BT17" s="3" t="s">
        <v>20</v>
      </c>
      <c r="BU17" s="6">
        <f>270+198</f>
        <v>468</v>
      </c>
      <c r="BV17" s="79">
        <f>102+4</f>
        <v>106</v>
      </c>
      <c r="BW17" s="79">
        <f>126+130</f>
        <v>256</v>
      </c>
      <c r="BX17" s="79"/>
      <c r="BY17" s="40">
        <v>539</v>
      </c>
      <c r="BZ17" s="79"/>
      <c r="CA17" s="79"/>
      <c r="CB17" s="79">
        <f t="shared" si="1"/>
        <v>2.10546875</v>
      </c>
      <c r="CC17" s="1">
        <v>1</v>
      </c>
      <c r="CD17" s="3" t="s">
        <v>20</v>
      </c>
      <c r="CE17" s="6">
        <f>246+72</f>
        <v>318</v>
      </c>
      <c r="CF17" s="79">
        <f>43+4</f>
        <v>47</v>
      </c>
      <c r="CG17" s="79">
        <f>109+37</f>
        <v>146</v>
      </c>
      <c r="CH17" s="79">
        <v>0</v>
      </c>
      <c r="CI17" s="79">
        <v>303</v>
      </c>
      <c r="CJ17" s="79"/>
      <c r="CK17" s="79"/>
      <c r="CL17" s="79">
        <f t="shared" si="2"/>
        <v>2.0753424657534247</v>
      </c>
      <c r="CM17" s="1">
        <v>1</v>
      </c>
      <c r="CN17" s="3" t="s">
        <v>20</v>
      </c>
      <c r="CO17" s="6">
        <f>180+39</f>
        <v>219</v>
      </c>
      <c r="CP17" s="79">
        <f>20+244</f>
        <v>264</v>
      </c>
      <c r="CQ17" s="79">
        <f>100+25</f>
        <v>125</v>
      </c>
      <c r="CR17" s="79"/>
      <c r="CS17" s="79">
        <v>259</v>
      </c>
      <c r="CT17" s="79"/>
      <c r="CU17" s="79"/>
      <c r="CV17" s="79">
        <f>CS17/CQ17</f>
        <v>2.0720000000000001</v>
      </c>
      <c r="CW17" s="1">
        <v>1</v>
      </c>
      <c r="CX17" s="3" t="s">
        <v>20</v>
      </c>
      <c r="CY17" s="6">
        <f>100+258</f>
        <v>358</v>
      </c>
      <c r="CZ17" s="79">
        <f>16+15</f>
        <v>31</v>
      </c>
      <c r="DA17" s="79">
        <f>41+11</f>
        <v>52</v>
      </c>
      <c r="DB17" s="79"/>
      <c r="DC17" s="40">
        <v>108</v>
      </c>
      <c r="DD17" s="79"/>
      <c r="DE17" s="79"/>
      <c r="DF17" s="79">
        <f t="shared" si="3"/>
        <v>2.0769230769230771</v>
      </c>
      <c r="DG17" s="1">
        <v>1</v>
      </c>
      <c r="DH17" s="3" t="s">
        <v>20</v>
      </c>
      <c r="DI17" s="6">
        <f>73+262</f>
        <v>335</v>
      </c>
      <c r="DJ17" s="79">
        <f>15+21</f>
        <v>36</v>
      </c>
      <c r="DK17" s="79">
        <f>22+32</f>
        <v>54</v>
      </c>
      <c r="DL17" s="79"/>
      <c r="DM17" s="40">
        <v>114</v>
      </c>
      <c r="DN17" s="79"/>
      <c r="DO17" s="79"/>
      <c r="DP17" s="79">
        <f t="shared" si="4"/>
        <v>2.1111111111111112</v>
      </c>
      <c r="DQ17" s="1">
        <v>1</v>
      </c>
      <c r="DR17" s="3" t="s">
        <v>20</v>
      </c>
      <c r="DS17" s="6">
        <f t="shared" si="5"/>
        <v>3901</v>
      </c>
      <c r="DT17" s="79">
        <f t="shared" si="8"/>
        <v>1397</v>
      </c>
      <c r="DU17" s="79">
        <f t="shared" si="6"/>
        <v>1222</v>
      </c>
      <c r="DV17" s="40">
        <v>0</v>
      </c>
      <c r="DW17" s="79">
        <f t="shared" si="7"/>
        <v>2577</v>
      </c>
      <c r="DX17" s="40">
        <v>0</v>
      </c>
      <c r="DY17" s="40">
        <v>0</v>
      </c>
      <c r="DZ17" s="79">
        <f>DW17/DU17</f>
        <v>2.1088379705400984</v>
      </c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</row>
    <row r="18" spans="1:144" x14ac:dyDescent="0.3">
      <c r="A18" s="1">
        <v>2</v>
      </c>
      <c r="B18" s="3" t="s">
        <v>21</v>
      </c>
      <c r="C18" s="6">
        <f>1+0</f>
        <v>1</v>
      </c>
      <c r="D18" s="79">
        <f>0</f>
        <v>0</v>
      </c>
      <c r="E18" s="92">
        <v>1</v>
      </c>
      <c r="F18" s="92">
        <v>0</v>
      </c>
      <c r="G18" s="85">
        <v>1</v>
      </c>
      <c r="H18" s="79">
        <v>0</v>
      </c>
      <c r="I18" s="79">
        <v>0</v>
      </c>
      <c r="J18" s="79">
        <f>G18/E18</f>
        <v>1</v>
      </c>
      <c r="K18" s="1">
        <v>2</v>
      </c>
      <c r="L18" s="3" t="s">
        <v>21</v>
      </c>
      <c r="M18" s="6">
        <v>0</v>
      </c>
      <c r="N18" s="79">
        <v>0</v>
      </c>
      <c r="O18" s="92">
        <v>0</v>
      </c>
      <c r="P18" s="92">
        <v>0</v>
      </c>
      <c r="Q18" s="85">
        <v>0</v>
      </c>
      <c r="R18" s="79">
        <v>0</v>
      </c>
      <c r="S18" s="79">
        <v>0</v>
      </c>
      <c r="T18" s="79" t="s">
        <v>250</v>
      </c>
      <c r="U18" s="1">
        <v>2</v>
      </c>
      <c r="V18" s="3" t="s">
        <v>21</v>
      </c>
      <c r="W18" s="6">
        <v>0</v>
      </c>
      <c r="X18" s="79">
        <v>2997</v>
      </c>
      <c r="Y18" s="92">
        <v>0</v>
      </c>
      <c r="Z18" s="92"/>
      <c r="AA18" s="85">
        <v>0</v>
      </c>
      <c r="AB18" s="79">
        <v>0</v>
      </c>
      <c r="AC18" s="79">
        <v>0</v>
      </c>
      <c r="AD18" s="79">
        <v>0</v>
      </c>
      <c r="AE18" s="1">
        <v>2</v>
      </c>
      <c r="AF18" s="3" t="s">
        <v>21</v>
      </c>
      <c r="AG18" s="6">
        <v>2997</v>
      </c>
      <c r="AH18" s="79">
        <v>1574</v>
      </c>
      <c r="AI18" s="92">
        <v>0</v>
      </c>
      <c r="AJ18" s="92">
        <v>0</v>
      </c>
      <c r="AK18" s="85">
        <v>0</v>
      </c>
      <c r="AL18" s="79">
        <v>0</v>
      </c>
      <c r="AM18" s="79">
        <v>0</v>
      </c>
      <c r="AN18" s="79">
        <v>0</v>
      </c>
      <c r="AO18" s="1">
        <v>2</v>
      </c>
      <c r="AP18" s="3" t="s">
        <v>21</v>
      </c>
      <c r="AQ18" s="6">
        <v>4571</v>
      </c>
      <c r="AR18" s="79">
        <v>0</v>
      </c>
      <c r="AS18" s="92">
        <v>0</v>
      </c>
      <c r="AT18" s="92">
        <v>0</v>
      </c>
      <c r="AU18" s="85">
        <v>0</v>
      </c>
      <c r="AV18" s="79">
        <v>0</v>
      </c>
      <c r="AW18" s="79">
        <v>0</v>
      </c>
      <c r="AX18" s="79">
        <v>0</v>
      </c>
      <c r="AY18" s="1">
        <v>2</v>
      </c>
      <c r="AZ18" s="3" t="s">
        <v>21</v>
      </c>
      <c r="BA18" s="6">
        <v>4571</v>
      </c>
      <c r="BB18" s="79">
        <v>0</v>
      </c>
      <c r="BC18" s="92">
        <v>3077</v>
      </c>
      <c r="BD18" s="92">
        <v>0</v>
      </c>
      <c r="BE18" s="203">
        <v>4215</v>
      </c>
      <c r="BF18" s="79">
        <v>0</v>
      </c>
      <c r="BG18" s="79">
        <v>0</v>
      </c>
      <c r="BH18" s="79">
        <f>BE18/BC18</f>
        <v>1.3698407539811506</v>
      </c>
      <c r="BI18" s="1">
        <v>2</v>
      </c>
      <c r="BJ18" s="3" t="s">
        <v>21</v>
      </c>
      <c r="BK18" s="122">
        <f>1494</f>
        <v>1494</v>
      </c>
      <c r="BL18" s="40">
        <v>0</v>
      </c>
      <c r="BM18" s="40">
        <v>1494</v>
      </c>
      <c r="BN18" s="40"/>
      <c r="BO18" s="40">
        <v>2047</v>
      </c>
      <c r="BP18" s="40"/>
      <c r="BQ18" s="40"/>
      <c r="BR18" s="79">
        <f t="shared" si="0"/>
        <v>1.3701472556894243</v>
      </c>
      <c r="BS18" s="1">
        <v>2</v>
      </c>
      <c r="BT18" s="3" t="s">
        <v>21</v>
      </c>
      <c r="BU18" s="6">
        <v>0</v>
      </c>
      <c r="BV18" s="79">
        <v>0</v>
      </c>
      <c r="BW18" s="79">
        <v>0</v>
      </c>
      <c r="BX18" s="79"/>
      <c r="BY18" s="40">
        <v>0</v>
      </c>
      <c r="BZ18" s="79"/>
      <c r="CA18" s="79"/>
      <c r="CB18" s="79" t="e">
        <f t="shared" si="1"/>
        <v>#DIV/0!</v>
      </c>
      <c r="CC18" s="1">
        <v>2</v>
      </c>
      <c r="CD18" s="3" t="s">
        <v>21</v>
      </c>
      <c r="CE18" s="6">
        <v>0</v>
      </c>
      <c r="CF18" s="79">
        <v>0</v>
      </c>
      <c r="CG18" s="79">
        <v>0</v>
      </c>
      <c r="CH18" s="79">
        <v>0</v>
      </c>
      <c r="CI18" s="79">
        <v>0</v>
      </c>
      <c r="CJ18" s="79"/>
      <c r="CK18" s="79"/>
      <c r="CL18" s="79" t="e">
        <f t="shared" si="2"/>
        <v>#DIV/0!</v>
      </c>
      <c r="CM18" s="1">
        <v>2</v>
      </c>
      <c r="CN18" s="3" t="s">
        <v>21</v>
      </c>
      <c r="CO18" s="6">
        <v>0</v>
      </c>
      <c r="CP18" s="79">
        <v>0</v>
      </c>
      <c r="CQ18" s="79">
        <v>0</v>
      </c>
      <c r="CR18" s="79"/>
      <c r="CS18" s="79">
        <v>0</v>
      </c>
      <c r="CT18" s="79"/>
      <c r="CU18" s="79"/>
      <c r="CV18" s="79" t="e">
        <f>CS18/CQ18</f>
        <v>#DIV/0!</v>
      </c>
      <c r="CW18" s="1">
        <v>2</v>
      </c>
      <c r="CX18" s="3" t="s">
        <v>21</v>
      </c>
      <c r="CY18" s="6">
        <v>0</v>
      </c>
      <c r="CZ18" s="79">
        <v>0</v>
      </c>
      <c r="DA18" s="79">
        <v>0</v>
      </c>
      <c r="DB18" s="79"/>
      <c r="DC18" s="40">
        <v>0</v>
      </c>
      <c r="DD18" s="79"/>
      <c r="DE18" s="79"/>
      <c r="DF18" s="79" t="e">
        <f t="shared" si="3"/>
        <v>#DIV/0!</v>
      </c>
      <c r="DG18" s="1">
        <v>2</v>
      </c>
      <c r="DH18" s="3" t="s">
        <v>21</v>
      </c>
      <c r="DI18" s="6">
        <v>0</v>
      </c>
      <c r="DJ18" s="79">
        <v>0</v>
      </c>
      <c r="DK18" s="79">
        <v>0</v>
      </c>
      <c r="DL18" s="79"/>
      <c r="DM18" s="40">
        <v>0</v>
      </c>
      <c r="DN18" s="79"/>
      <c r="DO18" s="79"/>
      <c r="DP18" s="79" t="e">
        <f t="shared" si="4"/>
        <v>#DIV/0!</v>
      </c>
      <c r="DQ18" s="1">
        <v>2</v>
      </c>
      <c r="DR18" s="3" t="s">
        <v>21</v>
      </c>
      <c r="DS18" s="6">
        <f t="shared" si="5"/>
        <v>13634</v>
      </c>
      <c r="DT18" s="79">
        <f t="shared" si="8"/>
        <v>4571</v>
      </c>
      <c r="DU18" s="79">
        <f t="shared" si="6"/>
        <v>4572</v>
      </c>
      <c r="DV18" s="40">
        <v>0</v>
      </c>
      <c r="DW18" s="79">
        <f t="shared" si="7"/>
        <v>6263</v>
      </c>
      <c r="DX18" s="40">
        <v>0</v>
      </c>
      <c r="DY18" s="40">
        <v>0</v>
      </c>
      <c r="DZ18" s="79">
        <f>DW18/DU18</f>
        <v>1.3698600174978128</v>
      </c>
    </row>
    <row r="19" spans="1:144" x14ac:dyDescent="0.3">
      <c r="A19" s="1">
        <v>3</v>
      </c>
      <c r="B19" s="3" t="s">
        <v>22</v>
      </c>
      <c r="C19" s="6">
        <v>0</v>
      </c>
      <c r="D19" s="79">
        <v>0</v>
      </c>
      <c r="E19" s="92">
        <v>0</v>
      </c>
      <c r="F19" s="92">
        <v>0</v>
      </c>
      <c r="G19" s="85">
        <v>0</v>
      </c>
      <c r="H19" s="79"/>
      <c r="I19" s="79"/>
      <c r="J19" s="79">
        <v>0</v>
      </c>
      <c r="K19" s="1">
        <v>3</v>
      </c>
      <c r="L19" s="3" t="s">
        <v>22</v>
      </c>
      <c r="M19" s="6">
        <v>0</v>
      </c>
      <c r="N19" s="79">
        <v>0</v>
      </c>
      <c r="O19" s="92">
        <v>0</v>
      </c>
      <c r="P19" s="92"/>
      <c r="Q19" s="85">
        <v>0</v>
      </c>
      <c r="R19" s="79"/>
      <c r="S19" s="79"/>
      <c r="T19" s="79">
        <v>0</v>
      </c>
      <c r="U19" s="1">
        <v>3</v>
      </c>
      <c r="V19" s="3" t="s">
        <v>22</v>
      </c>
      <c r="W19" s="6">
        <v>0</v>
      </c>
      <c r="X19" s="79">
        <v>17</v>
      </c>
      <c r="Y19" s="92">
        <v>0</v>
      </c>
      <c r="Z19" s="92"/>
      <c r="AA19" s="85">
        <v>0</v>
      </c>
      <c r="AB19" s="79">
        <v>0</v>
      </c>
      <c r="AC19" s="79">
        <v>0</v>
      </c>
      <c r="AD19" s="79">
        <v>0</v>
      </c>
      <c r="AE19" s="1">
        <v>3</v>
      </c>
      <c r="AF19" s="3" t="s">
        <v>22</v>
      </c>
      <c r="AG19" s="6">
        <f>17</f>
        <v>17</v>
      </c>
      <c r="AH19" s="79">
        <f>123</f>
        <v>123</v>
      </c>
      <c r="AI19" s="92">
        <v>0</v>
      </c>
      <c r="AJ19" s="92">
        <v>0</v>
      </c>
      <c r="AK19" s="85">
        <v>0</v>
      </c>
      <c r="AL19" s="79">
        <v>0</v>
      </c>
      <c r="AM19" s="79">
        <v>0</v>
      </c>
      <c r="AN19" s="79">
        <v>0</v>
      </c>
      <c r="AO19" s="1">
        <v>3</v>
      </c>
      <c r="AP19" s="3" t="s">
        <v>22</v>
      </c>
      <c r="AQ19" s="6">
        <f>140</f>
        <v>140</v>
      </c>
      <c r="AR19" s="79">
        <f>5+59</f>
        <v>64</v>
      </c>
      <c r="AS19" s="92">
        <f>12</f>
        <v>12</v>
      </c>
      <c r="AT19" s="92">
        <v>0</v>
      </c>
      <c r="AU19" s="85">
        <v>13</v>
      </c>
      <c r="AV19" s="79">
        <v>0</v>
      </c>
      <c r="AW19" s="79">
        <v>0</v>
      </c>
      <c r="AX19" s="79">
        <f>AU19/AS19</f>
        <v>1.0833333333333333</v>
      </c>
      <c r="AY19" s="1">
        <v>3</v>
      </c>
      <c r="AZ19" s="3" t="s">
        <v>22</v>
      </c>
      <c r="BA19" s="6">
        <f>5+187</f>
        <v>192</v>
      </c>
      <c r="BB19" s="79">
        <f>13</f>
        <v>13</v>
      </c>
      <c r="BC19" s="92">
        <f>77</f>
        <v>77</v>
      </c>
      <c r="BD19" s="92">
        <v>0</v>
      </c>
      <c r="BE19" s="203">
        <v>80</v>
      </c>
      <c r="BF19" s="79">
        <v>0</v>
      </c>
      <c r="BG19" s="79">
        <v>0</v>
      </c>
      <c r="BH19" s="79">
        <v>0</v>
      </c>
      <c r="BI19" s="1">
        <v>3</v>
      </c>
      <c r="BJ19" s="3" t="s">
        <v>22</v>
      </c>
      <c r="BK19" s="122">
        <f>5+123</f>
        <v>128</v>
      </c>
      <c r="BL19" s="40">
        <f>0</f>
        <v>0</v>
      </c>
      <c r="BM19" s="40">
        <f>5+110</f>
        <v>115</v>
      </c>
      <c r="BN19" s="40"/>
      <c r="BO19" s="40">
        <v>120</v>
      </c>
      <c r="BP19" s="40"/>
      <c r="BQ19" s="40"/>
      <c r="BR19" s="79">
        <f t="shared" si="0"/>
        <v>1.0434782608695652</v>
      </c>
      <c r="BS19" s="1">
        <v>3</v>
      </c>
      <c r="BT19" s="3" t="s">
        <v>22</v>
      </c>
      <c r="BU19" s="6">
        <v>13</v>
      </c>
      <c r="BV19" s="79">
        <v>0</v>
      </c>
      <c r="BW19" s="79">
        <v>13</v>
      </c>
      <c r="BX19" s="79"/>
      <c r="BY19" s="40">
        <v>14</v>
      </c>
      <c r="BZ19" s="79"/>
      <c r="CA19" s="79"/>
      <c r="CB19" s="79">
        <f t="shared" si="1"/>
        <v>1.0769230769230769</v>
      </c>
      <c r="CC19" s="1">
        <v>3</v>
      </c>
      <c r="CD19" s="3" t="s">
        <v>22</v>
      </c>
      <c r="CE19" s="6">
        <v>0</v>
      </c>
      <c r="CF19" s="79">
        <v>0</v>
      </c>
      <c r="CG19" s="79">
        <v>0</v>
      </c>
      <c r="CH19" s="79">
        <v>0</v>
      </c>
      <c r="CI19" s="79">
        <v>0</v>
      </c>
      <c r="CJ19" s="79"/>
      <c r="CK19" s="79"/>
      <c r="CL19" s="79" t="e">
        <f t="shared" si="2"/>
        <v>#DIV/0!</v>
      </c>
      <c r="CM19" s="1">
        <v>3</v>
      </c>
      <c r="CN19" s="3" t="s">
        <v>22</v>
      </c>
      <c r="CO19" s="6">
        <v>0</v>
      </c>
      <c r="CP19" s="79">
        <v>0</v>
      </c>
      <c r="CQ19" s="79">
        <v>0</v>
      </c>
      <c r="CR19" s="79"/>
      <c r="CS19" s="79">
        <v>0</v>
      </c>
      <c r="CT19" s="79"/>
      <c r="CU19" s="79"/>
      <c r="CV19" s="79">
        <v>0</v>
      </c>
      <c r="CW19" s="1">
        <v>3</v>
      </c>
      <c r="CX19" s="3" t="s">
        <v>22</v>
      </c>
      <c r="CY19" s="6">
        <v>0</v>
      </c>
      <c r="CZ19" s="79">
        <v>0</v>
      </c>
      <c r="DA19" s="79">
        <v>0</v>
      </c>
      <c r="DB19" s="79"/>
      <c r="DC19" s="40">
        <v>0</v>
      </c>
      <c r="DD19" s="79"/>
      <c r="DE19" s="79"/>
      <c r="DF19" s="79" t="e">
        <f t="shared" si="3"/>
        <v>#DIV/0!</v>
      </c>
      <c r="DG19" s="1">
        <v>3</v>
      </c>
      <c r="DH19" s="3" t="s">
        <v>22</v>
      </c>
      <c r="DI19" s="6">
        <v>0</v>
      </c>
      <c r="DJ19" s="79">
        <v>0</v>
      </c>
      <c r="DK19" s="79">
        <v>0</v>
      </c>
      <c r="DL19" s="79"/>
      <c r="DM19" s="40">
        <v>0</v>
      </c>
      <c r="DN19" s="79"/>
      <c r="DO19" s="79"/>
      <c r="DP19" s="79" t="e">
        <f t="shared" si="4"/>
        <v>#DIV/0!</v>
      </c>
      <c r="DQ19" s="1">
        <v>3</v>
      </c>
      <c r="DR19" s="3" t="s">
        <v>22</v>
      </c>
      <c r="DS19" s="6">
        <f t="shared" si="5"/>
        <v>490</v>
      </c>
      <c r="DT19" s="79">
        <f t="shared" si="8"/>
        <v>217</v>
      </c>
      <c r="DU19" s="79">
        <f t="shared" si="6"/>
        <v>217</v>
      </c>
      <c r="DV19" s="40">
        <v>0</v>
      </c>
      <c r="DW19" s="79">
        <f t="shared" si="7"/>
        <v>227</v>
      </c>
      <c r="DX19" s="40">
        <v>0</v>
      </c>
      <c r="DY19" s="40">
        <v>0</v>
      </c>
      <c r="DZ19" s="79">
        <f>DW19/DU19</f>
        <v>1.0460829493087558</v>
      </c>
    </row>
    <row r="20" spans="1:144" s="30" customFormat="1" x14ac:dyDescent="0.3">
      <c r="A20" s="31" t="s">
        <v>23</v>
      </c>
      <c r="B20" s="25" t="s">
        <v>24</v>
      </c>
      <c r="C20" s="26">
        <f>SUM(C21:C28,C32:C43)</f>
        <v>23996</v>
      </c>
      <c r="D20" s="26">
        <f t="shared" ref="D20:I20" si="9">SUM(D21:D28,D32:D43)</f>
        <v>6939</v>
      </c>
      <c r="E20" s="26">
        <f>SUM(E21:E28,E32:E43)</f>
        <v>23108</v>
      </c>
      <c r="F20" s="26">
        <f t="shared" si="9"/>
        <v>0</v>
      </c>
      <c r="G20" s="26">
        <f t="shared" si="9"/>
        <v>16023.400000000001</v>
      </c>
      <c r="H20" s="26">
        <f t="shared" si="9"/>
        <v>0</v>
      </c>
      <c r="I20" s="26">
        <f t="shared" si="9"/>
        <v>0</v>
      </c>
      <c r="J20" s="26">
        <f>G20/E20</f>
        <v>0.6934135364375974</v>
      </c>
      <c r="K20" s="31" t="s">
        <v>23</v>
      </c>
      <c r="L20" s="25" t="s">
        <v>24</v>
      </c>
      <c r="M20" s="26">
        <f t="shared" ref="M20:S20" si="10">SUM(M21:M28,M32:M43)</f>
        <v>24765</v>
      </c>
      <c r="N20" s="26">
        <f t="shared" si="10"/>
        <v>5626</v>
      </c>
      <c r="O20" s="26">
        <f t="shared" si="10"/>
        <v>23090</v>
      </c>
      <c r="P20" s="26">
        <f t="shared" si="10"/>
        <v>1</v>
      </c>
      <c r="Q20" s="26">
        <f t="shared" si="10"/>
        <v>11418.6</v>
      </c>
      <c r="R20" s="26">
        <f t="shared" si="10"/>
        <v>0</v>
      </c>
      <c r="S20" s="26">
        <f t="shared" si="10"/>
        <v>0</v>
      </c>
      <c r="T20" s="26">
        <f>Q20/O20</f>
        <v>0.49452576873105242</v>
      </c>
      <c r="U20" s="31" t="s">
        <v>23</v>
      </c>
      <c r="V20" s="25" t="s">
        <v>24</v>
      </c>
      <c r="W20" s="26">
        <f>SUM(W21:W28,W32:W43)</f>
        <v>13851</v>
      </c>
      <c r="X20" s="26">
        <f>SUM(X21:X28,X32:X43)</f>
        <v>2213</v>
      </c>
      <c r="Y20" s="26">
        <f>SUM(Y21:Y28,Y32:Y43)</f>
        <v>6885</v>
      </c>
      <c r="Z20" s="26">
        <f>SUM(Z21:Z28,Z32:Z43)</f>
        <v>70</v>
      </c>
      <c r="AA20" s="26">
        <f>SUM(AA21:AA28,AA32:AA43)</f>
        <v>6233.8</v>
      </c>
      <c r="AB20" s="28"/>
      <c r="AC20" s="28"/>
      <c r="AD20" s="26">
        <f>AA20/Y20</f>
        <v>0.90541757443718229</v>
      </c>
      <c r="AE20" s="31" t="s">
        <v>23</v>
      </c>
      <c r="AF20" s="25" t="s">
        <v>24</v>
      </c>
      <c r="AG20" s="26">
        <f>SUM(AG21:AG28,AG32:AG43)</f>
        <v>15169</v>
      </c>
      <c r="AH20" s="26">
        <f t="shared" ref="AH20:AM20" si="11">SUM(AH21:AH28,AH32:AH43)</f>
        <v>844</v>
      </c>
      <c r="AI20" s="26">
        <f t="shared" si="11"/>
        <v>4484</v>
      </c>
      <c r="AJ20" s="26">
        <f t="shared" si="11"/>
        <v>0</v>
      </c>
      <c r="AK20" s="26">
        <f t="shared" si="11"/>
        <v>8402.7000000000007</v>
      </c>
      <c r="AL20" s="26">
        <f t="shared" si="11"/>
        <v>0</v>
      </c>
      <c r="AM20" s="26">
        <f t="shared" si="11"/>
        <v>0</v>
      </c>
      <c r="AN20" s="26">
        <f>AK20/AI20</f>
        <v>1.8739295272078502</v>
      </c>
      <c r="AO20" s="31" t="s">
        <v>23</v>
      </c>
      <c r="AP20" s="25" t="s">
        <v>24</v>
      </c>
      <c r="AQ20" s="26">
        <f>SUM(AQ21:AQ28,AQ32,AQ32:AQ43,AQ43)</f>
        <v>15815</v>
      </c>
      <c r="AR20" s="26">
        <f t="shared" ref="AR20:AW20" si="12">SUM(AR21:AR28,AR32,AR32:AR43,AR43)</f>
        <v>4420</v>
      </c>
      <c r="AS20" s="26">
        <f t="shared" si="12"/>
        <v>11544</v>
      </c>
      <c r="AT20" s="26">
        <f t="shared" si="12"/>
        <v>11</v>
      </c>
      <c r="AU20" s="26">
        <f t="shared" si="12"/>
        <v>33773.800000000003</v>
      </c>
      <c r="AV20" s="26">
        <f t="shared" si="12"/>
        <v>0</v>
      </c>
      <c r="AW20" s="26">
        <f t="shared" si="12"/>
        <v>0</v>
      </c>
      <c r="AX20" s="26">
        <f>AU20/AS20</f>
        <v>2.9256583506583511</v>
      </c>
      <c r="AY20" s="31" t="s">
        <v>23</v>
      </c>
      <c r="AZ20" s="25" t="s">
        <v>24</v>
      </c>
      <c r="BA20" s="26">
        <f>SUM(BA21:BA28,BA32:BA43)</f>
        <v>15344</v>
      </c>
      <c r="BB20" s="26">
        <f t="shared" ref="BB20:BG20" si="13">SUM(BB21:BB28,BB32:BB43)</f>
        <v>3308</v>
      </c>
      <c r="BC20" s="26">
        <f t="shared" si="13"/>
        <v>8705</v>
      </c>
      <c r="BD20" s="26">
        <f t="shared" si="13"/>
        <v>0</v>
      </c>
      <c r="BE20" s="80">
        <f t="shared" si="13"/>
        <v>41266.099999999991</v>
      </c>
      <c r="BF20" s="26">
        <f t="shared" si="13"/>
        <v>0</v>
      </c>
      <c r="BG20" s="26">
        <f t="shared" si="13"/>
        <v>0</v>
      </c>
      <c r="BH20" s="26">
        <f>BE20/BC20</f>
        <v>4.7405054566341169</v>
      </c>
      <c r="BI20" s="31" t="s">
        <v>23</v>
      </c>
      <c r="BJ20" s="25" t="s">
        <v>24</v>
      </c>
      <c r="BK20" s="128">
        <f>SUM(BK21:BK28,BK32:BK43)</f>
        <v>16519</v>
      </c>
      <c r="BL20" s="128">
        <f t="shared" ref="BL20:BQ20" si="14">SUM(BL21:BL28,BL32:BL43)</f>
        <v>7129</v>
      </c>
      <c r="BM20" s="128">
        <f t="shared" si="14"/>
        <v>10760</v>
      </c>
      <c r="BN20" s="128">
        <f t="shared" si="14"/>
        <v>3</v>
      </c>
      <c r="BO20" s="128">
        <f t="shared" si="14"/>
        <v>30479.199999999997</v>
      </c>
      <c r="BP20" s="128">
        <f t="shared" si="14"/>
        <v>0</v>
      </c>
      <c r="BQ20" s="128">
        <f t="shared" si="14"/>
        <v>0</v>
      </c>
      <c r="BR20" s="26">
        <f t="shared" si="0"/>
        <v>2.8326394052044606</v>
      </c>
      <c r="BS20" s="31" t="s">
        <v>23</v>
      </c>
      <c r="BT20" s="25" t="s">
        <v>24</v>
      </c>
      <c r="BU20" s="29">
        <f>SUM(BU21:BU28,BU32:BU43)</f>
        <v>18459</v>
      </c>
      <c r="BV20" s="29">
        <f t="shared" ref="BV20:CA20" si="15">SUM(BV21:BV28,BV32:BV43)</f>
        <v>5971</v>
      </c>
      <c r="BW20" s="29">
        <f t="shared" si="15"/>
        <v>15395</v>
      </c>
      <c r="BX20" s="29">
        <f t="shared" si="15"/>
        <v>1</v>
      </c>
      <c r="BY20" s="128">
        <f>SUM(BY21:BY28,BY32:BY43)</f>
        <v>49547.7</v>
      </c>
      <c r="BZ20" s="29">
        <f t="shared" si="15"/>
        <v>0</v>
      </c>
      <c r="CA20" s="29">
        <f t="shared" si="15"/>
        <v>0</v>
      </c>
      <c r="CB20" s="26">
        <f t="shared" si="1"/>
        <v>3.218428061058785</v>
      </c>
      <c r="CC20" s="31" t="s">
        <v>23</v>
      </c>
      <c r="CD20" s="25" t="s">
        <v>24</v>
      </c>
      <c r="CE20" s="29">
        <f>SUM(CE21:CE28,CE32:CE43)</f>
        <v>14633</v>
      </c>
      <c r="CF20" s="29">
        <f t="shared" ref="CF20:CK20" si="16">SUM(CF21:CF28,CF32:CF43)</f>
        <v>3515</v>
      </c>
      <c r="CG20" s="29">
        <f t="shared" si="16"/>
        <v>12961</v>
      </c>
      <c r="CH20" s="29">
        <f t="shared" si="16"/>
        <v>0</v>
      </c>
      <c r="CI20" s="29">
        <f t="shared" si="16"/>
        <v>14899.000000000002</v>
      </c>
      <c r="CJ20" s="29">
        <f t="shared" si="16"/>
        <v>0</v>
      </c>
      <c r="CK20" s="29">
        <f t="shared" si="16"/>
        <v>0</v>
      </c>
      <c r="CL20" s="26">
        <f t="shared" si="2"/>
        <v>1.1495254995756501</v>
      </c>
      <c r="CM20" s="31" t="s">
        <v>23</v>
      </c>
      <c r="CN20" s="25" t="s">
        <v>24</v>
      </c>
      <c r="CO20" s="29">
        <f>SUM(CO21:CO28,CO32:CO43)</f>
        <v>12255</v>
      </c>
      <c r="CP20" s="29">
        <f t="shared" ref="CP20:CU20" si="17">SUM(CP21:CP28,CP32:CP43)</f>
        <v>2434</v>
      </c>
      <c r="CQ20" s="29">
        <f t="shared" si="17"/>
        <v>10871</v>
      </c>
      <c r="CR20" s="29">
        <f t="shared" si="17"/>
        <v>0</v>
      </c>
      <c r="CS20" s="29">
        <f t="shared" si="17"/>
        <v>9039.8000000000011</v>
      </c>
      <c r="CT20" s="29">
        <f t="shared" si="17"/>
        <v>0</v>
      </c>
      <c r="CU20" s="29">
        <f t="shared" si="17"/>
        <v>0</v>
      </c>
      <c r="CV20" s="29" t="e">
        <f>SUM(CV21:CV28,CV32:CV43)</f>
        <v>#DIV/0!</v>
      </c>
      <c r="CW20" s="31" t="s">
        <v>23</v>
      </c>
      <c r="CX20" s="25" t="s">
        <v>24</v>
      </c>
      <c r="CY20" s="29">
        <f>SUM(CY21:CY28,CY32:CY43)</f>
        <v>10818</v>
      </c>
      <c r="CZ20" s="29">
        <f t="shared" ref="CZ20:DE20" si="18">SUM(CZ21:CZ28,CZ32:CZ43)</f>
        <v>6200</v>
      </c>
      <c r="DA20" s="29">
        <f t="shared" si="18"/>
        <v>10043</v>
      </c>
      <c r="DB20" s="29">
        <f t="shared" si="18"/>
        <v>2</v>
      </c>
      <c r="DC20" s="128">
        <f t="shared" si="18"/>
        <v>12576.6</v>
      </c>
      <c r="DD20" s="29">
        <f t="shared" si="18"/>
        <v>0</v>
      </c>
      <c r="DE20" s="29">
        <f t="shared" si="18"/>
        <v>0</v>
      </c>
      <c r="DF20" s="26">
        <f t="shared" si="3"/>
        <v>1.2522752165687543</v>
      </c>
      <c r="DG20" s="31" t="s">
        <v>23</v>
      </c>
      <c r="DH20" s="25" t="s">
        <v>24</v>
      </c>
      <c r="DI20" s="29">
        <f>SUM(DI21:DI28,DI28,DI32:DI43)</f>
        <v>14274</v>
      </c>
      <c r="DJ20" s="29">
        <f t="shared" ref="DJ20:DO20" si="19">SUM(DJ21:DJ28,DJ28,DJ32:DJ43)</f>
        <v>69796</v>
      </c>
      <c r="DK20" s="29">
        <f t="shared" si="19"/>
        <v>10643</v>
      </c>
      <c r="DL20" s="29">
        <f t="shared" si="19"/>
        <v>3</v>
      </c>
      <c r="DM20" s="128">
        <f t="shared" si="19"/>
        <v>12047.4</v>
      </c>
      <c r="DN20" s="29">
        <f t="shared" si="19"/>
        <v>0</v>
      </c>
      <c r="DO20" s="29">
        <f t="shared" si="19"/>
        <v>0</v>
      </c>
      <c r="DP20" s="26">
        <f t="shared" si="4"/>
        <v>1.1319552757681104</v>
      </c>
      <c r="DQ20" s="31" t="s">
        <v>23</v>
      </c>
      <c r="DR20" s="25" t="s">
        <v>24</v>
      </c>
      <c r="DS20" s="29">
        <f>SUM(C20+M20+W20+AG20+AQ20+BA20+BK20+BU20+CE20+CO20+CY20+DI20)</f>
        <v>195898</v>
      </c>
      <c r="DT20" s="26">
        <f t="shared" si="8"/>
        <v>122238</v>
      </c>
      <c r="DU20" s="26">
        <f t="shared" si="6"/>
        <v>148489</v>
      </c>
      <c r="DV20" s="80">
        <v>0</v>
      </c>
      <c r="DW20" s="26">
        <f t="shared" si="7"/>
        <v>245708.09999999998</v>
      </c>
      <c r="DX20" s="80">
        <v>0</v>
      </c>
      <c r="DY20" s="80">
        <v>0</v>
      </c>
      <c r="DZ20" s="26">
        <f>DW20/DU20</f>
        <v>1.6547225720423733</v>
      </c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</row>
    <row r="21" spans="1:144" x14ac:dyDescent="0.3">
      <c r="A21" s="1">
        <v>1</v>
      </c>
      <c r="B21" s="3" t="s">
        <v>25</v>
      </c>
      <c r="C21" s="6">
        <f>20</f>
        <v>20</v>
      </c>
      <c r="D21" s="79">
        <f>33</f>
        <v>33</v>
      </c>
      <c r="E21" s="79">
        <f>13</f>
        <v>13</v>
      </c>
      <c r="F21" s="92">
        <v>0</v>
      </c>
      <c r="G21" s="85">
        <v>166</v>
      </c>
      <c r="H21" s="79">
        <v>0</v>
      </c>
      <c r="I21" s="79">
        <v>0</v>
      </c>
      <c r="J21" s="79">
        <f>G21/E21</f>
        <v>12.76923076923077</v>
      </c>
      <c r="K21" s="1">
        <v>1</v>
      </c>
      <c r="L21" s="3" t="s">
        <v>25</v>
      </c>
      <c r="M21" s="6">
        <v>40</v>
      </c>
      <c r="N21" s="79">
        <v>4</v>
      </c>
      <c r="O21" s="79">
        <v>6</v>
      </c>
      <c r="P21" s="92">
        <v>1</v>
      </c>
      <c r="Q21" s="85">
        <v>73</v>
      </c>
      <c r="R21" s="79">
        <v>0</v>
      </c>
      <c r="S21" s="79">
        <v>0</v>
      </c>
      <c r="T21" s="79">
        <f>Q21/O21</f>
        <v>12.166666666666666</v>
      </c>
      <c r="U21" s="1">
        <v>1</v>
      </c>
      <c r="V21" s="3" t="s">
        <v>25</v>
      </c>
      <c r="W21" s="6">
        <v>37</v>
      </c>
      <c r="X21" s="79">
        <v>14</v>
      </c>
      <c r="Y21" s="79">
        <v>33</v>
      </c>
      <c r="Z21" s="92">
        <v>0</v>
      </c>
      <c r="AA21" s="85">
        <v>335</v>
      </c>
      <c r="AB21" s="92">
        <v>0</v>
      </c>
      <c r="AC21" s="92">
        <v>0</v>
      </c>
      <c r="AD21" s="79">
        <f>AA21/Y21</f>
        <v>10.151515151515152</v>
      </c>
      <c r="AE21" s="1">
        <v>1</v>
      </c>
      <c r="AF21" s="3" t="s">
        <v>25</v>
      </c>
      <c r="AG21" s="6">
        <v>18</v>
      </c>
      <c r="AH21" s="79">
        <v>32</v>
      </c>
      <c r="AI21" s="79">
        <v>7</v>
      </c>
      <c r="AJ21" s="92">
        <v>0</v>
      </c>
      <c r="AK21" s="85">
        <v>91</v>
      </c>
      <c r="AL21" s="92">
        <v>0</v>
      </c>
      <c r="AM21" s="92">
        <v>0</v>
      </c>
      <c r="AN21" s="79">
        <f>AK21/AI21</f>
        <v>13</v>
      </c>
      <c r="AO21" s="1">
        <v>1</v>
      </c>
      <c r="AP21" s="3" t="s">
        <v>25</v>
      </c>
      <c r="AQ21" s="6">
        <v>43</v>
      </c>
      <c r="AR21" s="79">
        <v>20</v>
      </c>
      <c r="AS21" s="79">
        <v>15</v>
      </c>
      <c r="AT21" s="92">
        <v>0</v>
      </c>
      <c r="AU21" s="85">
        <v>179.5</v>
      </c>
      <c r="AV21" s="92">
        <v>0</v>
      </c>
      <c r="AW21" s="92">
        <v>0</v>
      </c>
      <c r="AX21" s="79">
        <f>AU21/AS21</f>
        <v>11.966666666666667</v>
      </c>
      <c r="AY21" s="1">
        <v>1</v>
      </c>
      <c r="AZ21" s="3" t="s">
        <v>25</v>
      </c>
      <c r="BA21" s="6">
        <v>48</v>
      </c>
      <c r="BB21" s="79">
        <v>22</v>
      </c>
      <c r="BC21" s="79">
        <v>19</v>
      </c>
      <c r="BD21" s="92">
        <v>0</v>
      </c>
      <c r="BE21" s="203">
        <v>220.4</v>
      </c>
      <c r="BF21" s="92">
        <v>0</v>
      </c>
      <c r="BG21" s="92">
        <v>0</v>
      </c>
      <c r="BH21" s="79">
        <f>BE21/BC21</f>
        <v>11.6</v>
      </c>
      <c r="BI21" s="1">
        <v>1</v>
      </c>
      <c r="BJ21" s="3" t="s">
        <v>25</v>
      </c>
      <c r="BK21" s="6">
        <v>51</v>
      </c>
      <c r="BL21" s="79">
        <v>43</v>
      </c>
      <c r="BM21" s="79">
        <v>26</v>
      </c>
      <c r="BN21" s="79"/>
      <c r="BO21" s="79">
        <v>281.2</v>
      </c>
      <c r="BP21" s="40"/>
      <c r="BQ21" s="40"/>
      <c r="BR21" s="79">
        <f t="shared" si="0"/>
        <v>10.815384615384614</v>
      </c>
      <c r="BS21" s="1">
        <v>1</v>
      </c>
      <c r="BT21" s="3" t="s">
        <v>25</v>
      </c>
      <c r="BU21" s="6">
        <v>68</v>
      </c>
      <c r="BV21" s="79">
        <v>42</v>
      </c>
      <c r="BW21" s="79">
        <v>12</v>
      </c>
      <c r="BX21" s="79"/>
      <c r="BY21" s="40">
        <v>131.5</v>
      </c>
      <c r="BZ21" s="79"/>
      <c r="CA21" s="79"/>
      <c r="CB21" s="79">
        <f t="shared" si="1"/>
        <v>10.958333333333334</v>
      </c>
      <c r="CC21" s="1">
        <v>1</v>
      </c>
      <c r="CD21" s="3" t="s">
        <v>25</v>
      </c>
      <c r="CE21" s="6">
        <v>98</v>
      </c>
      <c r="CF21" s="6">
        <v>43</v>
      </c>
      <c r="CG21" s="6">
        <v>50</v>
      </c>
      <c r="CH21" s="6">
        <v>0</v>
      </c>
      <c r="CI21" s="6">
        <v>61.6</v>
      </c>
      <c r="CJ21" s="79"/>
      <c r="CK21" s="79"/>
      <c r="CL21" s="79">
        <f t="shared" si="2"/>
        <v>1.232</v>
      </c>
      <c r="CM21" s="1">
        <v>1</v>
      </c>
      <c r="CN21" s="3" t="s">
        <v>25</v>
      </c>
      <c r="CO21" s="6">
        <v>91</v>
      </c>
      <c r="CP21" s="79">
        <v>69</v>
      </c>
      <c r="CQ21" s="79">
        <v>23</v>
      </c>
      <c r="CR21" s="79">
        <v>0</v>
      </c>
      <c r="CS21" s="79">
        <v>225.6</v>
      </c>
      <c r="CT21" s="79"/>
      <c r="CU21" s="79"/>
      <c r="CV21" s="79">
        <f t="shared" ref="CV21:CV28" si="20">CS21/CQ21</f>
        <v>9.8086956521739133</v>
      </c>
      <c r="CW21" s="1">
        <v>1</v>
      </c>
      <c r="CX21" s="3" t="s">
        <v>25</v>
      </c>
      <c r="CY21" s="6">
        <v>137</v>
      </c>
      <c r="CZ21" s="79">
        <v>117</v>
      </c>
      <c r="DA21" s="79">
        <v>65</v>
      </c>
      <c r="DB21" s="79">
        <v>0</v>
      </c>
      <c r="DC21" s="40">
        <v>628</v>
      </c>
      <c r="DD21" s="79"/>
      <c r="DE21" s="79"/>
      <c r="DF21" s="79">
        <f t="shared" si="3"/>
        <v>9.661538461538461</v>
      </c>
      <c r="DG21" s="1">
        <v>1</v>
      </c>
      <c r="DH21" s="3" t="s">
        <v>25</v>
      </c>
      <c r="DI21" s="6">
        <v>249</v>
      </c>
      <c r="DJ21" s="79">
        <v>128</v>
      </c>
      <c r="DK21" s="79">
        <v>59</v>
      </c>
      <c r="DL21" s="79"/>
      <c r="DM21" s="40">
        <v>534.6</v>
      </c>
      <c r="DN21" s="79"/>
      <c r="DO21" s="79"/>
      <c r="DP21" s="79">
        <f t="shared" si="4"/>
        <v>9.0610169491525436</v>
      </c>
      <c r="DQ21" s="1">
        <v>1</v>
      </c>
      <c r="DR21" s="3" t="s">
        <v>25</v>
      </c>
      <c r="DS21" s="6">
        <f t="shared" si="5"/>
        <v>900</v>
      </c>
      <c r="DT21" s="79">
        <f t="shared" si="8"/>
        <v>515</v>
      </c>
      <c r="DU21" s="79">
        <f t="shared" si="6"/>
        <v>328</v>
      </c>
      <c r="DV21" s="40">
        <v>0</v>
      </c>
      <c r="DW21" s="79">
        <f t="shared" si="7"/>
        <v>2927.4</v>
      </c>
      <c r="DX21" s="40">
        <v>0</v>
      </c>
      <c r="DY21" s="40">
        <v>0</v>
      </c>
      <c r="DZ21" s="79">
        <f>DW21/DU21</f>
        <v>8.9250000000000007</v>
      </c>
    </row>
    <row r="22" spans="1:144" x14ac:dyDescent="0.3">
      <c r="A22" s="1">
        <v>2</v>
      </c>
      <c r="B22" s="3" t="s">
        <v>26</v>
      </c>
      <c r="C22" s="6">
        <v>0</v>
      </c>
      <c r="D22" s="79">
        <v>0</v>
      </c>
      <c r="E22" s="79">
        <v>0</v>
      </c>
      <c r="F22" s="92">
        <v>0</v>
      </c>
      <c r="G22" s="85">
        <v>0</v>
      </c>
      <c r="H22" s="79">
        <v>0</v>
      </c>
      <c r="I22" s="79">
        <v>0</v>
      </c>
      <c r="J22" s="79">
        <v>0</v>
      </c>
      <c r="K22" s="1">
        <v>2</v>
      </c>
      <c r="L22" s="3" t="s">
        <v>26</v>
      </c>
      <c r="M22" s="6">
        <v>0</v>
      </c>
      <c r="N22" s="79">
        <v>0</v>
      </c>
      <c r="O22" s="79">
        <v>0</v>
      </c>
      <c r="P22" s="92">
        <v>0</v>
      </c>
      <c r="Q22" s="85">
        <v>0</v>
      </c>
      <c r="R22" s="79">
        <v>0</v>
      </c>
      <c r="S22" s="79">
        <v>0</v>
      </c>
      <c r="T22" s="79">
        <v>0</v>
      </c>
      <c r="U22" s="1">
        <v>2</v>
      </c>
      <c r="V22" s="3" t="s">
        <v>26</v>
      </c>
      <c r="W22" s="6">
        <v>0</v>
      </c>
      <c r="X22" s="79">
        <v>0</v>
      </c>
      <c r="Y22" s="79">
        <v>0</v>
      </c>
      <c r="Z22" s="92">
        <v>0</v>
      </c>
      <c r="AA22" s="85">
        <v>0</v>
      </c>
      <c r="AB22" s="79">
        <v>0</v>
      </c>
      <c r="AC22" s="79">
        <v>0</v>
      </c>
      <c r="AD22" s="79">
        <v>0</v>
      </c>
      <c r="AE22" s="1">
        <v>2</v>
      </c>
      <c r="AF22" s="3" t="s">
        <v>26</v>
      </c>
      <c r="AG22" s="6">
        <v>0</v>
      </c>
      <c r="AH22" s="79">
        <v>0</v>
      </c>
      <c r="AI22" s="79">
        <v>0</v>
      </c>
      <c r="AJ22" s="92">
        <v>0</v>
      </c>
      <c r="AK22" s="85">
        <v>0</v>
      </c>
      <c r="AL22" s="92">
        <v>0</v>
      </c>
      <c r="AM22" s="92">
        <v>0</v>
      </c>
      <c r="AN22" s="79">
        <v>0</v>
      </c>
      <c r="AO22" s="1">
        <v>2</v>
      </c>
      <c r="AP22" s="3" t="s">
        <v>26</v>
      </c>
      <c r="AQ22" s="6">
        <v>0</v>
      </c>
      <c r="AR22" s="79">
        <v>0</v>
      </c>
      <c r="AS22" s="79">
        <v>0</v>
      </c>
      <c r="AT22" s="92">
        <v>0</v>
      </c>
      <c r="AU22" s="85">
        <v>0</v>
      </c>
      <c r="AV22" s="92">
        <v>0</v>
      </c>
      <c r="AW22" s="92">
        <v>0</v>
      </c>
      <c r="AX22" s="79">
        <v>0</v>
      </c>
      <c r="AY22" s="1">
        <v>2</v>
      </c>
      <c r="AZ22" s="3" t="s">
        <v>26</v>
      </c>
      <c r="BA22" s="6">
        <v>0</v>
      </c>
      <c r="BB22" s="79">
        <v>0</v>
      </c>
      <c r="BC22" s="79">
        <v>0</v>
      </c>
      <c r="BD22" s="92">
        <v>0</v>
      </c>
      <c r="BE22" s="203">
        <v>0</v>
      </c>
      <c r="BF22" s="79">
        <v>0</v>
      </c>
      <c r="BG22" s="79">
        <v>0</v>
      </c>
      <c r="BH22" s="79">
        <v>0</v>
      </c>
      <c r="BI22" s="1">
        <v>2</v>
      </c>
      <c r="BJ22" s="3" t="s">
        <v>26</v>
      </c>
      <c r="BK22" s="6">
        <v>0</v>
      </c>
      <c r="BL22" s="79">
        <v>0</v>
      </c>
      <c r="BM22" s="79">
        <v>0</v>
      </c>
      <c r="BN22" s="79">
        <v>0</v>
      </c>
      <c r="BO22" s="79">
        <v>0</v>
      </c>
      <c r="BP22" s="40"/>
      <c r="BQ22" s="40"/>
      <c r="BR22" s="79" t="e">
        <f t="shared" si="0"/>
        <v>#DIV/0!</v>
      </c>
      <c r="BS22" s="1">
        <v>2</v>
      </c>
      <c r="BT22" s="3" t="s">
        <v>26</v>
      </c>
      <c r="BU22" s="6">
        <v>0</v>
      </c>
      <c r="BV22" s="79">
        <v>0</v>
      </c>
      <c r="BW22" s="79">
        <v>0</v>
      </c>
      <c r="BX22" s="79">
        <v>0</v>
      </c>
      <c r="BY22" s="40">
        <v>0</v>
      </c>
      <c r="BZ22" s="79"/>
      <c r="CA22" s="79"/>
      <c r="CB22" s="79" t="e">
        <f t="shared" si="1"/>
        <v>#DIV/0!</v>
      </c>
      <c r="CC22" s="1">
        <v>2</v>
      </c>
      <c r="CD22" s="3" t="s">
        <v>26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79"/>
      <c r="CK22" s="79"/>
      <c r="CL22" s="79" t="e">
        <f t="shared" si="2"/>
        <v>#DIV/0!</v>
      </c>
      <c r="CM22" s="1">
        <v>2</v>
      </c>
      <c r="CN22" s="3" t="s">
        <v>26</v>
      </c>
      <c r="CO22" s="6">
        <v>0</v>
      </c>
      <c r="CP22" s="79">
        <v>0</v>
      </c>
      <c r="CQ22" s="79">
        <v>0</v>
      </c>
      <c r="CR22" s="79">
        <v>0</v>
      </c>
      <c r="CS22" s="79">
        <v>0</v>
      </c>
      <c r="CT22" s="79"/>
      <c r="CU22" s="79"/>
      <c r="CV22" s="79" t="e">
        <f t="shared" si="20"/>
        <v>#DIV/0!</v>
      </c>
      <c r="CW22" s="1">
        <v>2</v>
      </c>
      <c r="CX22" s="3" t="s">
        <v>26</v>
      </c>
      <c r="CY22" s="6">
        <v>0</v>
      </c>
      <c r="CZ22" s="79">
        <v>0</v>
      </c>
      <c r="DA22" s="79">
        <v>0</v>
      </c>
      <c r="DB22" s="79"/>
      <c r="DC22" s="40">
        <v>0</v>
      </c>
      <c r="DD22" s="79"/>
      <c r="DE22" s="79"/>
      <c r="DF22" s="79" t="e">
        <f t="shared" si="3"/>
        <v>#DIV/0!</v>
      </c>
      <c r="DG22" s="1">
        <v>2</v>
      </c>
      <c r="DH22" s="3" t="s">
        <v>26</v>
      </c>
      <c r="DI22" s="6">
        <v>0</v>
      </c>
      <c r="DJ22" s="79">
        <v>0</v>
      </c>
      <c r="DK22" s="79">
        <v>0</v>
      </c>
      <c r="DL22" s="79"/>
      <c r="DM22" s="40">
        <v>0</v>
      </c>
      <c r="DN22" s="79"/>
      <c r="DO22" s="79"/>
      <c r="DP22" s="79" t="e">
        <f t="shared" si="4"/>
        <v>#DIV/0!</v>
      </c>
      <c r="DQ22" s="1">
        <v>2</v>
      </c>
      <c r="DR22" s="3" t="s">
        <v>26</v>
      </c>
      <c r="DS22" s="6">
        <f t="shared" si="5"/>
        <v>0</v>
      </c>
      <c r="DT22" s="79">
        <f t="shared" si="8"/>
        <v>0</v>
      </c>
      <c r="DU22" s="79">
        <f t="shared" si="6"/>
        <v>0</v>
      </c>
      <c r="DV22" s="40">
        <v>0</v>
      </c>
      <c r="DW22" s="79">
        <f t="shared" si="7"/>
        <v>0</v>
      </c>
      <c r="DX22" s="40">
        <v>0</v>
      </c>
      <c r="DY22" s="40">
        <v>0</v>
      </c>
      <c r="DZ22" s="79">
        <v>0</v>
      </c>
    </row>
    <row r="23" spans="1:144" x14ac:dyDescent="0.3">
      <c r="A23" s="1">
        <v>3</v>
      </c>
      <c r="B23" s="3" t="s">
        <v>27</v>
      </c>
      <c r="C23" s="6">
        <v>5</v>
      </c>
      <c r="D23" s="79">
        <v>1</v>
      </c>
      <c r="E23" s="79">
        <v>3</v>
      </c>
      <c r="F23" s="92">
        <v>0</v>
      </c>
      <c r="G23" s="85">
        <v>37.5</v>
      </c>
      <c r="H23" s="79">
        <v>0</v>
      </c>
      <c r="I23" s="79">
        <v>0</v>
      </c>
      <c r="J23" s="79">
        <v>0</v>
      </c>
      <c r="K23" s="1">
        <v>3</v>
      </c>
      <c r="L23" s="3" t="s">
        <v>27</v>
      </c>
      <c r="M23" s="6">
        <v>3</v>
      </c>
      <c r="N23" s="79">
        <v>1</v>
      </c>
      <c r="O23" s="79">
        <v>2</v>
      </c>
      <c r="P23" s="92">
        <v>0</v>
      </c>
      <c r="Q23" s="85">
        <v>24.5</v>
      </c>
      <c r="R23" s="79">
        <v>0</v>
      </c>
      <c r="S23" s="79">
        <v>0</v>
      </c>
      <c r="T23" s="79">
        <v>0</v>
      </c>
      <c r="U23" s="1">
        <v>3</v>
      </c>
      <c r="V23" s="3" t="s">
        <v>27</v>
      </c>
      <c r="W23" s="6">
        <v>2</v>
      </c>
      <c r="X23" s="79">
        <v>2</v>
      </c>
      <c r="Y23" s="79">
        <v>2</v>
      </c>
      <c r="Z23" s="92">
        <v>0</v>
      </c>
      <c r="AA23" s="85">
        <v>24.5</v>
      </c>
      <c r="AB23" s="79">
        <v>0</v>
      </c>
      <c r="AC23" s="79">
        <v>0</v>
      </c>
      <c r="AD23" s="79">
        <v>0</v>
      </c>
      <c r="AE23" s="1">
        <v>3</v>
      </c>
      <c r="AF23" s="3" t="s">
        <v>27</v>
      </c>
      <c r="AG23" s="6">
        <v>2</v>
      </c>
      <c r="AH23" s="79">
        <v>4</v>
      </c>
      <c r="AI23" s="79">
        <v>0</v>
      </c>
      <c r="AJ23" s="92">
        <v>0</v>
      </c>
      <c r="AK23" s="85">
        <v>0</v>
      </c>
      <c r="AL23" s="92">
        <v>0</v>
      </c>
      <c r="AM23" s="92">
        <v>0</v>
      </c>
      <c r="AN23" s="79">
        <v>0</v>
      </c>
      <c r="AO23" s="1">
        <v>3</v>
      </c>
      <c r="AP23" s="3" t="s">
        <v>27</v>
      </c>
      <c r="AQ23" s="6">
        <v>6</v>
      </c>
      <c r="AR23" s="79">
        <v>3</v>
      </c>
      <c r="AS23" s="79">
        <v>3</v>
      </c>
      <c r="AT23" s="92">
        <v>0</v>
      </c>
      <c r="AU23" s="85">
        <v>15.6</v>
      </c>
      <c r="AV23" s="92">
        <v>0</v>
      </c>
      <c r="AW23" s="92">
        <v>0</v>
      </c>
      <c r="AX23" s="79">
        <v>0</v>
      </c>
      <c r="AY23" s="1">
        <v>3</v>
      </c>
      <c r="AZ23" s="3" t="s">
        <v>27</v>
      </c>
      <c r="BA23" s="6">
        <v>6</v>
      </c>
      <c r="BB23" s="79">
        <v>1</v>
      </c>
      <c r="BC23" s="79">
        <v>2</v>
      </c>
      <c r="BD23" s="92">
        <v>0</v>
      </c>
      <c r="BE23" s="203">
        <v>0.6</v>
      </c>
      <c r="BF23" s="79">
        <v>0</v>
      </c>
      <c r="BG23" s="79">
        <v>0</v>
      </c>
      <c r="BH23" s="79">
        <v>0</v>
      </c>
      <c r="BI23" s="1">
        <v>3</v>
      </c>
      <c r="BJ23" s="3" t="s">
        <v>27</v>
      </c>
      <c r="BK23" s="6">
        <v>5</v>
      </c>
      <c r="BL23" s="79">
        <v>3</v>
      </c>
      <c r="BM23" s="79">
        <v>3</v>
      </c>
      <c r="BN23" s="79"/>
      <c r="BO23" s="79">
        <v>20</v>
      </c>
      <c r="BP23" s="40"/>
      <c r="BQ23" s="40"/>
      <c r="BR23" s="79">
        <f t="shared" si="0"/>
        <v>6.666666666666667</v>
      </c>
      <c r="BS23" s="1">
        <v>3</v>
      </c>
      <c r="BT23" s="3" t="s">
        <v>27</v>
      </c>
      <c r="BU23" s="6">
        <v>5</v>
      </c>
      <c r="BV23" s="79">
        <v>2</v>
      </c>
      <c r="BW23" s="79">
        <v>2</v>
      </c>
      <c r="BX23" s="79">
        <v>0</v>
      </c>
      <c r="BY23" s="40">
        <v>25</v>
      </c>
      <c r="BZ23" s="79"/>
      <c r="CA23" s="79"/>
      <c r="CB23" s="79">
        <f t="shared" si="1"/>
        <v>12.5</v>
      </c>
      <c r="CC23" s="1">
        <v>3</v>
      </c>
      <c r="CD23" s="3" t="s">
        <v>27</v>
      </c>
      <c r="CE23" s="6">
        <v>5</v>
      </c>
      <c r="CF23" s="6">
        <v>3</v>
      </c>
      <c r="CG23" s="6">
        <v>3</v>
      </c>
      <c r="CH23" s="6">
        <v>0</v>
      </c>
      <c r="CI23" s="6">
        <v>28</v>
      </c>
      <c r="CJ23" s="79"/>
      <c r="CK23" s="79"/>
      <c r="CL23" s="79">
        <f t="shared" si="2"/>
        <v>9.3333333333333339</v>
      </c>
      <c r="CM23" s="1">
        <v>3</v>
      </c>
      <c r="CN23" s="3" t="s">
        <v>27</v>
      </c>
      <c r="CO23" s="6">
        <v>5</v>
      </c>
      <c r="CP23" s="79">
        <v>1</v>
      </c>
      <c r="CQ23" s="79">
        <v>3</v>
      </c>
      <c r="CR23" s="79">
        <v>0</v>
      </c>
      <c r="CS23" s="79">
        <v>22.5</v>
      </c>
      <c r="CT23" s="79"/>
      <c r="CU23" s="79"/>
      <c r="CV23" s="79">
        <f t="shared" si="20"/>
        <v>7.5</v>
      </c>
      <c r="CW23" s="1">
        <v>3</v>
      </c>
      <c r="CX23" s="3" t="s">
        <v>27</v>
      </c>
      <c r="CY23" s="6">
        <v>3</v>
      </c>
      <c r="CZ23" s="79">
        <v>2</v>
      </c>
      <c r="DA23" s="79">
        <v>1</v>
      </c>
      <c r="DB23" s="79">
        <v>0</v>
      </c>
      <c r="DC23" s="40">
        <v>10</v>
      </c>
      <c r="DD23" s="79"/>
      <c r="DE23" s="79"/>
      <c r="DF23" s="79">
        <f t="shared" si="3"/>
        <v>10</v>
      </c>
      <c r="DG23" s="1">
        <v>3</v>
      </c>
      <c r="DH23" s="3" t="s">
        <v>27</v>
      </c>
      <c r="DI23" s="6">
        <v>4</v>
      </c>
      <c r="DJ23" s="79">
        <v>2</v>
      </c>
      <c r="DK23" s="79">
        <v>3</v>
      </c>
      <c r="DL23" s="79">
        <v>0</v>
      </c>
      <c r="DM23" s="40">
        <v>20</v>
      </c>
      <c r="DN23" s="79"/>
      <c r="DO23" s="79"/>
      <c r="DP23" s="79">
        <f t="shared" si="4"/>
        <v>6.666666666666667</v>
      </c>
      <c r="DQ23" s="1">
        <v>3</v>
      </c>
      <c r="DR23" s="3" t="s">
        <v>27</v>
      </c>
      <c r="DS23" s="6">
        <f t="shared" si="5"/>
        <v>51</v>
      </c>
      <c r="DT23" s="79">
        <f t="shared" si="8"/>
        <v>24</v>
      </c>
      <c r="DU23" s="79">
        <f t="shared" si="6"/>
        <v>27</v>
      </c>
      <c r="DV23" s="40">
        <v>0</v>
      </c>
      <c r="DW23" s="79">
        <f t="shared" si="7"/>
        <v>228.2</v>
      </c>
      <c r="DX23" s="40">
        <v>0</v>
      </c>
      <c r="DY23" s="40">
        <v>0</v>
      </c>
      <c r="DZ23" s="79">
        <v>0</v>
      </c>
    </row>
    <row r="24" spans="1:144" x14ac:dyDescent="0.3">
      <c r="A24" s="1">
        <v>4</v>
      </c>
      <c r="B24" s="3" t="s">
        <v>28</v>
      </c>
      <c r="C24" s="6">
        <v>1</v>
      </c>
      <c r="D24" s="79">
        <v>1</v>
      </c>
      <c r="E24" s="79">
        <v>0</v>
      </c>
      <c r="F24" s="92">
        <v>0</v>
      </c>
      <c r="G24" s="85">
        <v>0</v>
      </c>
      <c r="H24" s="79">
        <v>0</v>
      </c>
      <c r="I24" s="79">
        <v>0</v>
      </c>
      <c r="J24" s="79">
        <v>0</v>
      </c>
      <c r="K24" s="1">
        <v>4</v>
      </c>
      <c r="L24" s="3" t="s">
        <v>28</v>
      </c>
      <c r="M24" s="6">
        <v>2</v>
      </c>
      <c r="N24" s="79">
        <v>0</v>
      </c>
      <c r="O24" s="79">
        <v>1</v>
      </c>
      <c r="P24" s="92">
        <v>0</v>
      </c>
      <c r="Q24" s="85">
        <v>20</v>
      </c>
      <c r="R24" s="79">
        <v>0</v>
      </c>
      <c r="S24" s="79">
        <v>0</v>
      </c>
      <c r="T24" s="79">
        <f>Q24/O24</f>
        <v>20</v>
      </c>
      <c r="U24" s="1">
        <v>4</v>
      </c>
      <c r="V24" s="3" t="s">
        <v>28</v>
      </c>
      <c r="W24" s="6">
        <v>1</v>
      </c>
      <c r="X24" s="79">
        <v>0</v>
      </c>
      <c r="Y24" s="79">
        <v>0</v>
      </c>
      <c r="Z24" s="92">
        <v>0</v>
      </c>
      <c r="AA24" s="85">
        <v>0</v>
      </c>
      <c r="AB24" s="79">
        <v>0</v>
      </c>
      <c r="AC24" s="79">
        <v>0</v>
      </c>
      <c r="AD24" s="79">
        <v>0</v>
      </c>
      <c r="AE24" s="1">
        <v>4</v>
      </c>
      <c r="AF24" s="3" t="s">
        <v>28</v>
      </c>
      <c r="AG24" s="6">
        <v>1</v>
      </c>
      <c r="AH24" s="79">
        <v>2</v>
      </c>
      <c r="AI24" s="79">
        <v>1</v>
      </c>
      <c r="AJ24" s="92">
        <v>0</v>
      </c>
      <c r="AK24" s="85">
        <v>21</v>
      </c>
      <c r="AL24" s="92">
        <v>0</v>
      </c>
      <c r="AM24" s="92">
        <v>0</v>
      </c>
      <c r="AN24" s="79">
        <f>AK24/AI24</f>
        <v>21</v>
      </c>
      <c r="AO24" s="1">
        <v>4</v>
      </c>
      <c r="AP24" s="3" t="s">
        <v>28</v>
      </c>
      <c r="AQ24" s="6">
        <v>2</v>
      </c>
      <c r="AR24" s="79">
        <v>11</v>
      </c>
      <c r="AS24" s="79">
        <v>0</v>
      </c>
      <c r="AT24" s="92">
        <v>0</v>
      </c>
      <c r="AU24" s="85">
        <v>0</v>
      </c>
      <c r="AV24" s="92">
        <v>0</v>
      </c>
      <c r="AW24" s="92">
        <v>0</v>
      </c>
      <c r="AX24" s="79">
        <v>0</v>
      </c>
      <c r="AY24" s="1">
        <v>4</v>
      </c>
      <c r="AZ24" s="3" t="s">
        <v>28</v>
      </c>
      <c r="BA24" s="6">
        <v>13</v>
      </c>
      <c r="BB24" s="79">
        <v>25</v>
      </c>
      <c r="BC24" s="79">
        <v>2</v>
      </c>
      <c r="BD24" s="92">
        <v>0</v>
      </c>
      <c r="BE24" s="203">
        <v>40</v>
      </c>
      <c r="BF24" s="79">
        <v>0</v>
      </c>
      <c r="BG24" s="79">
        <v>0</v>
      </c>
      <c r="BH24" s="79">
        <f>BE24/BC24</f>
        <v>20</v>
      </c>
      <c r="BI24" s="1">
        <v>4</v>
      </c>
      <c r="BJ24" s="3" t="s">
        <v>28</v>
      </c>
      <c r="BK24" s="6">
        <v>36</v>
      </c>
      <c r="BL24" s="79">
        <v>6</v>
      </c>
      <c r="BM24" s="79">
        <v>4</v>
      </c>
      <c r="BN24" s="79">
        <v>0</v>
      </c>
      <c r="BO24" s="79">
        <v>80</v>
      </c>
      <c r="BP24" s="40"/>
      <c r="BQ24" s="40"/>
      <c r="BR24" s="79">
        <f t="shared" si="0"/>
        <v>20</v>
      </c>
      <c r="BS24" s="1">
        <v>4</v>
      </c>
      <c r="BT24" s="3" t="s">
        <v>28</v>
      </c>
      <c r="BU24" s="6">
        <v>38</v>
      </c>
      <c r="BV24" s="79">
        <v>0</v>
      </c>
      <c r="BW24" s="79">
        <v>15</v>
      </c>
      <c r="BX24" s="79">
        <v>0</v>
      </c>
      <c r="BY24" s="40">
        <v>320</v>
      </c>
      <c r="BZ24" s="79"/>
      <c r="CA24" s="79"/>
      <c r="CB24" s="79">
        <f t="shared" si="1"/>
        <v>21.333333333333332</v>
      </c>
      <c r="CC24" s="1">
        <v>4</v>
      </c>
      <c r="CD24" s="3" t="s">
        <v>28</v>
      </c>
      <c r="CE24" s="6">
        <v>23</v>
      </c>
      <c r="CF24" s="6">
        <v>2</v>
      </c>
      <c r="CG24" s="6">
        <v>20</v>
      </c>
      <c r="CH24" s="6">
        <v>0</v>
      </c>
      <c r="CI24" s="6">
        <v>400</v>
      </c>
      <c r="CJ24" s="79"/>
      <c r="CK24" s="79"/>
      <c r="CL24" s="79">
        <f t="shared" si="2"/>
        <v>20</v>
      </c>
      <c r="CM24" s="1">
        <v>4</v>
      </c>
      <c r="CN24" s="3" t="s">
        <v>28</v>
      </c>
      <c r="CO24" s="6">
        <v>5</v>
      </c>
      <c r="CP24" s="79">
        <v>3</v>
      </c>
      <c r="CQ24" s="79">
        <v>3</v>
      </c>
      <c r="CR24" s="79"/>
      <c r="CS24" s="79">
        <v>80</v>
      </c>
      <c r="CT24" s="79"/>
      <c r="CU24" s="79"/>
      <c r="CV24" s="79">
        <f t="shared" si="20"/>
        <v>26.666666666666668</v>
      </c>
      <c r="CW24" s="1">
        <v>4</v>
      </c>
      <c r="CX24" s="3" t="s">
        <v>28</v>
      </c>
      <c r="CY24" s="6">
        <v>5</v>
      </c>
      <c r="CZ24" s="79">
        <v>6</v>
      </c>
      <c r="DA24" s="79">
        <v>2</v>
      </c>
      <c r="DB24" s="79"/>
      <c r="DC24" s="40">
        <v>40</v>
      </c>
      <c r="DD24" s="79"/>
      <c r="DE24" s="79"/>
      <c r="DF24" s="79">
        <f t="shared" si="3"/>
        <v>20</v>
      </c>
      <c r="DG24" s="1">
        <v>4</v>
      </c>
      <c r="DH24" s="3" t="s">
        <v>28</v>
      </c>
      <c r="DI24" s="6">
        <v>9</v>
      </c>
      <c r="DJ24" s="79">
        <v>4</v>
      </c>
      <c r="DK24" s="79">
        <v>3</v>
      </c>
      <c r="DL24" s="79">
        <v>0</v>
      </c>
      <c r="DM24" s="40">
        <v>60</v>
      </c>
      <c r="DN24" s="79"/>
      <c r="DO24" s="79"/>
      <c r="DP24" s="79">
        <f t="shared" si="4"/>
        <v>20</v>
      </c>
      <c r="DQ24" s="1">
        <v>4</v>
      </c>
      <c r="DR24" s="3" t="s">
        <v>28</v>
      </c>
      <c r="DS24" s="6">
        <f t="shared" si="5"/>
        <v>136</v>
      </c>
      <c r="DT24" s="79">
        <f t="shared" si="8"/>
        <v>56</v>
      </c>
      <c r="DU24" s="79">
        <f t="shared" si="6"/>
        <v>51</v>
      </c>
      <c r="DV24" s="40">
        <v>0</v>
      </c>
      <c r="DW24" s="79">
        <f t="shared" si="7"/>
        <v>1061</v>
      </c>
      <c r="DX24" s="40">
        <v>0</v>
      </c>
      <c r="DY24" s="40">
        <v>0</v>
      </c>
      <c r="DZ24" s="79">
        <f>DW24/DU24</f>
        <v>20.803921568627452</v>
      </c>
    </row>
    <row r="25" spans="1:144" s="30" customFormat="1" x14ac:dyDescent="0.3">
      <c r="A25" s="1">
        <v>5</v>
      </c>
      <c r="B25" s="3" t="s">
        <v>29</v>
      </c>
      <c r="C25" s="6">
        <v>22</v>
      </c>
      <c r="D25" s="79">
        <v>4</v>
      </c>
      <c r="E25" s="79">
        <v>7</v>
      </c>
      <c r="F25" s="92">
        <v>0</v>
      </c>
      <c r="G25" s="85">
        <v>137.5</v>
      </c>
      <c r="H25" s="79">
        <v>0</v>
      </c>
      <c r="I25" s="79">
        <v>0</v>
      </c>
      <c r="J25" s="79">
        <f>G25/E25</f>
        <v>19.642857142857142</v>
      </c>
      <c r="K25" s="1">
        <v>5</v>
      </c>
      <c r="L25" s="3" t="s">
        <v>29</v>
      </c>
      <c r="M25" s="6">
        <v>19</v>
      </c>
      <c r="N25" s="79">
        <v>2</v>
      </c>
      <c r="O25" s="79">
        <v>15</v>
      </c>
      <c r="P25" s="92">
        <v>0</v>
      </c>
      <c r="Q25" s="85">
        <v>545.20000000000005</v>
      </c>
      <c r="R25" s="79">
        <v>0</v>
      </c>
      <c r="S25" s="79">
        <v>0</v>
      </c>
      <c r="T25" s="79">
        <f>Q25/O25</f>
        <v>36.346666666666671</v>
      </c>
      <c r="U25" s="1">
        <v>5</v>
      </c>
      <c r="V25" s="3" t="s">
        <v>29</v>
      </c>
      <c r="W25" s="6">
        <v>6</v>
      </c>
      <c r="X25" s="79">
        <v>4</v>
      </c>
      <c r="Y25" s="79">
        <v>4</v>
      </c>
      <c r="Z25" s="92">
        <v>0</v>
      </c>
      <c r="AA25" s="85">
        <v>70</v>
      </c>
      <c r="AB25" s="92">
        <v>0</v>
      </c>
      <c r="AC25" s="92">
        <v>0</v>
      </c>
      <c r="AD25" s="79">
        <f>AA25/Y25</f>
        <v>17.5</v>
      </c>
      <c r="AE25" s="1">
        <v>5</v>
      </c>
      <c r="AF25" s="3" t="s">
        <v>29</v>
      </c>
      <c r="AG25" s="6">
        <v>6</v>
      </c>
      <c r="AH25" s="79">
        <v>10</v>
      </c>
      <c r="AI25" s="79">
        <v>2</v>
      </c>
      <c r="AJ25" s="92">
        <v>0</v>
      </c>
      <c r="AK25" s="85">
        <v>15</v>
      </c>
      <c r="AL25" s="92">
        <v>0</v>
      </c>
      <c r="AM25" s="92">
        <v>0</v>
      </c>
      <c r="AN25" s="79">
        <v>0</v>
      </c>
      <c r="AO25" s="1">
        <v>5</v>
      </c>
      <c r="AP25" s="3" t="s">
        <v>29</v>
      </c>
      <c r="AQ25" s="6">
        <v>14</v>
      </c>
      <c r="AR25" s="79">
        <v>6</v>
      </c>
      <c r="AS25" s="79">
        <v>5</v>
      </c>
      <c r="AT25" s="92">
        <v>0</v>
      </c>
      <c r="AU25" s="85">
        <v>80</v>
      </c>
      <c r="AV25" s="92">
        <v>0</v>
      </c>
      <c r="AW25" s="92">
        <v>0</v>
      </c>
      <c r="AX25" s="79">
        <f>AU25/AS25</f>
        <v>16</v>
      </c>
      <c r="AY25" s="1">
        <v>5</v>
      </c>
      <c r="AZ25" s="3" t="s">
        <v>29</v>
      </c>
      <c r="BA25" s="6">
        <v>15</v>
      </c>
      <c r="BB25" s="79">
        <v>12</v>
      </c>
      <c r="BC25" s="79">
        <v>15</v>
      </c>
      <c r="BD25" s="92">
        <v>0</v>
      </c>
      <c r="BE25" s="203">
        <v>130</v>
      </c>
      <c r="BF25" s="92">
        <v>0</v>
      </c>
      <c r="BG25" s="92">
        <v>0</v>
      </c>
      <c r="BH25" s="79">
        <f>BE25/BC25</f>
        <v>8.6666666666666661</v>
      </c>
      <c r="BI25" s="1">
        <v>5</v>
      </c>
      <c r="BJ25" s="3" t="s">
        <v>29</v>
      </c>
      <c r="BK25" s="6">
        <v>23</v>
      </c>
      <c r="BL25" s="79">
        <v>37</v>
      </c>
      <c r="BM25" s="79">
        <v>8</v>
      </c>
      <c r="BN25" s="79"/>
      <c r="BO25" s="79">
        <v>243</v>
      </c>
      <c r="BP25" s="40"/>
      <c r="BQ25" s="40"/>
      <c r="BR25" s="79">
        <f t="shared" si="0"/>
        <v>30.375</v>
      </c>
      <c r="BS25" s="1">
        <v>5</v>
      </c>
      <c r="BT25" s="3" t="s">
        <v>29</v>
      </c>
      <c r="BU25" s="6">
        <v>52</v>
      </c>
      <c r="BV25" s="79">
        <v>28</v>
      </c>
      <c r="BW25" s="79">
        <v>13</v>
      </c>
      <c r="BX25" s="79">
        <v>1</v>
      </c>
      <c r="BY25" s="40">
        <v>150</v>
      </c>
      <c r="BZ25" s="79"/>
      <c r="CA25" s="79"/>
      <c r="CB25" s="79">
        <f>BY25/BW25</f>
        <v>11.538461538461538</v>
      </c>
      <c r="CC25" s="1">
        <v>5</v>
      </c>
      <c r="CD25" s="3" t="s">
        <v>29</v>
      </c>
      <c r="CE25" s="6">
        <v>66</v>
      </c>
      <c r="CF25" s="6">
        <v>15</v>
      </c>
      <c r="CG25" s="6">
        <v>35</v>
      </c>
      <c r="CH25" s="6">
        <v>0</v>
      </c>
      <c r="CI25" s="6">
        <v>1220</v>
      </c>
      <c r="CJ25" s="79"/>
      <c r="CK25" s="79"/>
      <c r="CL25" s="79">
        <f t="shared" si="2"/>
        <v>34.857142857142854</v>
      </c>
      <c r="CM25" s="1">
        <v>5</v>
      </c>
      <c r="CN25" s="3" t="s">
        <v>29</v>
      </c>
      <c r="CO25" s="6">
        <v>46</v>
      </c>
      <c r="CP25" s="79">
        <v>11</v>
      </c>
      <c r="CQ25" s="79">
        <v>29</v>
      </c>
      <c r="CR25" s="79"/>
      <c r="CS25" s="79">
        <v>401</v>
      </c>
      <c r="CT25" s="79"/>
      <c r="CU25" s="79"/>
      <c r="CV25" s="79">
        <f t="shared" si="20"/>
        <v>13.827586206896552</v>
      </c>
      <c r="CW25" s="1">
        <v>5</v>
      </c>
      <c r="CX25" s="3" t="s">
        <v>29</v>
      </c>
      <c r="CY25" s="6">
        <v>28</v>
      </c>
      <c r="CZ25" s="79">
        <v>6</v>
      </c>
      <c r="DA25" s="79">
        <v>11</v>
      </c>
      <c r="DB25" s="79"/>
      <c r="DC25" s="40">
        <v>265</v>
      </c>
      <c r="DD25" s="79"/>
      <c r="DE25" s="79"/>
      <c r="DF25" s="79">
        <f t="shared" si="3"/>
        <v>24.09090909090909</v>
      </c>
      <c r="DG25" s="1">
        <v>5</v>
      </c>
      <c r="DH25" s="3" t="s">
        <v>29</v>
      </c>
      <c r="DI25" s="6">
        <v>23</v>
      </c>
      <c r="DJ25" s="79">
        <v>14</v>
      </c>
      <c r="DK25" s="79">
        <v>14</v>
      </c>
      <c r="DL25" s="79"/>
      <c r="DM25" s="40">
        <v>330</v>
      </c>
      <c r="DN25" s="79"/>
      <c r="DO25" s="79"/>
      <c r="DP25" s="79">
        <f t="shared" si="4"/>
        <v>23.571428571428573</v>
      </c>
      <c r="DQ25" s="1">
        <v>5</v>
      </c>
      <c r="DR25" s="3" t="s">
        <v>29</v>
      </c>
      <c r="DS25" s="6">
        <f t="shared" si="5"/>
        <v>320</v>
      </c>
      <c r="DT25" s="79">
        <f t="shared" si="8"/>
        <v>154</v>
      </c>
      <c r="DU25" s="79">
        <f t="shared" si="6"/>
        <v>158</v>
      </c>
      <c r="DV25" s="40">
        <v>0</v>
      </c>
      <c r="DW25" s="79">
        <f>SUM(G25+Q25+AA25+AK25+AU25+BE25+BO25+BY25+CI25+CS25+DC25+DM25)</f>
        <v>3586.7</v>
      </c>
      <c r="DX25" s="40">
        <v>0</v>
      </c>
      <c r="DY25" s="40">
        <v>0</v>
      </c>
      <c r="DZ25" s="79">
        <f>DW25/DU25</f>
        <v>22.700632911392404</v>
      </c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</row>
    <row r="26" spans="1:144" x14ac:dyDescent="0.3">
      <c r="A26" s="1">
        <v>6</v>
      </c>
      <c r="B26" s="3" t="s">
        <v>30</v>
      </c>
      <c r="C26" s="6">
        <v>4</v>
      </c>
      <c r="D26" s="79">
        <v>1</v>
      </c>
      <c r="E26" s="79">
        <v>2</v>
      </c>
      <c r="F26" s="92">
        <v>0</v>
      </c>
      <c r="G26" s="85">
        <v>40</v>
      </c>
      <c r="H26" s="79">
        <v>0</v>
      </c>
      <c r="I26" s="79">
        <v>0</v>
      </c>
      <c r="J26" s="79">
        <v>0</v>
      </c>
      <c r="K26" s="1">
        <v>6</v>
      </c>
      <c r="L26" s="3" t="s">
        <v>30</v>
      </c>
      <c r="M26" s="6">
        <v>3</v>
      </c>
      <c r="N26" s="79">
        <v>1</v>
      </c>
      <c r="O26" s="79">
        <v>2</v>
      </c>
      <c r="P26" s="92">
        <v>0</v>
      </c>
      <c r="Q26" s="85">
        <v>40</v>
      </c>
      <c r="R26" s="79">
        <v>0</v>
      </c>
      <c r="S26" s="79">
        <v>0</v>
      </c>
      <c r="T26" s="79">
        <v>0</v>
      </c>
      <c r="U26" s="1">
        <v>6</v>
      </c>
      <c r="V26" s="3" t="s">
        <v>30</v>
      </c>
      <c r="W26" s="6">
        <v>2</v>
      </c>
      <c r="X26" s="79">
        <v>1</v>
      </c>
      <c r="Y26" s="79">
        <v>1</v>
      </c>
      <c r="Z26" s="92">
        <v>0</v>
      </c>
      <c r="AA26" s="85">
        <v>20</v>
      </c>
      <c r="AB26" s="79">
        <v>0</v>
      </c>
      <c r="AC26" s="79">
        <v>0</v>
      </c>
      <c r="AD26" s="79">
        <v>0</v>
      </c>
      <c r="AE26" s="1">
        <v>6</v>
      </c>
      <c r="AF26" s="3" t="s">
        <v>30</v>
      </c>
      <c r="AG26" s="6">
        <v>2</v>
      </c>
      <c r="AH26" s="79">
        <v>3</v>
      </c>
      <c r="AI26" s="79">
        <v>1</v>
      </c>
      <c r="AJ26" s="92">
        <v>0</v>
      </c>
      <c r="AK26" s="85">
        <v>20</v>
      </c>
      <c r="AL26" s="92">
        <v>0</v>
      </c>
      <c r="AM26" s="92">
        <v>0</v>
      </c>
      <c r="AN26" s="79">
        <v>0</v>
      </c>
      <c r="AO26" s="1">
        <v>6</v>
      </c>
      <c r="AP26" s="3" t="s">
        <v>30</v>
      </c>
      <c r="AQ26" s="6">
        <v>4</v>
      </c>
      <c r="AR26" s="79">
        <v>3</v>
      </c>
      <c r="AS26" s="79">
        <v>0</v>
      </c>
      <c r="AT26" s="92">
        <v>0</v>
      </c>
      <c r="AU26" s="85">
        <v>0</v>
      </c>
      <c r="AV26" s="92">
        <v>0</v>
      </c>
      <c r="AW26" s="92">
        <v>0</v>
      </c>
      <c r="AX26" s="79">
        <v>0</v>
      </c>
      <c r="AY26" s="1">
        <v>6</v>
      </c>
      <c r="AZ26" s="3" t="s">
        <v>30</v>
      </c>
      <c r="BA26" s="6">
        <v>7</v>
      </c>
      <c r="BB26" s="79">
        <v>3</v>
      </c>
      <c r="BC26" s="79">
        <v>7</v>
      </c>
      <c r="BD26" s="92">
        <v>0</v>
      </c>
      <c r="BE26" s="203">
        <v>75</v>
      </c>
      <c r="BF26" s="79">
        <v>0</v>
      </c>
      <c r="BG26" s="79">
        <v>0</v>
      </c>
      <c r="BH26" s="79">
        <v>0</v>
      </c>
      <c r="BI26" s="1">
        <v>6</v>
      </c>
      <c r="BJ26" s="3" t="s">
        <v>30</v>
      </c>
      <c r="BK26" s="6">
        <v>6</v>
      </c>
      <c r="BL26" s="79">
        <v>6</v>
      </c>
      <c r="BM26" s="79">
        <v>3</v>
      </c>
      <c r="BN26" s="79"/>
      <c r="BO26" s="79">
        <v>50</v>
      </c>
      <c r="BP26" s="40"/>
      <c r="BQ26" s="40"/>
      <c r="BR26" s="79">
        <f t="shared" si="0"/>
        <v>16.666666666666668</v>
      </c>
      <c r="BS26" s="1">
        <v>6</v>
      </c>
      <c r="BT26" s="3" t="s">
        <v>30</v>
      </c>
      <c r="BU26" s="6">
        <v>9</v>
      </c>
      <c r="BV26" s="79">
        <v>5</v>
      </c>
      <c r="BW26" s="79">
        <v>3</v>
      </c>
      <c r="BX26" s="79"/>
      <c r="BY26" s="40">
        <v>400</v>
      </c>
      <c r="BZ26" s="79"/>
      <c r="CA26" s="79"/>
      <c r="CB26" s="79">
        <f>BY26/BW26</f>
        <v>133.33333333333334</v>
      </c>
      <c r="CC26" s="1">
        <v>6</v>
      </c>
      <c r="CD26" s="3" t="s">
        <v>30</v>
      </c>
      <c r="CE26" s="6">
        <v>11</v>
      </c>
      <c r="CF26" s="6">
        <v>6</v>
      </c>
      <c r="CG26" s="6">
        <v>3</v>
      </c>
      <c r="CH26" s="6">
        <v>0</v>
      </c>
      <c r="CI26" s="6">
        <v>50</v>
      </c>
      <c r="CJ26" s="79"/>
      <c r="CK26" s="79"/>
      <c r="CL26" s="79">
        <f t="shared" si="2"/>
        <v>16.666666666666668</v>
      </c>
      <c r="CM26" s="1">
        <v>6</v>
      </c>
      <c r="CN26" s="3" t="s">
        <v>30</v>
      </c>
      <c r="CO26" s="6">
        <v>14</v>
      </c>
      <c r="CP26" s="79">
        <v>7</v>
      </c>
      <c r="CQ26" s="79">
        <v>4</v>
      </c>
      <c r="CR26" s="79"/>
      <c r="CS26" s="79">
        <v>55</v>
      </c>
      <c r="CT26" s="79"/>
      <c r="CU26" s="79"/>
      <c r="CV26" s="79">
        <f t="shared" si="20"/>
        <v>13.75</v>
      </c>
      <c r="CW26" s="1">
        <v>6</v>
      </c>
      <c r="CX26" s="3" t="s">
        <v>30</v>
      </c>
      <c r="CY26" s="6">
        <v>17</v>
      </c>
      <c r="CZ26" s="79">
        <v>1</v>
      </c>
      <c r="DA26" s="79">
        <v>5</v>
      </c>
      <c r="DB26" s="79"/>
      <c r="DC26" s="40">
        <v>80</v>
      </c>
      <c r="DD26" s="79"/>
      <c r="DE26" s="79"/>
      <c r="DF26" s="79">
        <f t="shared" si="3"/>
        <v>16</v>
      </c>
      <c r="DG26" s="1">
        <v>6</v>
      </c>
      <c r="DH26" s="3" t="s">
        <v>30</v>
      </c>
      <c r="DI26" s="6">
        <v>13</v>
      </c>
      <c r="DJ26" s="79">
        <v>6</v>
      </c>
      <c r="DK26" s="79">
        <v>12</v>
      </c>
      <c r="DL26" s="79"/>
      <c r="DM26" s="40">
        <v>114</v>
      </c>
      <c r="DN26" s="79"/>
      <c r="DO26" s="79"/>
      <c r="DP26" s="79">
        <f t="shared" si="4"/>
        <v>9.5</v>
      </c>
      <c r="DQ26" s="1">
        <v>6</v>
      </c>
      <c r="DR26" s="3" t="s">
        <v>30</v>
      </c>
      <c r="DS26" s="6">
        <f t="shared" si="5"/>
        <v>92</v>
      </c>
      <c r="DT26" s="79">
        <f t="shared" si="8"/>
        <v>47</v>
      </c>
      <c r="DU26" s="79">
        <f t="shared" si="6"/>
        <v>43</v>
      </c>
      <c r="DV26" s="40">
        <v>0</v>
      </c>
      <c r="DW26" s="79">
        <f>SUM(G26+Q26+AA26+AK26+AU26+BE26+BO26+BY26+CI26+CS26+DC26+DM26)</f>
        <v>944</v>
      </c>
      <c r="DX26" s="40">
        <v>0</v>
      </c>
      <c r="DY26" s="40">
        <v>0</v>
      </c>
      <c r="DZ26" s="79">
        <v>0</v>
      </c>
    </row>
    <row r="27" spans="1:144" x14ac:dyDescent="0.3">
      <c r="A27" s="1">
        <v>7</v>
      </c>
      <c r="B27" s="3" t="s">
        <v>31</v>
      </c>
      <c r="C27" s="6">
        <v>10</v>
      </c>
      <c r="D27" s="79">
        <v>5</v>
      </c>
      <c r="E27" s="79">
        <v>7</v>
      </c>
      <c r="F27" s="92">
        <v>0</v>
      </c>
      <c r="G27" s="85">
        <v>36</v>
      </c>
      <c r="H27" s="79">
        <v>0</v>
      </c>
      <c r="I27" s="79">
        <v>0</v>
      </c>
      <c r="J27" s="79">
        <f>G27/E27</f>
        <v>5.1428571428571432</v>
      </c>
      <c r="K27" s="1">
        <v>7</v>
      </c>
      <c r="L27" s="3" t="s">
        <v>31</v>
      </c>
      <c r="M27" s="6">
        <v>8</v>
      </c>
      <c r="N27" s="79">
        <v>5</v>
      </c>
      <c r="O27" s="79">
        <v>4</v>
      </c>
      <c r="P27" s="92">
        <v>0</v>
      </c>
      <c r="Q27" s="85">
        <v>11.6</v>
      </c>
      <c r="R27" s="79">
        <v>0</v>
      </c>
      <c r="S27" s="79">
        <v>0</v>
      </c>
      <c r="T27" s="79">
        <f>Q27/O27</f>
        <v>2.9</v>
      </c>
      <c r="U27" s="1">
        <v>7</v>
      </c>
      <c r="V27" s="3" t="s">
        <v>31</v>
      </c>
      <c r="W27" s="6">
        <v>9</v>
      </c>
      <c r="X27" s="79">
        <v>4</v>
      </c>
      <c r="Y27" s="79">
        <v>3</v>
      </c>
      <c r="Z27" s="92">
        <v>0</v>
      </c>
      <c r="AA27" s="85">
        <v>16.600000000000001</v>
      </c>
      <c r="AB27" s="92">
        <v>0</v>
      </c>
      <c r="AC27" s="92">
        <v>0</v>
      </c>
      <c r="AD27" s="79">
        <f>AA27/Y27</f>
        <v>5.5333333333333341</v>
      </c>
      <c r="AE27" s="1">
        <v>7</v>
      </c>
      <c r="AF27" s="3" t="s">
        <v>31</v>
      </c>
      <c r="AG27" s="6">
        <v>10</v>
      </c>
      <c r="AH27" s="79">
        <v>7</v>
      </c>
      <c r="AI27" s="79">
        <v>7</v>
      </c>
      <c r="AJ27" s="92">
        <v>0</v>
      </c>
      <c r="AK27" s="85">
        <v>19.899999999999999</v>
      </c>
      <c r="AL27" s="92">
        <v>0</v>
      </c>
      <c r="AM27" s="92">
        <v>0</v>
      </c>
      <c r="AN27" s="79">
        <f>AK27/AI27</f>
        <v>2.8428571428571425</v>
      </c>
      <c r="AO27" s="1">
        <v>7</v>
      </c>
      <c r="AP27" s="3" t="s">
        <v>31</v>
      </c>
      <c r="AQ27" s="6">
        <v>10</v>
      </c>
      <c r="AR27" s="79">
        <v>5</v>
      </c>
      <c r="AS27" s="79">
        <v>3</v>
      </c>
      <c r="AT27" s="92">
        <v>0</v>
      </c>
      <c r="AU27" s="85">
        <v>49.5</v>
      </c>
      <c r="AV27" s="92">
        <v>0</v>
      </c>
      <c r="AW27" s="92">
        <v>0</v>
      </c>
      <c r="AX27" s="79">
        <f>AU27/AS27</f>
        <v>16.5</v>
      </c>
      <c r="AY27" s="1">
        <v>7</v>
      </c>
      <c r="AZ27" s="3" t="s">
        <v>31</v>
      </c>
      <c r="BA27" s="6">
        <v>12</v>
      </c>
      <c r="BB27" s="79">
        <v>7</v>
      </c>
      <c r="BC27" s="79">
        <v>12</v>
      </c>
      <c r="BD27" s="92">
        <v>0</v>
      </c>
      <c r="BE27" s="203">
        <v>54</v>
      </c>
      <c r="BF27" s="92">
        <v>0</v>
      </c>
      <c r="BG27" s="92">
        <v>0</v>
      </c>
      <c r="BH27" s="79">
        <f>BE27/BC27</f>
        <v>4.5</v>
      </c>
      <c r="BI27" s="1">
        <v>7</v>
      </c>
      <c r="BJ27" s="3" t="s">
        <v>31</v>
      </c>
      <c r="BK27" s="6">
        <v>12</v>
      </c>
      <c r="BL27" s="79">
        <v>8</v>
      </c>
      <c r="BM27" s="79">
        <v>5</v>
      </c>
      <c r="BN27" s="79"/>
      <c r="BO27" s="79">
        <v>55</v>
      </c>
      <c r="BP27" s="40"/>
      <c r="BQ27" s="40"/>
      <c r="BR27" s="79">
        <f t="shared" si="0"/>
        <v>11</v>
      </c>
      <c r="BS27" s="1">
        <v>7</v>
      </c>
      <c r="BT27" s="3" t="s">
        <v>31</v>
      </c>
      <c r="BU27" s="6">
        <v>15</v>
      </c>
      <c r="BV27" s="79">
        <v>5</v>
      </c>
      <c r="BW27" s="79">
        <v>8</v>
      </c>
      <c r="BX27" s="79"/>
      <c r="BY27" s="40">
        <v>75</v>
      </c>
      <c r="BZ27" s="79"/>
      <c r="CA27" s="79"/>
      <c r="CB27" s="79">
        <f>BY27/BW27</f>
        <v>9.375</v>
      </c>
      <c r="CC27" s="1">
        <v>7</v>
      </c>
      <c r="CD27" s="3" t="s">
        <v>31</v>
      </c>
      <c r="CE27" s="6">
        <v>12</v>
      </c>
      <c r="CF27" s="6">
        <v>4</v>
      </c>
      <c r="CG27" s="6">
        <v>8</v>
      </c>
      <c r="CH27" s="6">
        <v>0</v>
      </c>
      <c r="CI27" s="6">
        <v>89</v>
      </c>
      <c r="CJ27" s="79"/>
      <c r="CK27" s="79"/>
      <c r="CL27" s="79">
        <f t="shared" si="2"/>
        <v>11.125</v>
      </c>
      <c r="CM27" s="1">
        <v>7</v>
      </c>
      <c r="CN27" s="3" t="s">
        <v>31</v>
      </c>
      <c r="CO27" s="6">
        <v>8</v>
      </c>
      <c r="CP27" s="79">
        <v>9</v>
      </c>
      <c r="CQ27" s="79">
        <v>4</v>
      </c>
      <c r="CR27" s="79"/>
      <c r="CS27" s="79">
        <v>32.6</v>
      </c>
      <c r="CT27" s="79"/>
      <c r="CU27" s="79"/>
      <c r="CV27" s="79">
        <f t="shared" si="20"/>
        <v>8.15</v>
      </c>
      <c r="CW27" s="1">
        <v>7</v>
      </c>
      <c r="CX27" s="3" t="s">
        <v>31</v>
      </c>
      <c r="CY27" s="6">
        <v>13</v>
      </c>
      <c r="CZ27" s="79">
        <v>7</v>
      </c>
      <c r="DA27" s="79">
        <v>8</v>
      </c>
      <c r="DB27" s="79"/>
      <c r="DC27" s="40">
        <v>79</v>
      </c>
      <c r="DD27" s="79"/>
      <c r="DE27" s="79"/>
      <c r="DF27" s="79">
        <f t="shared" si="3"/>
        <v>9.875</v>
      </c>
      <c r="DG27" s="1">
        <v>7</v>
      </c>
      <c r="DH27" s="3" t="s">
        <v>31</v>
      </c>
      <c r="DI27" s="6">
        <v>12</v>
      </c>
      <c r="DJ27" s="79">
        <v>7</v>
      </c>
      <c r="DK27" s="79">
        <v>10</v>
      </c>
      <c r="DL27" s="79"/>
      <c r="DM27" s="40">
        <v>89</v>
      </c>
      <c r="DN27" s="79"/>
      <c r="DO27" s="79"/>
      <c r="DP27" s="79">
        <f t="shared" si="4"/>
        <v>8.9</v>
      </c>
      <c r="DQ27" s="1">
        <v>7</v>
      </c>
      <c r="DR27" s="3" t="s">
        <v>31</v>
      </c>
      <c r="DS27" s="6">
        <f t="shared" si="5"/>
        <v>131</v>
      </c>
      <c r="DT27" s="79">
        <f t="shared" si="8"/>
        <v>74</v>
      </c>
      <c r="DU27" s="79">
        <f t="shared" si="6"/>
        <v>79</v>
      </c>
      <c r="DV27" s="40">
        <v>0</v>
      </c>
      <c r="DW27" s="79">
        <f>SUM(G27+Q27+AA27+AK27+AU27+BE27+BO27+BY27+CI27+CS27+DC27+DM27)</f>
        <v>607.20000000000005</v>
      </c>
      <c r="DX27" s="40">
        <v>0</v>
      </c>
      <c r="DY27" s="40">
        <v>0</v>
      </c>
      <c r="DZ27" s="79">
        <f>DW27/DU27</f>
        <v>7.6860759493670896</v>
      </c>
    </row>
    <row r="28" spans="1:144" x14ac:dyDescent="0.3">
      <c r="A28" s="1">
        <v>8</v>
      </c>
      <c r="B28" s="3" t="s">
        <v>32</v>
      </c>
      <c r="C28" s="6">
        <v>3</v>
      </c>
      <c r="D28" s="79">
        <v>1</v>
      </c>
      <c r="E28" s="79">
        <v>0</v>
      </c>
      <c r="F28" s="92">
        <v>0</v>
      </c>
      <c r="G28" s="85">
        <v>0</v>
      </c>
      <c r="H28" s="79">
        <v>0</v>
      </c>
      <c r="I28" s="79">
        <v>0</v>
      </c>
      <c r="J28" s="79">
        <v>0</v>
      </c>
      <c r="K28" s="1">
        <v>8</v>
      </c>
      <c r="L28" s="3" t="s">
        <v>32</v>
      </c>
      <c r="M28" s="6">
        <v>4</v>
      </c>
      <c r="N28" s="79">
        <v>0</v>
      </c>
      <c r="O28" s="79">
        <v>3</v>
      </c>
      <c r="P28" s="92">
        <v>0</v>
      </c>
      <c r="Q28" s="85">
        <v>90</v>
      </c>
      <c r="R28" s="79">
        <v>0</v>
      </c>
      <c r="S28" s="79">
        <v>0</v>
      </c>
      <c r="T28" s="79">
        <f>Q28/O28</f>
        <v>30</v>
      </c>
      <c r="U28" s="1">
        <v>8</v>
      </c>
      <c r="V28" s="3" t="s">
        <v>32</v>
      </c>
      <c r="W28" s="6">
        <v>1</v>
      </c>
      <c r="X28" s="79">
        <v>0</v>
      </c>
      <c r="Y28" s="79">
        <v>1</v>
      </c>
      <c r="Z28" s="92">
        <v>0</v>
      </c>
      <c r="AA28" s="85">
        <v>15</v>
      </c>
      <c r="AB28" s="79">
        <v>0</v>
      </c>
      <c r="AC28" s="79">
        <v>0</v>
      </c>
      <c r="AD28" s="79">
        <f>AA28/Y28</f>
        <v>15</v>
      </c>
      <c r="AE28" s="1">
        <v>8</v>
      </c>
      <c r="AF28" s="3" t="s">
        <v>32</v>
      </c>
      <c r="AG28" s="6">
        <v>0</v>
      </c>
      <c r="AH28" s="79">
        <v>2</v>
      </c>
      <c r="AI28" s="79">
        <v>0</v>
      </c>
      <c r="AJ28" s="92">
        <v>0</v>
      </c>
      <c r="AK28" s="85">
        <v>0</v>
      </c>
      <c r="AL28" s="92">
        <v>0</v>
      </c>
      <c r="AM28" s="92">
        <v>0</v>
      </c>
      <c r="AN28" s="79">
        <v>0</v>
      </c>
      <c r="AO28" s="1">
        <v>8</v>
      </c>
      <c r="AP28" s="3" t="s">
        <v>32</v>
      </c>
      <c r="AQ28" s="6">
        <v>2</v>
      </c>
      <c r="AR28" s="79">
        <v>3</v>
      </c>
      <c r="AS28" s="79">
        <v>0</v>
      </c>
      <c r="AT28" s="92">
        <v>0</v>
      </c>
      <c r="AU28" s="85">
        <v>0</v>
      </c>
      <c r="AV28" s="92">
        <v>0</v>
      </c>
      <c r="AW28" s="92">
        <v>0</v>
      </c>
      <c r="AX28" s="79">
        <v>0</v>
      </c>
      <c r="AY28" s="1">
        <v>8</v>
      </c>
      <c r="AZ28" s="3" t="s">
        <v>32</v>
      </c>
      <c r="BA28" s="6">
        <v>5</v>
      </c>
      <c r="BB28" s="79">
        <v>3</v>
      </c>
      <c r="BC28" s="79">
        <v>5</v>
      </c>
      <c r="BD28" s="92">
        <v>0</v>
      </c>
      <c r="BE28" s="203">
        <v>35</v>
      </c>
      <c r="BF28" s="79">
        <v>0</v>
      </c>
      <c r="BG28" s="79">
        <v>0</v>
      </c>
      <c r="BH28" s="79">
        <f>BE28/BC28</f>
        <v>7</v>
      </c>
      <c r="BI28" s="1">
        <v>8</v>
      </c>
      <c r="BJ28" s="3" t="s">
        <v>32</v>
      </c>
      <c r="BK28" s="6">
        <v>6</v>
      </c>
      <c r="BL28" s="79">
        <v>1</v>
      </c>
      <c r="BM28" s="79">
        <v>2</v>
      </c>
      <c r="BN28" s="79"/>
      <c r="BO28" s="79">
        <v>40</v>
      </c>
      <c r="BP28" s="40"/>
      <c r="BQ28" s="40"/>
      <c r="BR28" s="79">
        <f t="shared" si="0"/>
        <v>20</v>
      </c>
      <c r="BS28" s="1">
        <v>8</v>
      </c>
      <c r="BT28" s="3" t="s">
        <v>32</v>
      </c>
      <c r="BU28" s="6">
        <v>5</v>
      </c>
      <c r="BV28" s="79">
        <v>3</v>
      </c>
      <c r="BW28" s="79">
        <v>2</v>
      </c>
      <c r="BX28" s="79"/>
      <c r="BY28" s="40">
        <v>250</v>
      </c>
      <c r="BZ28" s="79"/>
      <c r="CA28" s="79"/>
      <c r="CB28" s="79">
        <f>BY28/BW28</f>
        <v>125</v>
      </c>
      <c r="CC28" s="1">
        <v>8</v>
      </c>
      <c r="CD28" s="3" t="s">
        <v>32</v>
      </c>
      <c r="CE28" s="6">
        <v>6</v>
      </c>
      <c r="CF28" s="6">
        <v>6</v>
      </c>
      <c r="CG28" s="6">
        <v>2</v>
      </c>
      <c r="CH28" s="6">
        <v>0</v>
      </c>
      <c r="CI28" s="6">
        <v>40</v>
      </c>
      <c r="CJ28" s="79"/>
      <c r="CK28" s="79"/>
      <c r="CL28" s="79">
        <f t="shared" si="2"/>
        <v>20</v>
      </c>
      <c r="CM28" s="1">
        <v>8</v>
      </c>
      <c r="CN28" s="3" t="s">
        <v>32</v>
      </c>
      <c r="CO28" s="6">
        <v>10</v>
      </c>
      <c r="CP28" s="79">
        <v>1</v>
      </c>
      <c r="CQ28" s="79">
        <v>4</v>
      </c>
      <c r="CR28" s="79"/>
      <c r="CS28" s="79">
        <v>50</v>
      </c>
      <c r="CT28" s="79"/>
      <c r="CU28" s="79"/>
      <c r="CV28" s="79">
        <f t="shared" si="20"/>
        <v>12.5</v>
      </c>
      <c r="CW28" s="1">
        <v>8</v>
      </c>
      <c r="CX28" s="3" t="s">
        <v>32</v>
      </c>
      <c r="CY28" s="6">
        <v>7</v>
      </c>
      <c r="CZ28" s="149">
        <v>1</v>
      </c>
      <c r="DA28" s="149">
        <v>3</v>
      </c>
      <c r="DB28" s="149"/>
      <c r="DC28" s="196">
        <v>45</v>
      </c>
      <c r="DD28" s="149"/>
      <c r="DE28" s="149"/>
      <c r="DF28" s="79">
        <f t="shared" si="3"/>
        <v>15</v>
      </c>
      <c r="DG28" s="1">
        <v>8</v>
      </c>
      <c r="DH28" s="3" t="s">
        <v>32</v>
      </c>
      <c r="DI28" s="6">
        <v>5</v>
      </c>
      <c r="DJ28" s="79">
        <v>1</v>
      </c>
      <c r="DK28" s="79">
        <v>4</v>
      </c>
      <c r="DL28" s="79"/>
      <c r="DM28" s="40">
        <v>80</v>
      </c>
      <c r="DN28" s="79"/>
      <c r="DO28" s="79"/>
      <c r="DP28" s="79">
        <f t="shared" si="4"/>
        <v>20</v>
      </c>
      <c r="DQ28" s="1">
        <v>8</v>
      </c>
      <c r="DR28" s="3" t="s">
        <v>32</v>
      </c>
      <c r="DS28" s="6">
        <f t="shared" si="5"/>
        <v>54</v>
      </c>
      <c r="DT28" s="79">
        <f t="shared" si="8"/>
        <v>24</v>
      </c>
      <c r="DU28" s="79">
        <f t="shared" si="6"/>
        <v>26</v>
      </c>
      <c r="DV28" s="40">
        <v>0</v>
      </c>
      <c r="DW28" s="79">
        <f>SUM(G28+Q28+AA28+AK28+AU28+BE28+BO28+BY28+CI28+CS28+DC28+DM28)</f>
        <v>645</v>
      </c>
      <c r="DX28" s="40">
        <v>0</v>
      </c>
      <c r="DY28" s="40">
        <v>0</v>
      </c>
      <c r="DZ28" s="79">
        <f>DW28/DU28</f>
        <v>24.807692307692307</v>
      </c>
    </row>
    <row r="29" spans="1:144" ht="31.5" customHeight="1" x14ac:dyDescent="0.3">
      <c r="A29" s="211" t="s">
        <v>3</v>
      </c>
      <c r="B29" s="211" t="s">
        <v>2</v>
      </c>
      <c r="C29" s="121" t="s">
        <v>217</v>
      </c>
      <c r="D29" s="63" t="s">
        <v>210</v>
      </c>
      <c r="E29" s="82" t="s">
        <v>0</v>
      </c>
      <c r="F29" s="63" t="s">
        <v>5</v>
      </c>
      <c r="G29" s="9" t="s">
        <v>1</v>
      </c>
      <c r="H29" s="215" t="s">
        <v>4</v>
      </c>
      <c r="I29" s="216"/>
      <c r="J29" s="82" t="s">
        <v>125</v>
      </c>
      <c r="K29" s="211" t="s">
        <v>3</v>
      </c>
      <c r="L29" s="211" t="s">
        <v>2</v>
      </c>
      <c r="M29" s="121" t="s">
        <v>217</v>
      </c>
      <c r="N29" s="63" t="s">
        <v>210</v>
      </c>
      <c r="O29" s="82" t="s">
        <v>0</v>
      </c>
      <c r="P29" s="63" t="s">
        <v>5</v>
      </c>
      <c r="Q29" s="9" t="s">
        <v>1</v>
      </c>
      <c r="R29" s="215" t="s">
        <v>4</v>
      </c>
      <c r="S29" s="216"/>
      <c r="T29" s="82" t="s">
        <v>125</v>
      </c>
      <c r="U29" s="211" t="s">
        <v>3</v>
      </c>
      <c r="V29" s="211" t="s">
        <v>2</v>
      </c>
      <c r="W29" s="121" t="s">
        <v>217</v>
      </c>
      <c r="X29" s="63" t="s">
        <v>210</v>
      </c>
      <c r="Y29" s="82" t="s">
        <v>0</v>
      </c>
      <c r="Z29" s="63" t="s">
        <v>5</v>
      </c>
      <c r="AA29" s="9" t="s">
        <v>1</v>
      </c>
      <c r="AB29" s="215" t="s">
        <v>4</v>
      </c>
      <c r="AC29" s="216"/>
      <c r="AD29" s="82" t="s">
        <v>125</v>
      </c>
      <c r="AE29" s="211" t="s">
        <v>3</v>
      </c>
      <c r="AF29" s="211" t="s">
        <v>2</v>
      </c>
      <c r="AG29" s="121" t="s">
        <v>217</v>
      </c>
      <c r="AH29" s="63" t="s">
        <v>210</v>
      </c>
      <c r="AI29" s="82" t="s">
        <v>0</v>
      </c>
      <c r="AJ29" s="63" t="s">
        <v>5</v>
      </c>
      <c r="AK29" s="9" t="s">
        <v>1</v>
      </c>
      <c r="AL29" s="215" t="s">
        <v>4</v>
      </c>
      <c r="AM29" s="216"/>
      <c r="AN29" s="82" t="s">
        <v>125</v>
      </c>
      <c r="AO29" s="211" t="s">
        <v>3</v>
      </c>
      <c r="AP29" s="211" t="s">
        <v>2</v>
      </c>
      <c r="AQ29" s="121" t="s">
        <v>217</v>
      </c>
      <c r="AR29" s="63" t="s">
        <v>210</v>
      </c>
      <c r="AS29" s="82" t="s">
        <v>0</v>
      </c>
      <c r="AT29" s="63" t="s">
        <v>5</v>
      </c>
      <c r="AU29" s="9" t="s">
        <v>1</v>
      </c>
      <c r="AV29" s="215" t="s">
        <v>4</v>
      </c>
      <c r="AW29" s="216"/>
      <c r="AX29" s="82" t="s">
        <v>125</v>
      </c>
      <c r="AY29" s="211" t="s">
        <v>3</v>
      </c>
      <c r="AZ29" s="211" t="s">
        <v>2</v>
      </c>
      <c r="BA29" s="121" t="s">
        <v>217</v>
      </c>
      <c r="BB29" s="63" t="s">
        <v>210</v>
      </c>
      <c r="BC29" s="82" t="s">
        <v>0</v>
      </c>
      <c r="BD29" s="63" t="s">
        <v>5</v>
      </c>
      <c r="BE29" s="9" t="s">
        <v>1</v>
      </c>
      <c r="BF29" s="215" t="s">
        <v>4</v>
      </c>
      <c r="BG29" s="216"/>
      <c r="BH29" s="82" t="s">
        <v>125</v>
      </c>
      <c r="BI29" s="211" t="s">
        <v>3</v>
      </c>
      <c r="BJ29" s="211" t="s">
        <v>2</v>
      </c>
      <c r="BK29" s="121" t="s">
        <v>217</v>
      </c>
      <c r="BL29" s="63" t="s">
        <v>210</v>
      </c>
      <c r="BM29" s="82" t="s">
        <v>0</v>
      </c>
      <c r="BN29" s="63" t="s">
        <v>5</v>
      </c>
      <c r="BO29" s="9" t="s">
        <v>1</v>
      </c>
      <c r="BP29" s="215" t="s">
        <v>4</v>
      </c>
      <c r="BQ29" s="216"/>
      <c r="BR29" s="82" t="s">
        <v>125</v>
      </c>
      <c r="BS29" s="211" t="s">
        <v>3</v>
      </c>
      <c r="BT29" s="211" t="s">
        <v>2</v>
      </c>
      <c r="BU29" s="121" t="s">
        <v>217</v>
      </c>
      <c r="BV29" s="63" t="s">
        <v>210</v>
      </c>
      <c r="BW29" s="82" t="s">
        <v>0</v>
      </c>
      <c r="BX29" s="63" t="s">
        <v>5</v>
      </c>
      <c r="BY29" s="9" t="s">
        <v>1</v>
      </c>
      <c r="BZ29" s="215" t="s">
        <v>4</v>
      </c>
      <c r="CA29" s="216"/>
      <c r="CB29" s="82" t="s">
        <v>125</v>
      </c>
      <c r="CC29" s="211" t="s">
        <v>3</v>
      </c>
      <c r="CD29" s="211" t="s">
        <v>2</v>
      </c>
      <c r="CE29" s="131" t="s">
        <v>217</v>
      </c>
      <c r="CF29" s="132" t="s">
        <v>210</v>
      </c>
      <c r="CG29" s="133" t="s">
        <v>0</v>
      </c>
      <c r="CH29" s="132" t="s">
        <v>5</v>
      </c>
      <c r="CI29" s="134" t="s">
        <v>1</v>
      </c>
      <c r="CJ29" s="227" t="s">
        <v>4</v>
      </c>
      <c r="CK29" s="228"/>
      <c r="CL29" s="82" t="s">
        <v>125</v>
      </c>
      <c r="CM29" s="211" t="s">
        <v>3</v>
      </c>
      <c r="CN29" s="211" t="s">
        <v>2</v>
      </c>
      <c r="CO29" s="121" t="s">
        <v>217</v>
      </c>
      <c r="CP29" s="63" t="s">
        <v>210</v>
      </c>
      <c r="CQ29" s="82" t="s">
        <v>0</v>
      </c>
      <c r="CR29" s="63" t="s">
        <v>5</v>
      </c>
      <c r="CS29" s="9" t="s">
        <v>1</v>
      </c>
      <c r="CT29" s="215" t="s">
        <v>4</v>
      </c>
      <c r="CU29" s="216"/>
      <c r="CV29" s="82" t="s">
        <v>125</v>
      </c>
      <c r="CW29" s="211" t="s">
        <v>3</v>
      </c>
      <c r="CX29" s="211" t="s">
        <v>2</v>
      </c>
      <c r="CY29" s="121" t="s">
        <v>217</v>
      </c>
      <c r="CZ29" s="63" t="s">
        <v>210</v>
      </c>
      <c r="DA29" s="82" t="s">
        <v>0</v>
      </c>
      <c r="DB29" s="63" t="s">
        <v>5</v>
      </c>
      <c r="DC29" s="9" t="s">
        <v>1</v>
      </c>
      <c r="DD29" s="215" t="s">
        <v>4</v>
      </c>
      <c r="DE29" s="216"/>
      <c r="DF29" s="82" t="s">
        <v>125</v>
      </c>
      <c r="DG29" s="211" t="s">
        <v>3</v>
      </c>
      <c r="DH29" s="211" t="s">
        <v>2</v>
      </c>
      <c r="DI29" s="121" t="s">
        <v>217</v>
      </c>
      <c r="DJ29" s="63" t="s">
        <v>210</v>
      </c>
      <c r="DK29" s="82" t="s">
        <v>0</v>
      </c>
      <c r="DL29" s="63" t="s">
        <v>5</v>
      </c>
      <c r="DM29" s="9" t="s">
        <v>1</v>
      </c>
      <c r="DN29" s="215" t="s">
        <v>4</v>
      </c>
      <c r="DO29" s="216"/>
      <c r="DP29" s="82" t="s">
        <v>125</v>
      </c>
      <c r="DQ29" s="211" t="s">
        <v>3</v>
      </c>
      <c r="DR29" s="211" t="s">
        <v>2</v>
      </c>
      <c r="DS29" s="121" t="s">
        <v>217</v>
      </c>
      <c r="DT29" s="63" t="s">
        <v>210</v>
      </c>
      <c r="DU29" s="82" t="s">
        <v>0</v>
      </c>
      <c r="DV29" s="63" t="s">
        <v>5</v>
      </c>
      <c r="DW29" s="9" t="s">
        <v>1</v>
      </c>
      <c r="DX29" s="215" t="s">
        <v>4</v>
      </c>
      <c r="DY29" s="216"/>
      <c r="DZ29" s="82" t="s">
        <v>125</v>
      </c>
    </row>
    <row r="30" spans="1:144" ht="15" customHeight="1" x14ac:dyDescent="0.3">
      <c r="A30" s="212"/>
      <c r="B30" s="212"/>
      <c r="C30" s="82" t="s">
        <v>7</v>
      </c>
      <c r="D30" s="82" t="s">
        <v>7</v>
      </c>
      <c r="E30" s="82" t="s">
        <v>7</v>
      </c>
      <c r="F30" s="63" t="s">
        <v>10</v>
      </c>
      <c r="G30" s="9" t="s">
        <v>6</v>
      </c>
      <c r="H30" s="63" t="s">
        <v>8</v>
      </c>
      <c r="I30" s="63" t="s">
        <v>9</v>
      </c>
      <c r="J30" s="93" t="s">
        <v>128</v>
      </c>
      <c r="K30" s="212"/>
      <c r="L30" s="212"/>
      <c r="M30" s="82" t="s">
        <v>7</v>
      </c>
      <c r="N30" s="82" t="s">
        <v>7</v>
      </c>
      <c r="O30" s="82" t="s">
        <v>7</v>
      </c>
      <c r="P30" s="63" t="s">
        <v>10</v>
      </c>
      <c r="Q30" s="9" t="s">
        <v>6</v>
      </c>
      <c r="R30" s="63" t="s">
        <v>8</v>
      </c>
      <c r="S30" s="63" t="s">
        <v>9</v>
      </c>
      <c r="T30" s="93" t="s">
        <v>128</v>
      </c>
      <c r="U30" s="212"/>
      <c r="V30" s="212"/>
      <c r="W30" s="82" t="s">
        <v>7</v>
      </c>
      <c r="X30" s="82" t="s">
        <v>7</v>
      </c>
      <c r="Y30" s="82" t="s">
        <v>7</v>
      </c>
      <c r="Z30" s="63" t="s">
        <v>10</v>
      </c>
      <c r="AA30" s="9" t="s">
        <v>6</v>
      </c>
      <c r="AB30" s="63" t="s">
        <v>8</v>
      </c>
      <c r="AC30" s="63" t="s">
        <v>9</v>
      </c>
      <c r="AD30" s="93" t="s">
        <v>128</v>
      </c>
      <c r="AE30" s="212"/>
      <c r="AF30" s="212"/>
      <c r="AG30" s="82" t="s">
        <v>7</v>
      </c>
      <c r="AH30" s="82" t="s">
        <v>7</v>
      </c>
      <c r="AI30" s="82" t="s">
        <v>7</v>
      </c>
      <c r="AJ30" s="63" t="s">
        <v>10</v>
      </c>
      <c r="AK30" s="9" t="s">
        <v>6</v>
      </c>
      <c r="AL30" s="63" t="s">
        <v>8</v>
      </c>
      <c r="AM30" s="63" t="s">
        <v>9</v>
      </c>
      <c r="AN30" s="93" t="s">
        <v>128</v>
      </c>
      <c r="AO30" s="212"/>
      <c r="AP30" s="212"/>
      <c r="AQ30" s="82" t="s">
        <v>7</v>
      </c>
      <c r="AR30" s="82" t="s">
        <v>7</v>
      </c>
      <c r="AS30" s="82" t="s">
        <v>7</v>
      </c>
      <c r="AT30" s="63" t="s">
        <v>10</v>
      </c>
      <c r="AU30" s="9" t="s">
        <v>6</v>
      </c>
      <c r="AV30" s="63" t="s">
        <v>8</v>
      </c>
      <c r="AW30" s="63" t="s">
        <v>9</v>
      </c>
      <c r="AX30" s="93" t="s">
        <v>128</v>
      </c>
      <c r="AY30" s="212"/>
      <c r="AZ30" s="212"/>
      <c r="BA30" s="82" t="s">
        <v>7</v>
      </c>
      <c r="BB30" s="82" t="s">
        <v>7</v>
      </c>
      <c r="BC30" s="82" t="s">
        <v>7</v>
      </c>
      <c r="BD30" s="63" t="s">
        <v>10</v>
      </c>
      <c r="BE30" s="9" t="s">
        <v>6</v>
      </c>
      <c r="BF30" s="63" t="s">
        <v>8</v>
      </c>
      <c r="BG30" s="63" t="s">
        <v>9</v>
      </c>
      <c r="BH30" s="93" t="s">
        <v>128</v>
      </c>
      <c r="BI30" s="212"/>
      <c r="BJ30" s="212"/>
      <c r="BK30" s="82" t="s">
        <v>7</v>
      </c>
      <c r="BL30" s="82" t="s">
        <v>7</v>
      </c>
      <c r="BM30" s="82" t="s">
        <v>7</v>
      </c>
      <c r="BN30" s="63" t="s">
        <v>10</v>
      </c>
      <c r="BO30" s="9" t="s">
        <v>6</v>
      </c>
      <c r="BP30" s="63" t="s">
        <v>8</v>
      </c>
      <c r="BQ30" s="63" t="s">
        <v>9</v>
      </c>
      <c r="BR30" s="93" t="s">
        <v>128</v>
      </c>
      <c r="BS30" s="212"/>
      <c r="BT30" s="212"/>
      <c r="BU30" s="82" t="s">
        <v>7</v>
      </c>
      <c r="BV30" s="82" t="s">
        <v>7</v>
      </c>
      <c r="BW30" s="82" t="s">
        <v>7</v>
      </c>
      <c r="BX30" s="63" t="s">
        <v>10</v>
      </c>
      <c r="BY30" s="9" t="s">
        <v>6</v>
      </c>
      <c r="BZ30" s="63" t="s">
        <v>8</v>
      </c>
      <c r="CA30" s="63" t="s">
        <v>9</v>
      </c>
      <c r="CB30" s="93" t="s">
        <v>128</v>
      </c>
      <c r="CC30" s="212"/>
      <c r="CD30" s="212"/>
      <c r="CE30" s="133" t="s">
        <v>7</v>
      </c>
      <c r="CF30" s="133" t="s">
        <v>7</v>
      </c>
      <c r="CG30" s="133" t="s">
        <v>7</v>
      </c>
      <c r="CH30" s="132" t="s">
        <v>10</v>
      </c>
      <c r="CI30" s="134" t="s">
        <v>6</v>
      </c>
      <c r="CJ30" s="132" t="s">
        <v>8</v>
      </c>
      <c r="CK30" s="132" t="s">
        <v>9</v>
      </c>
      <c r="CL30" s="93" t="s">
        <v>128</v>
      </c>
      <c r="CM30" s="212"/>
      <c r="CN30" s="212"/>
      <c r="CO30" s="82" t="s">
        <v>7</v>
      </c>
      <c r="CP30" s="82" t="s">
        <v>7</v>
      </c>
      <c r="CQ30" s="82" t="s">
        <v>7</v>
      </c>
      <c r="CR30" s="63" t="s">
        <v>10</v>
      </c>
      <c r="CS30" s="9" t="s">
        <v>6</v>
      </c>
      <c r="CT30" s="63" t="s">
        <v>8</v>
      </c>
      <c r="CU30" s="63" t="s">
        <v>9</v>
      </c>
      <c r="CV30" s="93" t="s">
        <v>128</v>
      </c>
      <c r="CW30" s="212"/>
      <c r="CX30" s="212"/>
      <c r="CY30" s="82" t="s">
        <v>7</v>
      </c>
      <c r="CZ30" s="82" t="s">
        <v>7</v>
      </c>
      <c r="DA30" s="82" t="s">
        <v>7</v>
      </c>
      <c r="DB30" s="63" t="s">
        <v>10</v>
      </c>
      <c r="DC30" s="9" t="s">
        <v>6</v>
      </c>
      <c r="DD30" s="63" t="s">
        <v>8</v>
      </c>
      <c r="DE30" s="63" t="s">
        <v>9</v>
      </c>
      <c r="DF30" s="93" t="s">
        <v>128</v>
      </c>
      <c r="DG30" s="212"/>
      <c r="DH30" s="212"/>
      <c r="DI30" s="82" t="s">
        <v>7</v>
      </c>
      <c r="DJ30" s="82" t="s">
        <v>7</v>
      </c>
      <c r="DK30" s="82" t="s">
        <v>7</v>
      </c>
      <c r="DL30" s="63" t="s">
        <v>10</v>
      </c>
      <c r="DM30" s="9" t="s">
        <v>6</v>
      </c>
      <c r="DN30" s="63" t="s">
        <v>8</v>
      </c>
      <c r="DO30" s="63" t="s">
        <v>9</v>
      </c>
      <c r="DP30" s="93" t="s">
        <v>128</v>
      </c>
      <c r="DQ30" s="212"/>
      <c r="DR30" s="212"/>
      <c r="DS30" s="82" t="s">
        <v>7</v>
      </c>
      <c r="DT30" s="82" t="s">
        <v>7</v>
      </c>
      <c r="DU30" s="82" t="s">
        <v>7</v>
      </c>
      <c r="DV30" s="63" t="s">
        <v>10</v>
      </c>
      <c r="DW30" s="9" t="s">
        <v>6</v>
      </c>
      <c r="DX30" s="63" t="s">
        <v>8</v>
      </c>
      <c r="DY30" s="63" t="s">
        <v>9</v>
      </c>
      <c r="DZ30" s="93" t="s">
        <v>128</v>
      </c>
    </row>
    <row r="31" spans="1:144" s="19" customFormat="1" ht="9" customHeight="1" x14ac:dyDescent="0.2">
      <c r="A31" s="99">
        <v>1</v>
      </c>
      <c r="B31" s="100">
        <v>2</v>
      </c>
      <c r="C31" s="100"/>
      <c r="D31" s="99">
        <v>3</v>
      </c>
      <c r="E31" s="99">
        <v>4</v>
      </c>
      <c r="F31" s="99">
        <v>5</v>
      </c>
      <c r="G31" s="99"/>
      <c r="H31" s="99">
        <v>6</v>
      </c>
      <c r="I31" s="99">
        <v>7</v>
      </c>
      <c r="J31" s="99">
        <v>8</v>
      </c>
      <c r="K31" s="99">
        <v>1</v>
      </c>
      <c r="L31" s="100">
        <v>2</v>
      </c>
      <c r="M31" s="100"/>
      <c r="N31" s="99">
        <v>3</v>
      </c>
      <c r="O31" s="99">
        <v>4</v>
      </c>
      <c r="P31" s="99">
        <v>5</v>
      </c>
      <c r="Q31" s="99"/>
      <c r="R31" s="99">
        <v>6</v>
      </c>
      <c r="S31" s="99">
        <v>7</v>
      </c>
      <c r="T31" s="99">
        <v>8</v>
      </c>
      <c r="U31" s="99">
        <v>1</v>
      </c>
      <c r="V31" s="100">
        <v>2</v>
      </c>
      <c r="W31" s="100"/>
      <c r="X31" s="99">
        <v>3</v>
      </c>
      <c r="Y31" s="99">
        <v>4</v>
      </c>
      <c r="Z31" s="99">
        <v>5</v>
      </c>
      <c r="AA31" s="99"/>
      <c r="AB31" s="99">
        <v>6</v>
      </c>
      <c r="AC31" s="99">
        <v>7</v>
      </c>
      <c r="AD31" s="99">
        <v>8</v>
      </c>
      <c r="AE31" s="99">
        <v>1</v>
      </c>
      <c r="AF31" s="100">
        <v>2</v>
      </c>
      <c r="AG31" s="100"/>
      <c r="AH31" s="99">
        <v>3</v>
      </c>
      <c r="AI31" s="99">
        <v>4</v>
      </c>
      <c r="AJ31" s="99">
        <v>5</v>
      </c>
      <c r="AK31" s="99"/>
      <c r="AL31" s="99">
        <v>6</v>
      </c>
      <c r="AM31" s="99">
        <v>7</v>
      </c>
      <c r="AN31" s="99">
        <v>8</v>
      </c>
      <c r="AO31" s="99">
        <v>1</v>
      </c>
      <c r="AP31" s="100">
        <v>2</v>
      </c>
      <c r="AQ31" s="100"/>
      <c r="AR31" s="99">
        <v>3</v>
      </c>
      <c r="AS31" s="99">
        <v>4</v>
      </c>
      <c r="AT31" s="99">
        <v>5</v>
      </c>
      <c r="AU31" s="99"/>
      <c r="AV31" s="99">
        <v>6</v>
      </c>
      <c r="AW31" s="99">
        <v>7</v>
      </c>
      <c r="AX31" s="99">
        <v>8</v>
      </c>
      <c r="AY31" s="99">
        <v>1</v>
      </c>
      <c r="AZ31" s="100">
        <v>2</v>
      </c>
      <c r="BA31" s="100"/>
      <c r="BB31" s="99">
        <v>3</v>
      </c>
      <c r="BC31" s="99">
        <v>4</v>
      </c>
      <c r="BD31" s="99">
        <v>5</v>
      </c>
      <c r="BE31" s="195"/>
      <c r="BF31" s="99">
        <v>6</v>
      </c>
      <c r="BG31" s="99">
        <v>7</v>
      </c>
      <c r="BH31" s="99">
        <v>8</v>
      </c>
      <c r="BI31" s="99">
        <v>1</v>
      </c>
      <c r="BJ31" s="100">
        <v>2</v>
      </c>
      <c r="BK31" s="100"/>
      <c r="BL31" s="99">
        <v>3</v>
      </c>
      <c r="BM31" s="99">
        <v>4</v>
      </c>
      <c r="BN31" s="99">
        <v>5</v>
      </c>
      <c r="BO31" s="99"/>
      <c r="BP31" s="99">
        <v>6</v>
      </c>
      <c r="BQ31" s="99">
        <v>7</v>
      </c>
      <c r="BR31" s="99">
        <v>8</v>
      </c>
      <c r="BS31" s="99">
        <v>1</v>
      </c>
      <c r="BT31" s="100">
        <v>2</v>
      </c>
      <c r="BU31" s="100"/>
      <c r="BV31" s="99">
        <v>3</v>
      </c>
      <c r="BW31" s="99">
        <v>4</v>
      </c>
      <c r="BX31" s="99">
        <v>5</v>
      </c>
      <c r="BY31" s="195"/>
      <c r="BZ31" s="99">
        <v>6</v>
      </c>
      <c r="CA31" s="99">
        <v>7</v>
      </c>
      <c r="CB31" s="99">
        <v>8</v>
      </c>
      <c r="CC31" s="99">
        <v>1</v>
      </c>
      <c r="CD31" s="100">
        <v>2</v>
      </c>
      <c r="CE31" s="100"/>
      <c r="CF31" s="99">
        <v>3</v>
      </c>
      <c r="CG31" s="99">
        <v>4</v>
      </c>
      <c r="CH31" s="99">
        <v>5</v>
      </c>
      <c r="CI31" s="99"/>
      <c r="CJ31" s="99">
        <v>6</v>
      </c>
      <c r="CK31" s="99">
        <v>7</v>
      </c>
      <c r="CL31" s="99">
        <v>8</v>
      </c>
      <c r="CM31" s="99">
        <v>1</v>
      </c>
      <c r="CN31" s="100">
        <v>2</v>
      </c>
      <c r="CO31" s="100"/>
      <c r="CP31" s="99">
        <v>3</v>
      </c>
      <c r="CQ31" s="99">
        <v>4</v>
      </c>
      <c r="CR31" s="99">
        <v>5</v>
      </c>
      <c r="CS31" s="99"/>
      <c r="CT31" s="99">
        <v>6</v>
      </c>
      <c r="CU31" s="99">
        <v>7</v>
      </c>
      <c r="CV31" s="99">
        <v>8</v>
      </c>
      <c r="CW31" s="99">
        <v>1</v>
      </c>
      <c r="CX31" s="100">
        <v>2</v>
      </c>
      <c r="CY31" s="100"/>
      <c r="CZ31" s="99">
        <v>3</v>
      </c>
      <c r="DA31" s="99">
        <v>4</v>
      </c>
      <c r="DB31" s="99">
        <v>5</v>
      </c>
      <c r="DC31" s="195"/>
      <c r="DD31" s="99">
        <v>6</v>
      </c>
      <c r="DE31" s="99">
        <v>7</v>
      </c>
      <c r="DF31" s="99">
        <v>8</v>
      </c>
      <c r="DG31" s="99">
        <v>1</v>
      </c>
      <c r="DH31" s="100">
        <v>2</v>
      </c>
      <c r="DI31" s="100"/>
      <c r="DJ31" s="99">
        <v>3</v>
      </c>
      <c r="DK31" s="99">
        <v>4</v>
      </c>
      <c r="DL31" s="99">
        <v>5</v>
      </c>
      <c r="DM31" s="195"/>
      <c r="DN31" s="99">
        <v>6</v>
      </c>
      <c r="DO31" s="99">
        <v>7</v>
      </c>
      <c r="DP31" s="99">
        <v>8</v>
      </c>
      <c r="DQ31" s="99">
        <v>1</v>
      </c>
      <c r="DR31" s="100">
        <v>2</v>
      </c>
      <c r="DS31" s="100"/>
      <c r="DT31" s="99">
        <v>3</v>
      </c>
      <c r="DU31" s="99">
        <v>4</v>
      </c>
      <c r="DV31" s="99">
        <v>5</v>
      </c>
      <c r="DW31" s="99"/>
      <c r="DX31" s="99">
        <v>6</v>
      </c>
      <c r="DY31" s="99">
        <v>7</v>
      </c>
      <c r="DZ31" s="99">
        <v>8</v>
      </c>
    </row>
    <row r="32" spans="1:144" x14ac:dyDescent="0.3">
      <c r="A32" s="1">
        <v>9</v>
      </c>
      <c r="B32" s="3" t="s">
        <v>33</v>
      </c>
      <c r="C32" s="6">
        <v>0</v>
      </c>
      <c r="D32" s="79">
        <v>0</v>
      </c>
      <c r="E32" s="79">
        <v>0</v>
      </c>
      <c r="F32" s="79">
        <v>0</v>
      </c>
      <c r="G32" s="92">
        <v>0</v>
      </c>
      <c r="H32" s="79">
        <v>0</v>
      </c>
      <c r="I32" s="79">
        <v>0</v>
      </c>
      <c r="J32" s="79">
        <v>0</v>
      </c>
      <c r="K32" s="1">
        <v>9</v>
      </c>
      <c r="L32" s="3" t="s">
        <v>33</v>
      </c>
      <c r="M32" s="6">
        <v>0</v>
      </c>
      <c r="N32" s="79">
        <v>0</v>
      </c>
      <c r="O32" s="79">
        <v>0</v>
      </c>
      <c r="P32" s="79">
        <v>0</v>
      </c>
      <c r="Q32" s="92">
        <v>0</v>
      </c>
      <c r="R32" s="79">
        <v>0</v>
      </c>
      <c r="S32" s="79">
        <v>0</v>
      </c>
      <c r="T32" s="79">
        <v>0</v>
      </c>
      <c r="U32" s="1">
        <v>9</v>
      </c>
      <c r="V32" s="3" t="s">
        <v>33</v>
      </c>
      <c r="W32" s="6">
        <v>0</v>
      </c>
      <c r="X32" s="79">
        <v>0</v>
      </c>
      <c r="Y32" s="79">
        <v>0</v>
      </c>
      <c r="Z32" s="79">
        <v>0</v>
      </c>
      <c r="AA32" s="92">
        <v>0</v>
      </c>
      <c r="AB32" s="79">
        <v>0</v>
      </c>
      <c r="AC32" s="79">
        <v>0</v>
      </c>
      <c r="AD32" s="79">
        <v>0</v>
      </c>
      <c r="AE32" s="1">
        <v>9</v>
      </c>
      <c r="AF32" s="3" t="s">
        <v>33</v>
      </c>
      <c r="AG32" s="6">
        <v>0</v>
      </c>
      <c r="AH32" s="79">
        <v>0</v>
      </c>
      <c r="AI32" s="79">
        <v>0</v>
      </c>
      <c r="AJ32" s="79">
        <v>0</v>
      </c>
      <c r="AK32" s="92">
        <v>0</v>
      </c>
      <c r="AL32" s="79">
        <v>0</v>
      </c>
      <c r="AM32" s="79">
        <v>0</v>
      </c>
      <c r="AN32" s="79">
        <v>0</v>
      </c>
      <c r="AO32" s="1">
        <v>9</v>
      </c>
      <c r="AP32" s="3" t="s">
        <v>33</v>
      </c>
      <c r="AQ32" s="6">
        <v>0</v>
      </c>
      <c r="AR32" s="79">
        <v>0</v>
      </c>
      <c r="AS32" s="79">
        <v>0</v>
      </c>
      <c r="AT32" s="79">
        <v>0</v>
      </c>
      <c r="AU32" s="92">
        <v>0</v>
      </c>
      <c r="AV32" s="79">
        <v>0</v>
      </c>
      <c r="AW32" s="79">
        <v>0</v>
      </c>
      <c r="AX32" s="79">
        <v>0</v>
      </c>
      <c r="AY32" s="1">
        <v>9</v>
      </c>
      <c r="AZ32" s="3" t="s">
        <v>33</v>
      </c>
      <c r="BA32" s="6">
        <v>0</v>
      </c>
      <c r="BB32" s="79">
        <v>0</v>
      </c>
      <c r="BC32" s="79">
        <v>0</v>
      </c>
      <c r="BD32" s="79">
        <v>0</v>
      </c>
      <c r="BE32" s="197">
        <v>0</v>
      </c>
      <c r="BF32" s="79">
        <v>0</v>
      </c>
      <c r="BG32" s="79">
        <v>0</v>
      </c>
      <c r="BH32" s="79">
        <v>0</v>
      </c>
      <c r="BI32" s="1">
        <v>9</v>
      </c>
      <c r="BJ32" s="3" t="s">
        <v>33</v>
      </c>
      <c r="BK32" s="6">
        <v>0</v>
      </c>
      <c r="BL32" s="79">
        <v>0</v>
      </c>
      <c r="BM32" s="79">
        <v>0</v>
      </c>
      <c r="BN32" s="79"/>
      <c r="BO32" s="92">
        <v>0</v>
      </c>
      <c r="BP32" s="79"/>
      <c r="BQ32" s="79"/>
      <c r="BR32" s="79" t="e">
        <f>BO32/BM32</f>
        <v>#DIV/0!</v>
      </c>
      <c r="BS32" s="1">
        <v>9</v>
      </c>
      <c r="BT32" s="3" t="s">
        <v>33</v>
      </c>
      <c r="BU32" s="6">
        <v>0</v>
      </c>
      <c r="BV32" s="79">
        <v>0</v>
      </c>
      <c r="BW32" s="79">
        <v>0</v>
      </c>
      <c r="BX32" s="79"/>
      <c r="BY32" s="197">
        <v>0</v>
      </c>
      <c r="BZ32" s="79"/>
      <c r="CA32" s="79"/>
      <c r="CB32" s="79" t="e">
        <f>BY32/BW32</f>
        <v>#DIV/0!</v>
      </c>
      <c r="CC32" s="1">
        <v>9</v>
      </c>
      <c r="CD32" s="3" t="s">
        <v>33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79"/>
      <c r="CK32" s="79"/>
      <c r="CL32" s="79" t="e">
        <f>CI32/CG32</f>
        <v>#DIV/0!</v>
      </c>
      <c r="CM32" s="1">
        <v>9</v>
      </c>
      <c r="CN32" s="3" t="s">
        <v>33</v>
      </c>
      <c r="CO32" s="6">
        <v>0</v>
      </c>
      <c r="CP32" s="79">
        <v>0</v>
      </c>
      <c r="CQ32" s="79">
        <v>0</v>
      </c>
      <c r="CR32" s="79"/>
      <c r="CS32" s="92">
        <v>0</v>
      </c>
      <c r="CT32" s="79"/>
      <c r="CU32" s="79"/>
      <c r="CV32" s="79">
        <v>0</v>
      </c>
      <c r="CW32" s="1">
        <v>9</v>
      </c>
      <c r="CX32" s="3" t="s">
        <v>33</v>
      </c>
      <c r="CY32" s="6">
        <v>0</v>
      </c>
      <c r="CZ32" s="79">
        <v>0</v>
      </c>
      <c r="DA32" s="79">
        <v>0</v>
      </c>
      <c r="DB32" s="79">
        <v>0</v>
      </c>
      <c r="DC32" s="197">
        <v>0</v>
      </c>
      <c r="DD32" s="79"/>
      <c r="DE32" s="79"/>
      <c r="DF32" s="79" t="e">
        <f>DC32/DA32</f>
        <v>#DIV/0!</v>
      </c>
      <c r="DG32" s="1">
        <v>9</v>
      </c>
      <c r="DH32" s="3" t="s">
        <v>33</v>
      </c>
      <c r="DI32" s="6">
        <v>0</v>
      </c>
      <c r="DJ32" s="79">
        <v>0</v>
      </c>
      <c r="DK32" s="79">
        <v>0</v>
      </c>
      <c r="DL32" s="79"/>
      <c r="DM32" s="197">
        <v>0</v>
      </c>
      <c r="DN32" s="79"/>
      <c r="DO32" s="79"/>
      <c r="DP32" s="79" t="e">
        <f>DM32/DK32</f>
        <v>#DIV/0!</v>
      </c>
      <c r="DQ32" s="1">
        <v>9</v>
      </c>
      <c r="DR32" s="3" t="s">
        <v>33</v>
      </c>
      <c r="DS32" s="6">
        <f t="shared" ref="DS32:DS57" si="21">SUM(C32+M32+W32+AG32+AQ32+BA32+BK32+BU32+CE32+CO32+CY32+DI32)</f>
        <v>0</v>
      </c>
      <c r="DT32" s="79">
        <f t="shared" ref="DT32:DT57" si="22">SUM(D32+N32+X32+AH32+AR32+BB32+BL32+BV32+CF32+CP32+DA32+DJ32)</f>
        <v>0</v>
      </c>
      <c r="DU32" s="79">
        <f t="shared" ref="DU32:DU44" si="23">SUM(E32+O32+Y32+AI32+AS32+BC32+BM32+BW32+CG32+CQ32+DA32+DK32)</f>
        <v>0</v>
      </c>
      <c r="DV32" s="79">
        <v>0</v>
      </c>
      <c r="DW32" s="79">
        <f t="shared" ref="DW32:DW57" si="24">SUM(G32+Q32+AA32+AK32+AU32+BE32+BO32+BY32+CI32+CS32+DC32+DM32)</f>
        <v>0</v>
      </c>
      <c r="DX32" s="79">
        <v>0</v>
      </c>
      <c r="DY32" s="79">
        <v>0</v>
      </c>
      <c r="DZ32" s="79">
        <v>0</v>
      </c>
    </row>
    <row r="33" spans="1:130" x14ac:dyDescent="0.3">
      <c r="A33" s="1">
        <v>10</v>
      </c>
      <c r="B33" s="3" t="s">
        <v>34</v>
      </c>
      <c r="C33" s="6">
        <v>63</v>
      </c>
      <c r="D33" s="79">
        <v>13</v>
      </c>
      <c r="E33" s="79">
        <v>37</v>
      </c>
      <c r="F33" s="79">
        <v>0</v>
      </c>
      <c r="G33" s="92">
        <v>299.7</v>
      </c>
      <c r="H33" s="79">
        <v>0</v>
      </c>
      <c r="I33" s="79">
        <v>0</v>
      </c>
      <c r="J33" s="79">
        <f t="shared" ref="J33:J45" si="25">G33/E33</f>
        <v>8.1</v>
      </c>
      <c r="K33" s="1">
        <v>10</v>
      </c>
      <c r="L33" s="3" t="s">
        <v>34</v>
      </c>
      <c r="M33" s="6">
        <v>65</v>
      </c>
      <c r="N33" s="79">
        <v>9</v>
      </c>
      <c r="O33" s="79">
        <v>36</v>
      </c>
      <c r="P33" s="79">
        <v>0</v>
      </c>
      <c r="Q33" s="92">
        <v>196.6</v>
      </c>
      <c r="R33" s="79">
        <v>0</v>
      </c>
      <c r="S33" s="79">
        <v>0</v>
      </c>
      <c r="T33" s="79">
        <f t="shared" ref="T33:T40" si="26">Q33/O33</f>
        <v>5.4611111111111112</v>
      </c>
      <c r="U33" s="1">
        <v>10</v>
      </c>
      <c r="V33" s="3" t="s">
        <v>34</v>
      </c>
      <c r="W33" s="6">
        <v>62</v>
      </c>
      <c r="X33" s="79">
        <v>9</v>
      </c>
      <c r="Y33" s="79">
        <v>28</v>
      </c>
      <c r="Z33" s="79">
        <v>0</v>
      </c>
      <c r="AA33" s="92">
        <v>180.5</v>
      </c>
      <c r="AB33" s="79">
        <v>0</v>
      </c>
      <c r="AC33" s="79">
        <v>0</v>
      </c>
      <c r="AD33" s="79">
        <f t="shared" ref="AD33:AD44" si="27">AA33/Y33</f>
        <v>6.4464285714285712</v>
      </c>
      <c r="AE33" s="1">
        <v>10</v>
      </c>
      <c r="AF33" s="3" t="s">
        <v>34</v>
      </c>
      <c r="AG33" s="6">
        <v>56</v>
      </c>
      <c r="AH33" s="79">
        <v>12</v>
      </c>
      <c r="AI33" s="79">
        <v>43</v>
      </c>
      <c r="AJ33" s="79">
        <v>0</v>
      </c>
      <c r="AK33" s="92">
        <v>189.6</v>
      </c>
      <c r="AL33" s="79">
        <v>0</v>
      </c>
      <c r="AM33" s="79">
        <v>0</v>
      </c>
      <c r="AN33" s="79">
        <f>AK33/AI33</f>
        <v>4.409302325581395</v>
      </c>
      <c r="AO33" s="1">
        <v>10</v>
      </c>
      <c r="AP33" s="3" t="s">
        <v>34</v>
      </c>
      <c r="AQ33" s="6">
        <v>60</v>
      </c>
      <c r="AR33" s="79">
        <v>11</v>
      </c>
      <c r="AS33" s="79">
        <v>38</v>
      </c>
      <c r="AT33" s="79">
        <v>0</v>
      </c>
      <c r="AU33" s="92">
        <v>277.2</v>
      </c>
      <c r="AV33" s="79">
        <v>0</v>
      </c>
      <c r="AW33" s="79">
        <v>0</v>
      </c>
      <c r="AX33" s="79">
        <f t="shared" ref="AX33:AX40" si="28">AU33/AS33</f>
        <v>7.2947368421052632</v>
      </c>
      <c r="AY33" s="1">
        <v>10</v>
      </c>
      <c r="AZ33" s="3" t="s">
        <v>34</v>
      </c>
      <c r="BA33" s="6">
        <v>40</v>
      </c>
      <c r="BB33" s="79">
        <v>22</v>
      </c>
      <c r="BC33" s="79">
        <v>25</v>
      </c>
      <c r="BD33" s="79">
        <v>0</v>
      </c>
      <c r="BE33" s="197">
        <v>181.1</v>
      </c>
      <c r="BF33" s="79">
        <v>0</v>
      </c>
      <c r="BG33" s="79">
        <v>0</v>
      </c>
      <c r="BH33" s="79">
        <f t="shared" ref="BH33:BH40" si="29">BE33/BC33</f>
        <v>7.2439999999999998</v>
      </c>
      <c r="BI33" s="1">
        <v>10</v>
      </c>
      <c r="BJ33" s="3" t="s">
        <v>34</v>
      </c>
      <c r="BK33" s="6">
        <v>53</v>
      </c>
      <c r="BL33" s="79">
        <v>14</v>
      </c>
      <c r="BM33" s="79">
        <f>21+10</f>
        <v>31</v>
      </c>
      <c r="BN33" s="79"/>
      <c r="BO33" s="92">
        <v>255.5</v>
      </c>
      <c r="BP33" s="79"/>
      <c r="BQ33" s="79"/>
      <c r="BR33" s="79">
        <f t="shared" ref="BR33:BR57" si="30">BO33/BM33</f>
        <v>8.241935483870968</v>
      </c>
      <c r="BS33" s="1">
        <v>10</v>
      </c>
      <c r="BT33" s="3" t="s">
        <v>34</v>
      </c>
      <c r="BU33" s="6">
        <v>46</v>
      </c>
      <c r="BV33" s="79">
        <v>12</v>
      </c>
      <c r="BW33" s="79">
        <f>19+22</f>
        <v>41</v>
      </c>
      <c r="BX33" s="79"/>
      <c r="BY33" s="79">
        <v>292.60000000000002</v>
      </c>
      <c r="BZ33" s="79"/>
      <c r="CA33" s="79"/>
      <c r="CB33" s="79">
        <f t="shared" ref="CB33:CB57" si="31">BY33/BW33</f>
        <v>7.1365853658536587</v>
      </c>
      <c r="CC33" s="1">
        <v>10</v>
      </c>
      <c r="CD33" s="3" t="s">
        <v>34</v>
      </c>
      <c r="CE33" s="6">
        <v>39</v>
      </c>
      <c r="CF33" s="6">
        <v>15</v>
      </c>
      <c r="CG33" s="6">
        <f>15+17</f>
        <v>32</v>
      </c>
      <c r="CH33" s="6">
        <v>0</v>
      </c>
      <c r="CI33" s="6">
        <v>267.5</v>
      </c>
      <c r="CJ33" s="79"/>
      <c r="CK33" s="79"/>
      <c r="CL33" s="79">
        <f t="shared" ref="CL33:CL57" si="32">CI33/CG33</f>
        <v>8.359375</v>
      </c>
      <c r="CM33" s="1">
        <v>10</v>
      </c>
      <c r="CN33" s="3" t="s">
        <v>34</v>
      </c>
      <c r="CO33" s="6">
        <v>39</v>
      </c>
      <c r="CP33" s="79">
        <v>11</v>
      </c>
      <c r="CQ33" s="79">
        <f>12+15</f>
        <v>27</v>
      </c>
      <c r="CR33" s="79"/>
      <c r="CS33" s="92">
        <v>206</v>
      </c>
      <c r="CT33" s="79"/>
      <c r="CU33" s="79"/>
      <c r="CV33" s="79">
        <f t="shared" ref="CV33:CV40" si="33">CS33/CQ33</f>
        <v>7.6296296296296298</v>
      </c>
      <c r="CW33" s="1">
        <v>10</v>
      </c>
      <c r="CX33" s="3" t="s">
        <v>34</v>
      </c>
      <c r="CY33" s="6">
        <v>38</v>
      </c>
      <c r="CZ33" s="79">
        <v>6</v>
      </c>
      <c r="DA33" s="79">
        <f>9+20</f>
        <v>29</v>
      </c>
      <c r="DB33" s="79">
        <v>0</v>
      </c>
      <c r="DC33" s="197">
        <v>254</v>
      </c>
      <c r="DD33" s="79"/>
      <c r="DE33" s="79"/>
      <c r="DF33" s="79">
        <f t="shared" ref="DF33:DF57" si="34">DC33/DA33</f>
        <v>8.7586206896551726</v>
      </c>
      <c r="DG33" s="1">
        <v>10</v>
      </c>
      <c r="DH33" s="3" t="s">
        <v>34</v>
      </c>
      <c r="DI33" s="6">
        <v>35</v>
      </c>
      <c r="DJ33" s="79">
        <v>12</v>
      </c>
      <c r="DK33" s="79">
        <f>16+15</f>
        <v>31</v>
      </c>
      <c r="DL33" s="79"/>
      <c r="DM33" s="197">
        <v>248.5</v>
      </c>
      <c r="DN33" s="79"/>
      <c r="DO33" s="79"/>
      <c r="DP33" s="79">
        <f t="shared" ref="DP33:DP57" si="35">DM33/DK33</f>
        <v>8.0161290322580641</v>
      </c>
      <c r="DQ33" s="1">
        <v>10</v>
      </c>
      <c r="DR33" s="3" t="s">
        <v>34</v>
      </c>
      <c r="DS33" s="6">
        <f t="shared" si="21"/>
        <v>596</v>
      </c>
      <c r="DT33" s="79">
        <f t="shared" si="22"/>
        <v>169</v>
      </c>
      <c r="DU33" s="79">
        <f t="shared" si="23"/>
        <v>398</v>
      </c>
      <c r="DV33" s="79">
        <v>0</v>
      </c>
      <c r="DW33" s="79">
        <f t="shared" si="24"/>
        <v>2848.7999999999997</v>
      </c>
      <c r="DX33" s="79">
        <v>0</v>
      </c>
      <c r="DY33" s="79">
        <v>0</v>
      </c>
      <c r="DZ33" s="79">
        <f t="shared" ref="DZ33:DZ42" si="36">DW33/DU33</f>
        <v>7.1577889447236176</v>
      </c>
    </row>
    <row r="34" spans="1:130" x14ac:dyDescent="0.3">
      <c r="A34" s="1">
        <v>11</v>
      </c>
      <c r="B34" s="3" t="s">
        <v>35</v>
      </c>
      <c r="C34" s="6">
        <v>493</v>
      </c>
      <c r="D34" s="79">
        <v>41</v>
      </c>
      <c r="E34" s="79">
        <v>233</v>
      </c>
      <c r="F34" s="79">
        <v>0</v>
      </c>
      <c r="G34" s="92">
        <v>1365.2</v>
      </c>
      <c r="H34" s="79">
        <v>0</v>
      </c>
      <c r="I34" s="79">
        <v>0</v>
      </c>
      <c r="J34" s="79">
        <f t="shared" si="25"/>
        <v>5.8592274678111593</v>
      </c>
      <c r="K34" s="1">
        <v>11</v>
      </c>
      <c r="L34" s="3" t="s">
        <v>35</v>
      </c>
      <c r="M34" s="6">
        <v>493</v>
      </c>
      <c r="N34" s="79">
        <v>31</v>
      </c>
      <c r="O34" s="79">
        <v>349</v>
      </c>
      <c r="P34" s="79">
        <v>0</v>
      </c>
      <c r="Q34" s="92">
        <v>2256.9</v>
      </c>
      <c r="R34" s="79">
        <v>0</v>
      </c>
      <c r="S34" s="79">
        <v>0</v>
      </c>
      <c r="T34" s="79">
        <f t="shared" si="26"/>
        <v>6.4667621776504305</v>
      </c>
      <c r="U34" s="1">
        <v>11</v>
      </c>
      <c r="V34" s="3" t="s">
        <v>35</v>
      </c>
      <c r="W34" s="6">
        <v>360</v>
      </c>
      <c r="X34" s="79">
        <v>40</v>
      </c>
      <c r="Y34" s="79">
        <v>162</v>
      </c>
      <c r="Z34" s="79">
        <v>69</v>
      </c>
      <c r="AA34" s="92">
        <v>1538.7</v>
      </c>
      <c r="AB34" s="79">
        <v>0</v>
      </c>
      <c r="AC34" s="79">
        <v>0</v>
      </c>
      <c r="AD34" s="79">
        <f t="shared" si="27"/>
        <v>9.4981481481481485</v>
      </c>
      <c r="AE34" s="1">
        <v>11</v>
      </c>
      <c r="AF34" s="3" t="s">
        <v>35</v>
      </c>
      <c r="AG34" s="6">
        <v>270</v>
      </c>
      <c r="AH34" s="79">
        <v>56</v>
      </c>
      <c r="AI34" s="79">
        <v>182</v>
      </c>
      <c r="AJ34" s="79">
        <v>0</v>
      </c>
      <c r="AK34" s="92">
        <v>972.8</v>
      </c>
      <c r="AL34" s="79">
        <v>0</v>
      </c>
      <c r="AM34" s="79">
        <v>0</v>
      </c>
      <c r="AN34" s="79">
        <f t="shared" ref="AN34:AN44" si="37">AK34/AI34</f>
        <v>5.3450549450549447</v>
      </c>
      <c r="AO34" s="1">
        <v>11</v>
      </c>
      <c r="AP34" s="3" t="s">
        <v>35</v>
      </c>
      <c r="AQ34" s="6">
        <v>196</v>
      </c>
      <c r="AR34" s="79">
        <v>75</v>
      </c>
      <c r="AS34" s="79">
        <v>108</v>
      </c>
      <c r="AT34" s="79">
        <v>11</v>
      </c>
      <c r="AU34" s="92">
        <v>590.1</v>
      </c>
      <c r="AV34" s="79">
        <v>0</v>
      </c>
      <c r="AW34" s="79">
        <v>0</v>
      </c>
      <c r="AX34" s="79">
        <f>AU34/AS34</f>
        <v>5.4638888888888895</v>
      </c>
      <c r="AY34" s="1">
        <v>11</v>
      </c>
      <c r="AZ34" s="3" t="s">
        <v>35</v>
      </c>
      <c r="BA34" s="6">
        <v>172</v>
      </c>
      <c r="BB34" s="79">
        <v>95</v>
      </c>
      <c r="BC34" s="79">
        <v>91</v>
      </c>
      <c r="BD34" s="79">
        <v>0</v>
      </c>
      <c r="BE34" s="197">
        <v>473.6</v>
      </c>
      <c r="BF34" s="79">
        <v>0</v>
      </c>
      <c r="BG34" s="79">
        <v>0</v>
      </c>
      <c r="BH34" s="79">
        <f t="shared" si="29"/>
        <v>5.2043956043956046</v>
      </c>
      <c r="BI34" s="1">
        <v>11</v>
      </c>
      <c r="BJ34" s="3" t="s">
        <v>35</v>
      </c>
      <c r="BK34" s="6">
        <v>238</v>
      </c>
      <c r="BL34" s="79">
        <v>82</v>
      </c>
      <c r="BM34" s="79">
        <f>19+66</f>
        <v>85</v>
      </c>
      <c r="BN34" s="79"/>
      <c r="BO34" s="92">
        <v>419.4</v>
      </c>
      <c r="BP34" s="79"/>
      <c r="BQ34" s="79"/>
      <c r="BR34" s="79">
        <f t="shared" si="30"/>
        <v>4.9341176470588231</v>
      </c>
      <c r="BS34" s="1">
        <v>11</v>
      </c>
      <c r="BT34" s="3" t="s">
        <v>35</v>
      </c>
      <c r="BU34" s="6">
        <v>301</v>
      </c>
      <c r="BV34" s="79">
        <v>94</v>
      </c>
      <c r="BW34" s="79">
        <f>39+98</f>
        <v>137</v>
      </c>
      <c r="BX34" s="79"/>
      <c r="BY34" s="79">
        <v>566.6</v>
      </c>
      <c r="BZ34" s="79"/>
      <c r="CA34" s="79"/>
      <c r="CB34" s="79">
        <f t="shared" si="31"/>
        <v>4.1357664233576648</v>
      </c>
      <c r="CC34" s="1">
        <v>11</v>
      </c>
      <c r="CD34" s="3" t="s">
        <v>35</v>
      </c>
      <c r="CE34" s="6">
        <v>356</v>
      </c>
      <c r="CF34" s="6">
        <v>69</v>
      </c>
      <c r="CG34" s="6">
        <f>85+141</f>
        <v>226</v>
      </c>
      <c r="CH34" s="6">
        <v>0</v>
      </c>
      <c r="CI34" s="6">
        <v>961.2</v>
      </c>
      <c r="CJ34" s="79"/>
      <c r="CK34" s="79"/>
      <c r="CL34" s="79">
        <f t="shared" si="32"/>
        <v>4.2530973451327432</v>
      </c>
      <c r="CM34" s="1">
        <v>11</v>
      </c>
      <c r="CN34" s="3" t="s">
        <v>35</v>
      </c>
      <c r="CO34" s="6">
        <v>340</v>
      </c>
      <c r="CP34" s="79">
        <v>41</v>
      </c>
      <c r="CQ34" s="79">
        <f>115+129</f>
        <v>244</v>
      </c>
      <c r="CR34" s="79"/>
      <c r="CS34" s="92">
        <v>616.6</v>
      </c>
      <c r="CT34" s="79"/>
      <c r="CU34" s="79"/>
      <c r="CV34" s="79">
        <f t="shared" si="33"/>
        <v>2.527049180327869</v>
      </c>
      <c r="CW34" s="1">
        <v>11</v>
      </c>
      <c r="CX34" s="3" t="s">
        <v>35</v>
      </c>
      <c r="CY34" s="6">
        <v>266</v>
      </c>
      <c r="CZ34" s="79">
        <v>43</v>
      </c>
      <c r="DA34" s="79">
        <f>58+142</f>
        <v>200</v>
      </c>
      <c r="DB34" s="79">
        <v>2</v>
      </c>
      <c r="DC34" s="197">
        <v>712.5</v>
      </c>
      <c r="DD34" s="79"/>
      <c r="DE34" s="79"/>
      <c r="DF34" s="79">
        <f t="shared" si="34"/>
        <v>3.5625</v>
      </c>
      <c r="DG34" s="1">
        <v>11</v>
      </c>
      <c r="DH34" s="3" t="s">
        <v>35</v>
      </c>
      <c r="DI34" s="6">
        <v>251</v>
      </c>
      <c r="DJ34" s="79">
        <v>65</v>
      </c>
      <c r="DK34" s="79">
        <f>77+132</f>
        <v>209</v>
      </c>
      <c r="DL34" s="79"/>
      <c r="DM34" s="197">
        <v>783.7</v>
      </c>
      <c r="DN34" s="79"/>
      <c r="DO34" s="79"/>
      <c r="DP34" s="79">
        <f t="shared" si="35"/>
        <v>3.7497607655502394</v>
      </c>
      <c r="DQ34" s="1">
        <v>11</v>
      </c>
      <c r="DR34" s="3" t="s">
        <v>35</v>
      </c>
      <c r="DS34" s="6">
        <f t="shared" si="21"/>
        <v>3736</v>
      </c>
      <c r="DT34" s="79">
        <f t="shared" si="22"/>
        <v>889</v>
      </c>
      <c r="DU34" s="79">
        <f t="shared" si="23"/>
        <v>2226</v>
      </c>
      <c r="DV34" s="79">
        <v>0</v>
      </c>
      <c r="DW34" s="79">
        <f t="shared" si="24"/>
        <v>11257.300000000003</v>
      </c>
      <c r="DX34" s="79">
        <v>0</v>
      </c>
      <c r="DY34" s="79">
        <v>0</v>
      </c>
      <c r="DZ34" s="79">
        <f t="shared" si="36"/>
        <v>5.0571877807726882</v>
      </c>
    </row>
    <row r="35" spans="1:130" x14ac:dyDescent="0.3">
      <c r="A35" s="1">
        <v>12</v>
      </c>
      <c r="B35" s="3" t="s">
        <v>36</v>
      </c>
      <c r="C35" s="6">
        <v>2129</v>
      </c>
      <c r="D35" s="79">
        <v>1396</v>
      </c>
      <c r="E35" s="79">
        <v>2085</v>
      </c>
      <c r="F35" s="79">
        <v>0</v>
      </c>
      <c r="G35" s="92">
        <v>8105</v>
      </c>
      <c r="H35" s="79">
        <v>0</v>
      </c>
      <c r="I35" s="79">
        <v>0</v>
      </c>
      <c r="J35" s="79">
        <f t="shared" si="25"/>
        <v>3.8872901678657072</v>
      </c>
      <c r="K35" s="1">
        <v>12</v>
      </c>
      <c r="L35" s="3" t="s">
        <v>36</v>
      </c>
      <c r="M35" s="6">
        <v>2731</v>
      </c>
      <c r="N35" s="79">
        <v>5095</v>
      </c>
      <c r="O35" s="79">
        <v>1315</v>
      </c>
      <c r="P35" s="79">
        <v>0</v>
      </c>
      <c r="Q35" s="92">
        <v>2470.9</v>
      </c>
      <c r="R35" s="79">
        <v>0</v>
      </c>
      <c r="S35" s="79">
        <v>0</v>
      </c>
      <c r="T35" s="79">
        <f t="shared" si="26"/>
        <v>1.8790114068441066</v>
      </c>
      <c r="U35" s="1">
        <v>12</v>
      </c>
      <c r="V35" s="3" t="s">
        <v>36</v>
      </c>
      <c r="W35" s="6">
        <v>7157</v>
      </c>
      <c r="X35" s="79">
        <v>295</v>
      </c>
      <c r="Y35" s="79">
        <v>673</v>
      </c>
      <c r="Z35" s="79">
        <v>1</v>
      </c>
      <c r="AA35" s="92">
        <v>2111</v>
      </c>
      <c r="AB35" s="79">
        <v>0</v>
      </c>
      <c r="AC35" s="79">
        <v>0</v>
      </c>
      <c r="AD35" s="79">
        <f t="shared" si="27"/>
        <v>3.1367013372956909</v>
      </c>
      <c r="AE35" s="1">
        <v>12</v>
      </c>
      <c r="AF35" s="3" t="s">
        <v>36</v>
      </c>
      <c r="AG35" s="6">
        <v>7158</v>
      </c>
      <c r="AH35" s="79">
        <v>178</v>
      </c>
      <c r="AI35" s="79">
        <v>622</v>
      </c>
      <c r="AJ35" s="79">
        <v>0</v>
      </c>
      <c r="AK35" s="92">
        <v>5515.8</v>
      </c>
      <c r="AL35" s="79">
        <v>0</v>
      </c>
      <c r="AM35" s="79">
        <v>0</v>
      </c>
      <c r="AN35" s="79">
        <f t="shared" si="37"/>
        <v>8.8678456591639883</v>
      </c>
      <c r="AO35" s="1">
        <v>12</v>
      </c>
      <c r="AP35" s="3" t="s">
        <v>36</v>
      </c>
      <c r="AQ35" s="6">
        <v>7314</v>
      </c>
      <c r="AR35" s="79">
        <v>359</v>
      </c>
      <c r="AS35" s="79">
        <v>3235</v>
      </c>
      <c r="AT35" s="79">
        <v>0</v>
      </c>
      <c r="AU35" s="92">
        <v>30370.7</v>
      </c>
      <c r="AV35" s="79">
        <v>0</v>
      </c>
      <c r="AW35" s="79">
        <v>0</v>
      </c>
      <c r="AX35" s="79">
        <f t="shared" si="28"/>
        <v>9.3881607418856259</v>
      </c>
      <c r="AY35" s="1">
        <v>12</v>
      </c>
      <c r="AZ35" s="3" t="s">
        <v>36</v>
      </c>
      <c r="BA35" s="6">
        <v>7475</v>
      </c>
      <c r="BB35" s="79">
        <v>553</v>
      </c>
      <c r="BC35" s="79">
        <v>3903</v>
      </c>
      <c r="BD35" s="79"/>
      <c r="BE35" s="197">
        <v>37713</v>
      </c>
      <c r="BF35" s="79">
        <v>0</v>
      </c>
      <c r="BG35" s="79">
        <v>0</v>
      </c>
      <c r="BH35" s="79">
        <f t="shared" si="29"/>
        <v>9.6625672559569562</v>
      </c>
      <c r="BI35" s="1">
        <v>12</v>
      </c>
      <c r="BJ35" s="3" t="s">
        <v>36</v>
      </c>
      <c r="BK35" s="6">
        <v>8001</v>
      </c>
      <c r="BL35" s="79">
        <v>380</v>
      </c>
      <c r="BM35" s="79">
        <f>34+2794</f>
        <v>2828</v>
      </c>
      <c r="BN35" s="79">
        <v>3</v>
      </c>
      <c r="BO35" s="92">
        <v>27038.1</v>
      </c>
      <c r="BP35" s="79"/>
      <c r="BQ35" s="79"/>
      <c r="BR35" s="79">
        <f t="shared" si="30"/>
        <v>9.5608557284299849</v>
      </c>
      <c r="BS35" s="1">
        <v>12</v>
      </c>
      <c r="BT35" s="3" t="s">
        <v>36</v>
      </c>
      <c r="BU35" s="6">
        <v>8344</v>
      </c>
      <c r="BV35" s="79">
        <v>241</v>
      </c>
      <c r="BW35" s="79">
        <f>3531+2597</f>
        <v>6128</v>
      </c>
      <c r="BX35" s="79"/>
      <c r="BY35" s="79">
        <v>45011.5</v>
      </c>
      <c r="BZ35" s="79"/>
      <c r="CA35" s="79"/>
      <c r="CB35" s="79">
        <f t="shared" si="31"/>
        <v>7.3452186684073109</v>
      </c>
      <c r="CC35" s="1">
        <v>12</v>
      </c>
      <c r="CD35" s="3" t="s">
        <v>36</v>
      </c>
      <c r="CE35" s="6">
        <v>5054</v>
      </c>
      <c r="CF35" s="6">
        <v>111</v>
      </c>
      <c r="CG35" s="6">
        <f>2711+1325</f>
        <v>4036</v>
      </c>
      <c r="CH35" s="6">
        <v>0</v>
      </c>
      <c r="CI35" s="6">
        <v>8950.6</v>
      </c>
      <c r="CJ35" s="79"/>
      <c r="CK35" s="79"/>
      <c r="CL35" s="79">
        <f t="shared" si="32"/>
        <v>2.2176907829534191</v>
      </c>
      <c r="CM35" s="1">
        <v>12</v>
      </c>
      <c r="CN35" s="3" t="s">
        <v>36</v>
      </c>
      <c r="CO35" s="6">
        <v>2454</v>
      </c>
      <c r="CP35" s="79">
        <v>48</v>
      </c>
      <c r="CQ35" s="79">
        <f>339+970</f>
        <v>1309</v>
      </c>
      <c r="CR35" s="79"/>
      <c r="CS35" s="92">
        <v>4762.6000000000004</v>
      </c>
      <c r="CT35" s="79"/>
      <c r="CU35" s="79"/>
      <c r="CV35" s="79">
        <f t="shared" si="33"/>
        <v>3.6383498854087093</v>
      </c>
      <c r="CW35" s="1">
        <v>12</v>
      </c>
      <c r="CX35" s="3" t="s">
        <v>36</v>
      </c>
      <c r="CY35" s="6">
        <v>2163</v>
      </c>
      <c r="CZ35" s="79">
        <v>3092</v>
      </c>
      <c r="DA35" s="79">
        <f>202+1817</f>
        <v>2019</v>
      </c>
      <c r="DB35" s="79">
        <v>0</v>
      </c>
      <c r="DC35" s="197">
        <v>8469.7999999999993</v>
      </c>
      <c r="DD35" s="79"/>
      <c r="DE35" s="79"/>
      <c r="DF35" s="79">
        <f t="shared" si="34"/>
        <v>4.1950470529965322</v>
      </c>
      <c r="DG35" s="1">
        <v>12</v>
      </c>
      <c r="DH35" s="3" t="s">
        <v>36</v>
      </c>
      <c r="DI35" s="6">
        <v>5051</v>
      </c>
      <c r="DJ35" s="79">
        <v>3998</v>
      </c>
      <c r="DK35" s="79">
        <f>357+1531</f>
        <v>1888</v>
      </c>
      <c r="DL35" s="79">
        <v>3</v>
      </c>
      <c r="DM35" s="197">
        <v>7618.7</v>
      </c>
      <c r="DN35" s="79"/>
      <c r="DO35" s="79"/>
      <c r="DP35" s="79">
        <f t="shared" si="35"/>
        <v>4.0353283898305081</v>
      </c>
      <c r="DQ35" s="1">
        <v>12</v>
      </c>
      <c r="DR35" s="3" t="s">
        <v>36</v>
      </c>
      <c r="DS35" s="6">
        <f t="shared" si="21"/>
        <v>65031</v>
      </c>
      <c r="DT35" s="79">
        <f t="shared" si="22"/>
        <v>14673</v>
      </c>
      <c r="DU35" s="79">
        <f t="shared" si="23"/>
        <v>30041</v>
      </c>
      <c r="DV35" s="79">
        <v>0</v>
      </c>
      <c r="DW35" s="79">
        <f t="shared" si="24"/>
        <v>188137.7</v>
      </c>
      <c r="DX35" s="79">
        <v>0</v>
      </c>
      <c r="DY35" s="79">
        <v>0</v>
      </c>
      <c r="DZ35" s="79">
        <f t="shared" si="36"/>
        <v>6.2626976465497162</v>
      </c>
    </row>
    <row r="36" spans="1:130" x14ac:dyDescent="0.3">
      <c r="A36" s="1">
        <v>13</v>
      </c>
      <c r="B36" s="3" t="s">
        <v>37</v>
      </c>
      <c r="C36" s="6">
        <v>21140</v>
      </c>
      <c r="D36" s="79">
        <v>5410</v>
      </c>
      <c r="E36" s="79">
        <v>20640</v>
      </c>
      <c r="F36" s="79">
        <v>0</v>
      </c>
      <c r="G36" s="92">
        <v>5160</v>
      </c>
      <c r="H36" s="79">
        <v>0</v>
      </c>
      <c r="I36" s="79">
        <v>0</v>
      </c>
      <c r="J36" s="79">
        <f t="shared" si="25"/>
        <v>0.25</v>
      </c>
      <c r="K36" s="1">
        <v>13</v>
      </c>
      <c r="L36" s="3" t="s">
        <v>37</v>
      </c>
      <c r="M36" s="6">
        <v>21300</v>
      </c>
      <c r="N36" s="79">
        <v>460</v>
      </c>
      <c r="O36" s="79">
        <v>21300</v>
      </c>
      <c r="P36" s="79">
        <v>0</v>
      </c>
      <c r="Q36" s="92">
        <v>5325</v>
      </c>
      <c r="R36" s="79">
        <v>0</v>
      </c>
      <c r="S36" s="79">
        <v>0</v>
      </c>
      <c r="T36" s="79">
        <f t="shared" si="26"/>
        <v>0.25</v>
      </c>
      <c r="U36" s="1">
        <v>13</v>
      </c>
      <c r="V36" s="3" t="s">
        <v>37</v>
      </c>
      <c r="W36" s="6">
        <v>6120</v>
      </c>
      <c r="X36" s="79">
        <v>1820</v>
      </c>
      <c r="Y36" s="79">
        <v>5920</v>
      </c>
      <c r="Z36" s="79">
        <v>0</v>
      </c>
      <c r="AA36" s="92">
        <v>1475</v>
      </c>
      <c r="AB36" s="79">
        <v>0</v>
      </c>
      <c r="AC36" s="79">
        <v>0</v>
      </c>
      <c r="AD36" s="79">
        <f t="shared" si="27"/>
        <v>0.2491554054054054</v>
      </c>
      <c r="AE36" s="1">
        <v>13</v>
      </c>
      <c r="AF36" s="3" t="s">
        <v>37</v>
      </c>
      <c r="AG36" s="6">
        <v>7540</v>
      </c>
      <c r="AH36" s="79">
        <v>500</v>
      </c>
      <c r="AI36" s="79">
        <v>3540</v>
      </c>
      <c r="AJ36" s="79">
        <v>0</v>
      </c>
      <c r="AK36" s="92">
        <v>1056</v>
      </c>
      <c r="AL36" s="79">
        <v>0</v>
      </c>
      <c r="AM36" s="79">
        <v>0</v>
      </c>
      <c r="AN36" s="79">
        <v>0</v>
      </c>
      <c r="AO36" s="1">
        <v>13</v>
      </c>
      <c r="AP36" s="3" t="s">
        <v>37</v>
      </c>
      <c r="AQ36" s="6">
        <v>8040</v>
      </c>
      <c r="AR36" s="79">
        <v>3900</v>
      </c>
      <c r="AS36" s="79">
        <v>8040</v>
      </c>
      <c r="AT36" s="79">
        <v>0</v>
      </c>
      <c r="AU36" s="92">
        <v>1563</v>
      </c>
      <c r="AV36" s="79">
        <v>0</v>
      </c>
      <c r="AW36" s="79">
        <v>0</v>
      </c>
      <c r="AX36" s="79">
        <v>0</v>
      </c>
      <c r="AY36" s="1">
        <v>13</v>
      </c>
      <c r="AZ36" s="3" t="s">
        <v>37</v>
      </c>
      <c r="BA36" s="6">
        <v>0</v>
      </c>
      <c r="BB36" s="79">
        <v>0</v>
      </c>
      <c r="BC36" s="79">
        <v>0</v>
      </c>
      <c r="BD36" s="79">
        <v>0</v>
      </c>
      <c r="BE36" s="197">
        <v>0</v>
      </c>
      <c r="BF36" s="79">
        <v>0</v>
      </c>
      <c r="BG36" s="79">
        <v>0</v>
      </c>
      <c r="BH36" s="79" t="e">
        <f t="shared" si="29"/>
        <v>#DIV/0!</v>
      </c>
      <c r="BI36" s="1">
        <v>13</v>
      </c>
      <c r="BJ36" s="3" t="s">
        <v>37</v>
      </c>
      <c r="BK36" s="6">
        <v>7960</v>
      </c>
      <c r="BL36" s="79">
        <v>6510</v>
      </c>
      <c r="BM36" s="79">
        <f>5020+2640</f>
        <v>7660</v>
      </c>
      <c r="BN36" s="79"/>
      <c r="BO36" s="92">
        <v>1155</v>
      </c>
      <c r="BP36" s="79"/>
      <c r="BQ36" s="79"/>
      <c r="BR36" s="79">
        <f t="shared" si="30"/>
        <v>0.15078328981723238</v>
      </c>
      <c r="BS36" s="1">
        <v>13</v>
      </c>
      <c r="BT36" s="3" t="s">
        <v>37</v>
      </c>
      <c r="BU36" s="6">
        <v>9450</v>
      </c>
      <c r="BV36" s="79">
        <v>5500</v>
      </c>
      <c r="BW36" s="79">
        <f>6100+2830</f>
        <v>8930</v>
      </c>
      <c r="BX36" s="79"/>
      <c r="BY36" s="79">
        <v>1345</v>
      </c>
      <c r="BZ36" s="79"/>
      <c r="CA36" s="79"/>
      <c r="CB36" s="79">
        <f t="shared" si="31"/>
        <v>0.15061590145576709</v>
      </c>
      <c r="CC36" s="1">
        <v>13</v>
      </c>
      <c r="CD36" s="3" t="s">
        <v>37</v>
      </c>
      <c r="CE36" s="6">
        <v>8850</v>
      </c>
      <c r="CF36" s="6">
        <v>3200</v>
      </c>
      <c r="CG36" s="6">
        <f>2920+5530</f>
        <v>8450</v>
      </c>
      <c r="CH36" s="6">
        <v>0</v>
      </c>
      <c r="CI36" s="6">
        <v>2067.5</v>
      </c>
      <c r="CJ36" s="79"/>
      <c r="CK36" s="79"/>
      <c r="CL36" s="79">
        <f t="shared" si="32"/>
        <v>0.24467455621301776</v>
      </c>
      <c r="CM36" s="1">
        <v>13</v>
      </c>
      <c r="CN36" s="3" t="s">
        <v>37</v>
      </c>
      <c r="CO36" s="6">
        <v>9130</v>
      </c>
      <c r="CP36" s="79">
        <v>2200</v>
      </c>
      <c r="CQ36" s="79">
        <f>3300+5830</f>
        <v>9130</v>
      </c>
      <c r="CR36" s="79"/>
      <c r="CS36" s="92">
        <v>1880</v>
      </c>
      <c r="CT36" s="79"/>
      <c r="CU36" s="79"/>
      <c r="CV36" s="79">
        <f t="shared" si="33"/>
        <v>0.20591456736035049</v>
      </c>
      <c r="CW36" s="1">
        <v>13</v>
      </c>
      <c r="CX36" s="3" t="s">
        <v>37</v>
      </c>
      <c r="CY36" s="6">
        <v>8030</v>
      </c>
      <c r="CZ36" s="79">
        <v>2900</v>
      </c>
      <c r="DA36" s="79">
        <f>2400+5200</f>
        <v>7600</v>
      </c>
      <c r="DB36" s="79">
        <v>0</v>
      </c>
      <c r="DC36" s="197">
        <v>1240</v>
      </c>
      <c r="DD36" s="79"/>
      <c r="DE36" s="79"/>
      <c r="DF36" s="79">
        <f t="shared" si="34"/>
        <v>0.16315789473684211</v>
      </c>
      <c r="DG36" s="1">
        <v>13</v>
      </c>
      <c r="DH36" s="3" t="s">
        <v>37</v>
      </c>
      <c r="DI36" s="6">
        <v>8530</v>
      </c>
      <c r="DJ36" s="79">
        <v>65520</v>
      </c>
      <c r="DK36" s="79">
        <f>200+8130</f>
        <v>8330</v>
      </c>
      <c r="DL36" s="79"/>
      <c r="DM36" s="197">
        <v>1413</v>
      </c>
      <c r="DN36" s="79"/>
      <c r="DO36" s="79"/>
      <c r="DP36" s="79">
        <f t="shared" si="35"/>
        <v>0.16962785114045617</v>
      </c>
      <c r="DQ36" s="1">
        <v>13</v>
      </c>
      <c r="DR36" s="3" t="s">
        <v>37</v>
      </c>
      <c r="DS36" s="6">
        <f t="shared" si="21"/>
        <v>116090</v>
      </c>
      <c r="DT36" s="79">
        <f t="shared" si="22"/>
        <v>102620</v>
      </c>
      <c r="DU36" s="79">
        <f t="shared" si="23"/>
        <v>109540</v>
      </c>
      <c r="DV36" s="79">
        <v>0</v>
      </c>
      <c r="DW36" s="79">
        <f t="shared" si="24"/>
        <v>23679.5</v>
      </c>
      <c r="DX36" s="79">
        <v>0</v>
      </c>
      <c r="DY36" s="79">
        <v>0</v>
      </c>
      <c r="DZ36" s="79">
        <f t="shared" si="36"/>
        <v>0.21617217454811027</v>
      </c>
    </row>
    <row r="37" spans="1:130" x14ac:dyDescent="0.3">
      <c r="A37" s="1">
        <v>14</v>
      </c>
      <c r="B37" s="3" t="s">
        <v>38</v>
      </c>
      <c r="C37" s="6">
        <v>33</v>
      </c>
      <c r="D37" s="79">
        <v>7</v>
      </c>
      <c r="E37" s="79">
        <v>22</v>
      </c>
      <c r="F37" s="79">
        <v>0</v>
      </c>
      <c r="G37" s="92">
        <v>218.7</v>
      </c>
      <c r="H37" s="79">
        <v>0</v>
      </c>
      <c r="I37" s="79">
        <v>0</v>
      </c>
      <c r="J37" s="79">
        <f t="shared" si="25"/>
        <v>9.9409090909090896</v>
      </c>
      <c r="K37" s="1">
        <v>14</v>
      </c>
      <c r="L37" s="3" t="s">
        <v>38</v>
      </c>
      <c r="M37" s="6">
        <v>30</v>
      </c>
      <c r="N37" s="79">
        <v>6</v>
      </c>
      <c r="O37" s="79">
        <v>23</v>
      </c>
      <c r="P37" s="79">
        <v>0</v>
      </c>
      <c r="Q37" s="92">
        <v>154.80000000000001</v>
      </c>
      <c r="R37" s="79">
        <v>0</v>
      </c>
      <c r="S37" s="79">
        <v>0</v>
      </c>
      <c r="T37" s="79">
        <f t="shared" si="26"/>
        <v>6.7304347826086959</v>
      </c>
      <c r="U37" s="1">
        <v>14</v>
      </c>
      <c r="V37" s="3" t="s">
        <v>38</v>
      </c>
      <c r="W37" s="6">
        <v>28</v>
      </c>
      <c r="X37" s="79">
        <v>6</v>
      </c>
      <c r="Y37" s="79">
        <v>23</v>
      </c>
      <c r="Z37" s="79">
        <v>0</v>
      </c>
      <c r="AA37" s="92">
        <v>180.3</v>
      </c>
      <c r="AB37" s="79">
        <v>0</v>
      </c>
      <c r="AC37" s="79">
        <v>0</v>
      </c>
      <c r="AD37" s="79">
        <f t="shared" si="27"/>
        <v>7.839130434782609</v>
      </c>
      <c r="AE37" s="1">
        <v>14</v>
      </c>
      <c r="AF37" s="3" t="s">
        <v>38</v>
      </c>
      <c r="AG37" s="6">
        <v>29</v>
      </c>
      <c r="AH37" s="79">
        <v>12</v>
      </c>
      <c r="AI37" s="79">
        <v>23</v>
      </c>
      <c r="AJ37" s="79">
        <v>0</v>
      </c>
      <c r="AK37" s="92">
        <v>192.4</v>
      </c>
      <c r="AL37" s="79">
        <v>0</v>
      </c>
      <c r="AM37" s="79">
        <v>0</v>
      </c>
      <c r="AN37" s="79">
        <f t="shared" si="37"/>
        <v>8.3652173913043484</v>
      </c>
      <c r="AO37" s="1">
        <v>14</v>
      </c>
      <c r="AP37" s="3" t="s">
        <v>38</v>
      </c>
      <c r="AQ37" s="6">
        <v>34</v>
      </c>
      <c r="AR37" s="79">
        <v>9</v>
      </c>
      <c r="AS37" s="79">
        <v>28</v>
      </c>
      <c r="AT37" s="79">
        <v>0</v>
      </c>
      <c r="AU37" s="92">
        <v>224.7</v>
      </c>
      <c r="AV37" s="79">
        <v>0</v>
      </c>
      <c r="AW37" s="79">
        <v>0</v>
      </c>
      <c r="AX37" s="79">
        <f t="shared" si="28"/>
        <v>8.0250000000000004</v>
      </c>
      <c r="AY37" s="1">
        <v>14</v>
      </c>
      <c r="AZ37" s="3" t="s">
        <v>38</v>
      </c>
      <c r="BA37" s="6">
        <v>7440</v>
      </c>
      <c r="BB37" s="79">
        <v>2520</v>
      </c>
      <c r="BC37" s="79">
        <v>4540</v>
      </c>
      <c r="BD37" s="79">
        <v>0</v>
      </c>
      <c r="BE37" s="197">
        <v>1737</v>
      </c>
      <c r="BF37" s="79">
        <v>0</v>
      </c>
      <c r="BG37" s="79">
        <v>0</v>
      </c>
      <c r="BH37" s="79">
        <f t="shared" si="29"/>
        <v>0.3825991189427313</v>
      </c>
      <c r="BI37" s="1">
        <v>14</v>
      </c>
      <c r="BJ37" s="3" t="s">
        <v>38</v>
      </c>
      <c r="BK37" s="6">
        <v>40</v>
      </c>
      <c r="BL37" s="79">
        <v>11</v>
      </c>
      <c r="BM37" s="79">
        <f>13+15</f>
        <v>28</v>
      </c>
      <c r="BN37" s="79"/>
      <c r="BO37" s="92">
        <v>328</v>
      </c>
      <c r="BP37" s="79"/>
      <c r="BQ37" s="79"/>
      <c r="BR37" s="79">
        <f t="shared" si="30"/>
        <v>11.714285714285714</v>
      </c>
      <c r="BS37" s="1">
        <v>14</v>
      </c>
      <c r="BT37" s="3" t="s">
        <v>38</v>
      </c>
      <c r="BU37" s="6">
        <v>38</v>
      </c>
      <c r="BV37" s="79">
        <v>13</v>
      </c>
      <c r="BW37" s="79">
        <f>17+12</f>
        <v>29</v>
      </c>
      <c r="BX37" s="79"/>
      <c r="BY37" s="79">
        <v>343</v>
      </c>
      <c r="BZ37" s="79"/>
      <c r="CA37" s="79"/>
      <c r="CB37" s="79">
        <f t="shared" si="31"/>
        <v>11.827586206896552</v>
      </c>
      <c r="CC37" s="1">
        <v>14</v>
      </c>
      <c r="CD37" s="3" t="s">
        <v>38</v>
      </c>
      <c r="CE37" s="6">
        <v>34</v>
      </c>
      <c r="CF37" s="6">
        <v>13</v>
      </c>
      <c r="CG37" s="6">
        <f>13+15</f>
        <v>28</v>
      </c>
      <c r="CH37" s="6">
        <v>0</v>
      </c>
      <c r="CI37" s="6">
        <v>233</v>
      </c>
      <c r="CJ37" s="79"/>
      <c r="CK37" s="79"/>
      <c r="CL37" s="79">
        <f t="shared" si="32"/>
        <v>8.3214285714285712</v>
      </c>
      <c r="CM37" s="1">
        <v>14</v>
      </c>
      <c r="CN37" s="3" t="s">
        <v>38</v>
      </c>
      <c r="CO37" s="6">
        <v>34</v>
      </c>
      <c r="CP37" s="79">
        <v>8</v>
      </c>
      <c r="CQ37" s="79">
        <f>12+15</f>
        <v>27</v>
      </c>
      <c r="CR37" s="79"/>
      <c r="CS37" s="92">
        <v>253</v>
      </c>
      <c r="CT37" s="79"/>
      <c r="CU37" s="79"/>
      <c r="CV37" s="79">
        <f t="shared" si="33"/>
        <v>9.3703703703703702</v>
      </c>
      <c r="CW37" s="1">
        <v>14</v>
      </c>
      <c r="CX37" s="3" t="s">
        <v>38</v>
      </c>
      <c r="CY37" s="6">
        <v>30</v>
      </c>
      <c r="CZ37" s="79">
        <v>5</v>
      </c>
      <c r="DA37" s="79">
        <f>11+16</f>
        <v>27</v>
      </c>
      <c r="DB37" s="79">
        <v>0</v>
      </c>
      <c r="DC37" s="197">
        <v>233.6</v>
      </c>
      <c r="DD37" s="79"/>
      <c r="DE37" s="79"/>
      <c r="DF37" s="79">
        <f t="shared" si="34"/>
        <v>8.6518518518518519</v>
      </c>
      <c r="DG37" s="1">
        <v>14</v>
      </c>
      <c r="DH37" s="3" t="s">
        <v>38</v>
      </c>
      <c r="DI37" s="6">
        <v>24</v>
      </c>
      <c r="DJ37" s="79">
        <v>9</v>
      </c>
      <c r="DK37" s="79">
        <f>11+11</f>
        <v>22</v>
      </c>
      <c r="DL37" s="79"/>
      <c r="DM37" s="197">
        <v>287</v>
      </c>
      <c r="DN37" s="79"/>
      <c r="DO37" s="79"/>
      <c r="DP37" s="79">
        <f t="shared" si="35"/>
        <v>13.045454545454545</v>
      </c>
      <c r="DQ37" s="1">
        <v>14</v>
      </c>
      <c r="DR37" s="3" t="s">
        <v>38</v>
      </c>
      <c r="DS37" s="6">
        <f t="shared" si="21"/>
        <v>7794</v>
      </c>
      <c r="DT37" s="79">
        <f t="shared" si="22"/>
        <v>2641</v>
      </c>
      <c r="DU37" s="79">
        <f t="shared" si="23"/>
        <v>4820</v>
      </c>
      <c r="DV37" s="79">
        <v>0</v>
      </c>
      <c r="DW37" s="79">
        <f t="shared" si="24"/>
        <v>4385.5</v>
      </c>
      <c r="DX37" s="79">
        <v>0</v>
      </c>
      <c r="DY37" s="79">
        <v>0</v>
      </c>
      <c r="DZ37" s="79">
        <f t="shared" si="36"/>
        <v>0.90985477178423235</v>
      </c>
    </row>
    <row r="38" spans="1:130" x14ac:dyDescent="0.3">
      <c r="A38" s="1">
        <v>15</v>
      </c>
      <c r="B38" s="3" t="s">
        <v>39</v>
      </c>
      <c r="C38" s="6">
        <v>37</v>
      </c>
      <c r="D38" s="79">
        <v>8</v>
      </c>
      <c r="E38" s="79">
        <v>33</v>
      </c>
      <c r="F38" s="79">
        <v>0</v>
      </c>
      <c r="G38" s="92">
        <v>205.6</v>
      </c>
      <c r="H38" s="79">
        <v>0</v>
      </c>
      <c r="I38" s="79">
        <v>0</v>
      </c>
      <c r="J38" s="79">
        <f t="shared" si="25"/>
        <v>6.2303030303030305</v>
      </c>
      <c r="K38" s="1">
        <v>15</v>
      </c>
      <c r="L38" s="3" t="s">
        <v>39</v>
      </c>
      <c r="M38" s="6">
        <v>29</v>
      </c>
      <c r="N38" s="79">
        <v>4</v>
      </c>
      <c r="O38" s="79">
        <v>18</v>
      </c>
      <c r="P38" s="79">
        <v>0</v>
      </c>
      <c r="Q38" s="92">
        <v>89.3</v>
      </c>
      <c r="R38" s="79">
        <v>0</v>
      </c>
      <c r="S38" s="79">
        <v>0</v>
      </c>
      <c r="T38" s="79">
        <f t="shared" si="26"/>
        <v>4.9611111111111112</v>
      </c>
      <c r="U38" s="1">
        <v>15</v>
      </c>
      <c r="V38" s="3" t="s">
        <v>39</v>
      </c>
      <c r="W38" s="6">
        <v>28</v>
      </c>
      <c r="X38" s="79">
        <v>7</v>
      </c>
      <c r="Y38" s="79">
        <v>12</v>
      </c>
      <c r="Z38" s="79">
        <v>0</v>
      </c>
      <c r="AA38" s="92">
        <v>70.2</v>
      </c>
      <c r="AB38" s="79">
        <v>0</v>
      </c>
      <c r="AC38" s="79">
        <v>0</v>
      </c>
      <c r="AD38" s="79">
        <f t="shared" si="27"/>
        <v>5.8500000000000005</v>
      </c>
      <c r="AE38" s="1">
        <v>15</v>
      </c>
      <c r="AF38" s="3" t="s">
        <v>39</v>
      </c>
      <c r="AG38" s="6">
        <v>35</v>
      </c>
      <c r="AH38" s="79">
        <v>8</v>
      </c>
      <c r="AI38" s="79">
        <v>28</v>
      </c>
      <c r="AJ38" s="79">
        <v>0</v>
      </c>
      <c r="AK38" s="92">
        <v>143</v>
      </c>
      <c r="AL38" s="79">
        <v>0</v>
      </c>
      <c r="AM38" s="79">
        <v>0</v>
      </c>
      <c r="AN38" s="79">
        <f t="shared" si="37"/>
        <v>5.1071428571428568</v>
      </c>
      <c r="AO38" s="1">
        <v>15</v>
      </c>
      <c r="AP38" s="3" t="s">
        <v>39</v>
      </c>
      <c r="AQ38" s="6">
        <v>41</v>
      </c>
      <c r="AR38" s="79">
        <v>7</v>
      </c>
      <c r="AS38" s="79">
        <v>34</v>
      </c>
      <c r="AT38" s="79">
        <v>0</v>
      </c>
      <c r="AU38" s="92">
        <v>213</v>
      </c>
      <c r="AV38" s="79">
        <v>0</v>
      </c>
      <c r="AW38" s="79">
        <v>0</v>
      </c>
      <c r="AX38" s="79">
        <f t="shared" si="28"/>
        <v>6.2647058823529411</v>
      </c>
      <c r="AY38" s="1">
        <v>15</v>
      </c>
      <c r="AZ38" s="3" t="s">
        <v>39</v>
      </c>
      <c r="BA38" s="6">
        <v>32</v>
      </c>
      <c r="BB38" s="79">
        <v>15</v>
      </c>
      <c r="BC38" s="79">
        <v>12</v>
      </c>
      <c r="BD38" s="79">
        <v>0</v>
      </c>
      <c r="BE38" s="197">
        <v>177.7</v>
      </c>
      <c r="BF38" s="79">
        <v>0</v>
      </c>
      <c r="BG38" s="79">
        <v>0</v>
      </c>
      <c r="BH38" s="79">
        <f t="shared" si="29"/>
        <v>14.808333333333332</v>
      </c>
      <c r="BI38" s="1">
        <v>15</v>
      </c>
      <c r="BJ38" s="3" t="s">
        <v>39</v>
      </c>
      <c r="BK38" s="6">
        <v>36</v>
      </c>
      <c r="BL38" s="79">
        <v>7</v>
      </c>
      <c r="BM38" s="79">
        <f>11+21</f>
        <v>32</v>
      </c>
      <c r="BN38" s="79"/>
      <c r="BO38" s="92">
        <v>186</v>
      </c>
      <c r="BP38" s="79"/>
      <c r="BQ38" s="79"/>
      <c r="BR38" s="79">
        <f t="shared" si="30"/>
        <v>5.8125</v>
      </c>
      <c r="BS38" s="1">
        <v>15</v>
      </c>
      <c r="BT38" s="3" t="s">
        <v>39</v>
      </c>
      <c r="BU38" s="6">
        <v>32</v>
      </c>
      <c r="BV38" s="79">
        <v>10</v>
      </c>
      <c r="BW38" s="79">
        <f>10+19</f>
        <v>29</v>
      </c>
      <c r="BX38" s="79"/>
      <c r="BY38" s="79">
        <v>224</v>
      </c>
      <c r="BZ38" s="79"/>
      <c r="CA38" s="79"/>
      <c r="CB38" s="79">
        <f t="shared" si="31"/>
        <v>7.7241379310344831</v>
      </c>
      <c r="CC38" s="1">
        <v>15</v>
      </c>
      <c r="CD38" s="3" t="s">
        <v>39</v>
      </c>
      <c r="CE38" s="6">
        <v>32</v>
      </c>
      <c r="CF38" s="6">
        <v>5</v>
      </c>
      <c r="CG38" s="6">
        <f>7+21</f>
        <v>28</v>
      </c>
      <c r="CH38" s="6">
        <v>0</v>
      </c>
      <c r="CI38" s="6">
        <v>210</v>
      </c>
      <c r="CJ38" s="79"/>
      <c r="CK38" s="79"/>
      <c r="CL38" s="79">
        <f t="shared" si="32"/>
        <v>7.5</v>
      </c>
      <c r="CM38" s="1">
        <v>15</v>
      </c>
      <c r="CN38" s="3" t="s">
        <v>39</v>
      </c>
      <c r="CO38" s="6">
        <v>30</v>
      </c>
      <c r="CP38" s="79">
        <v>8</v>
      </c>
      <c r="CQ38" s="79">
        <f>8+18</f>
        <v>26</v>
      </c>
      <c r="CR38" s="79"/>
      <c r="CS38" s="92">
        <v>185.9</v>
      </c>
      <c r="CT38" s="79"/>
      <c r="CU38" s="79"/>
      <c r="CV38" s="79">
        <f t="shared" si="33"/>
        <v>7.15</v>
      </c>
      <c r="CW38" s="1">
        <v>15</v>
      </c>
      <c r="CX38" s="3" t="s">
        <v>39</v>
      </c>
      <c r="CY38" s="6">
        <v>30</v>
      </c>
      <c r="CZ38" s="79">
        <v>5</v>
      </c>
      <c r="DA38" s="79">
        <f>9+21</f>
        <v>30</v>
      </c>
      <c r="DB38" s="79">
        <v>0</v>
      </c>
      <c r="DC38" s="197">
        <v>175</v>
      </c>
      <c r="DD38" s="79"/>
      <c r="DE38" s="79"/>
      <c r="DF38" s="79">
        <f t="shared" si="34"/>
        <v>5.833333333333333</v>
      </c>
      <c r="DG38" s="1">
        <v>15</v>
      </c>
      <c r="DH38" s="3" t="s">
        <v>39</v>
      </c>
      <c r="DI38" s="6">
        <v>26</v>
      </c>
      <c r="DJ38" s="79">
        <v>8</v>
      </c>
      <c r="DK38" s="79">
        <f>7+14</f>
        <v>21</v>
      </c>
      <c r="DL38" s="79"/>
      <c r="DM38" s="197">
        <v>125</v>
      </c>
      <c r="DN38" s="79"/>
      <c r="DO38" s="79"/>
      <c r="DP38" s="79">
        <f t="shared" si="35"/>
        <v>5.9523809523809526</v>
      </c>
      <c r="DQ38" s="1">
        <v>15</v>
      </c>
      <c r="DR38" s="3" t="s">
        <v>39</v>
      </c>
      <c r="DS38" s="6">
        <f t="shared" si="21"/>
        <v>388</v>
      </c>
      <c r="DT38" s="79">
        <f t="shared" si="22"/>
        <v>117</v>
      </c>
      <c r="DU38" s="79">
        <f t="shared" si="23"/>
        <v>303</v>
      </c>
      <c r="DV38" s="79">
        <v>0</v>
      </c>
      <c r="DW38" s="79">
        <f t="shared" si="24"/>
        <v>2004.7</v>
      </c>
      <c r="DX38" s="79">
        <v>0</v>
      </c>
      <c r="DY38" s="79">
        <v>0</v>
      </c>
      <c r="DZ38" s="79">
        <f t="shared" si="36"/>
        <v>6.616171617161716</v>
      </c>
    </row>
    <row r="39" spans="1:130" x14ac:dyDescent="0.3">
      <c r="A39" s="1">
        <v>16</v>
      </c>
      <c r="B39" s="3" t="s">
        <v>40</v>
      </c>
      <c r="C39" s="6">
        <v>17</v>
      </c>
      <c r="D39" s="79">
        <v>7</v>
      </c>
      <c r="E39" s="79">
        <v>10</v>
      </c>
      <c r="F39" s="79">
        <v>0</v>
      </c>
      <c r="G39" s="92">
        <v>77.5</v>
      </c>
      <c r="H39" s="79">
        <v>0</v>
      </c>
      <c r="I39" s="79">
        <v>0</v>
      </c>
      <c r="J39" s="79">
        <f t="shared" si="25"/>
        <v>7.75</v>
      </c>
      <c r="K39" s="1">
        <v>16</v>
      </c>
      <c r="L39" s="3" t="s">
        <v>40</v>
      </c>
      <c r="M39" s="6">
        <v>20</v>
      </c>
      <c r="N39" s="79">
        <v>2</v>
      </c>
      <c r="O39" s="79">
        <v>9</v>
      </c>
      <c r="P39" s="79">
        <v>0</v>
      </c>
      <c r="Q39" s="92">
        <v>65.099999999999994</v>
      </c>
      <c r="R39" s="79">
        <v>0</v>
      </c>
      <c r="S39" s="79">
        <v>0</v>
      </c>
      <c r="T39" s="79">
        <f t="shared" si="26"/>
        <v>7.2333333333333325</v>
      </c>
      <c r="U39" s="1">
        <v>16</v>
      </c>
      <c r="V39" s="3" t="s">
        <v>40</v>
      </c>
      <c r="W39" s="6">
        <v>17</v>
      </c>
      <c r="X39" s="79">
        <v>6</v>
      </c>
      <c r="Y39" s="79">
        <v>11</v>
      </c>
      <c r="Z39" s="79">
        <v>0</v>
      </c>
      <c r="AA39" s="92">
        <v>75</v>
      </c>
      <c r="AB39" s="79">
        <v>0</v>
      </c>
      <c r="AC39" s="79">
        <v>0</v>
      </c>
      <c r="AD39" s="79">
        <f t="shared" si="27"/>
        <v>6.8181818181818183</v>
      </c>
      <c r="AE39" s="1">
        <v>16</v>
      </c>
      <c r="AF39" s="3" t="s">
        <v>40</v>
      </c>
      <c r="AG39" s="6">
        <v>20</v>
      </c>
      <c r="AH39" s="79">
        <v>9</v>
      </c>
      <c r="AI39" s="79">
        <v>12</v>
      </c>
      <c r="AJ39" s="79">
        <v>0</v>
      </c>
      <c r="AK39" s="92">
        <v>58.2</v>
      </c>
      <c r="AL39" s="79">
        <v>0</v>
      </c>
      <c r="AM39" s="79">
        <v>0</v>
      </c>
      <c r="AN39" s="79">
        <f t="shared" si="37"/>
        <v>4.8500000000000005</v>
      </c>
      <c r="AO39" s="1">
        <v>16</v>
      </c>
      <c r="AP39" s="3" t="s">
        <v>40</v>
      </c>
      <c r="AQ39" s="6">
        <v>23</v>
      </c>
      <c r="AR39" s="79">
        <v>4</v>
      </c>
      <c r="AS39" s="79">
        <v>13</v>
      </c>
      <c r="AT39" s="79">
        <v>0</v>
      </c>
      <c r="AU39" s="92">
        <v>66.5</v>
      </c>
      <c r="AV39" s="79">
        <v>0</v>
      </c>
      <c r="AW39" s="79">
        <v>0</v>
      </c>
      <c r="AX39" s="79">
        <f t="shared" si="28"/>
        <v>5.115384615384615</v>
      </c>
      <c r="AY39" s="1">
        <v>16</v>
      </c>
      <c r="AZ39" s="3" t="s">
        <v>40</v>
      </c>
      <c r="BA39" s="6">
        <v>38</v>
      </c>
      <c r="BB39" s="79">
        <v>7</v>
      </c>
      <c r="BC39" s="79">
        <v>33</v>
      </c>
      <c r="BD39" s="79">
        <v>0</v>
      </c>
      <c r="BE39" s="197">
        <v>202.5</v>
      </c>
      <c r="BF39" s="79"/>
      <c r="BG39" s="79">
        <v>0</v>
      </c>
      <c r="BH39" s="79">
        <f t="shared" si="29"/>
        <v>6.1363636363636367</v>
      </c>
      <c r="BI39" s="1">
        <v>16</v>
      </c>
      <c r="BJ39" s="3" t="s">
        <v>40</v>
      </c>
      <c r="BK39" s="6">
        <v>25</v>
      </c>
      <c r="BL39" s="79">
        <v>8</v>
      </c>
      <c r="BM39" s="79">
        <f>7+12</f>
        <v>19</v>
      </c>
      <c r="BN39" s="79"/>
      <c r="BO39" s="92">
        <v>113</v>
      </c>
      <c r="BP39" s="79"/>
      <c r="BQ39" s="79"/>
      <c r="BR39" s="79">
        <f t="shared" si="30"/>
        <v>5.9473684210526319</v>
      </c>
      <c r="BS39" s="1">
        <v>16</v>
      </c>
      <c r="BT39" s="3" t="s">
        <v>40</v>
      </c>
      <c r="BU39" s="6">
        <v>26</v>
      </c>
      <c r="BV39" s="79">
        <v>8</v>
      </c>
      <c r="BW39" s="79">
        <f>11+7</f>
        <v>18</v>
      </c>
      <c r="BX39" s="79"/>
      <c r="BY39" s="79">
        <v>123.5</v>
      </c>
      <c r="BZ39" s="79"/>
      <c r="CA39" s="79"/>
      <c r="CB39" s="79">
        <f t="shared" si="31"/>
        <v>6.8611111111111107</v>
      </c>
      <c r="CC39" s="1">
        <v>16</v>
      </c>
      <c r="CD39" s="3" t="s">
        <v>40</v>
      </c>
      <c r="CE39" s="6">
        <v>23</v>
      </c>
      <c r="CF39" s="6">
        <v>10</v>
      </c>
      <c r="CG39" s="6">
        <f>7+9</f>
        <v>16</v>
      </c>
      <c r="CH39" s="6">
        <v>0</v>
      </c>
      <c r="CI39" s="6">
        <v>116.6</v>
      </c>
      <c r="CJ39" s="79"/>
      <c r="CK39" s="79"/>
      <c r="CL39" s="79">
        <f t="shared" si="32"/>
        <v>7.2874999999999996</v>
      </c>
      <c r="CM39" s="1">
        <v>16</v>
      </c>
      <c r="CN39" s="3" t="s">
        <v>40</v>
      </c>
      <c r="CO39" s="6">
        <v>26</v>
      </c>
      <c r="CP39" s="79">
        <v>5</v>
      </c>
      <c r="CQ39" s="79">
        <f>8+9</f>
        <v>17</v>
      </c>
      <c r="CR39" s="79"/>
      <c r="CS39" s="92">
        <v>125</v>
      </c>
      <c r="CT39" s="79"/>
      <c r="CU39" s="79"/>
      <c r="CV39" s="79">
        <f t="shared" si="33"/>
        <v>7.3529411764705879</v>
      </c>
      <c r="CW39" s="1">
        <v>16</v>
      </c>
      <c r="CX39" s="3" t="s">
        <v>40</v>
      </c>
      <c r="CY39" s="6">
        <v>23</v>
      </c>
      <c r="CZ39" s="79">
        <v>3</v>
      </c>
      <c r="DA39" s="79">
        <f>7+10</f>
        <v>17</v>
      </c>
      <c r="DB39" s="79">
        <v>0</v>
      </c>
      <c r="DC39" s="197">
        <v>107.1</v>
      </c>
      <c r="DD39" s="79"/>
      <c r="DE39" s="79"/>
      <c r="DF39" s="79">
        <f t="shared" si="34"/>
        <v>6.3</v>
      </c>
      <c r="DG39" s="1">
        <v>16</v>
      </c>
      <c r="DH39" s="3" t="s">
        <v>40</v>
      </c>
      <c r="DI39" s="6">
        <v>19</v>
      </c>
      <c r="DJ39" s="79">
        <v>9</v>
      </c>
      <c r="DK39" s="79">
        <f>10+7</f>
        <v>17</v>
      </c>
      <c r="DL39" s="79"/>
      <c r="DM39" s="197">
        <v>113.5</v>
      </c>
      <c r="DN39" s="79"/>
      <c r="DO39" s="79"/>
      <c r="DP39" s="79">
        <f t="shared" si="35"/>
        <v>6.6764705882352944</v>
      </c>
      <c r="DQ39" s="1">
        <v>16</v>
      </c>
      <c r="DR39" s="3" t="s">
        <v>40</v>
      </c>
      <c r="DS39" s="6">
        <f t="shared" si="21"/>
        <v>277</v>
      </c>
      <c r="DT39" s="79">
        <f t="shared" si="22"/>
        <v>92</v>
      </c>
      <c r="DU39" s="79">
        <f t="shared" si="23"/>
        <v>192</v>
      </c>
      <c r="DV39" s="79">
        <v>0</v>
      </c>
      <c r="DW39" s="79">
        <f t="shared" si="24"/>
        <v>1243.5</v>
      </c>
      <c r="DX39" s="79">
        <v>0</v>
      </c>
      <c r="DY39" s="79">
        <v>0</v>
      </c>
      <c r="DZ39" s="79">
        <f t="shared" si="36"/>
        <v>6.4765625</v>
      </c>
    </row>
    <row r="40" spans="1:130" x14ac:dyDescent="0.3">
      <c r="A40" s="1">
        <v>17</v>
      </c>
      <c r="B40" s="3" t="s">
        <v>41</v>
      </c>
      <c r="C40" s="6">
        <v>19</v>
      </c>
      <c r="D40" s="79">
        <v>11</v>
      </c>
      <c r="E40" s="79">
        <v>16</v>
      </c>
      <c r="F40" s="79">
        <v>0</v>
      </c>
      <c r="G40" s="92">
        <v>174.7</v>
      </c>
      <c r="H40" s="79">
        <v>0</v>
      </c>
      <c r="I40" s="79">
        <v>0</v>
      </c>
      <c r="J40" s="79">
        <f t="shared" si="25"/>
        <v>10.918749999999999</v>
      </c>
      <c r="K40" s="1">
        <v>17</v>
      </c>
      <c r="L40" s="3" t="s">
        <v>41</v>
      </c>
      <c r="M40" s="6">
        <v>18</v>
      </c>
      <c r="N40" s="79">
        <v>6</v>
      </c>
      <c r="O40" s="79">
        <v>7</v>
      </c>
      <c r="P40" s="79">
        <v>0</v>
      </c>
      <c r="Q40" s="92">
        <v>55.7</v>
      </c>
      <c r="R40" s="79">
        <v>0</v>
      </c>
      <c r="S40" s="79">
        <v>0</v>
      </c>
      <c r="T40" s="79">
        <f t="shared" si="26"/>
        <v>7.9571428571428573</v>
      </c>
      <c r="U40" s="1">
        <v>17</v>
      </c>
      <c r="V40" s="3" t="s">
        <v>41</v>
      </c>
      <c r="W40" s="6">
        <v>21</v>
      </c>
      <c r="X40" s="79">
        <v>5</v>
      </c>
      <c r="Y40" s="79">
        <v>12</v>
      </c>
      <c r="Z40" s="79">
        <v>0</v>
      </c>
      <c r="AA40" s="92">
        <v>122</v>
      </c>
      <c r="AB40" s="79">
        <v>0</v>
      </c>
      <c r="AC40" s="79">
        <v>0</v>
      </c>
      <c r="AD40" s="79">
        <f t="shared" si="27"/>
        <v>10.166666666666666</v>
      </c>
      <c r="AE40" s="1">
        <v>17</v>
      </c>
      <c r="AF40" s="3" t="s">
        <v>41</v>
      </c>
      <c r="AG40" s="6">
        <v>22</v>
      </c>
      <c r="AH40" s="79">
        <v>9</v>
      </c>
      <c r="AI40" s="79">
        <v>16</v>
      </c>
      <c r="AJ40" s="79">
        <v>0</v>
      </c>
      <c r="AK40" s="92">
        <v>108</v>
      </c>
      <c r="AL40" s="79">
        <v>0</v>
      </c>
      <c r="AM40" s="79">
        <v>0</v>
      </c>
      <c r="AN40" s="79">
        <f t="shared" si="37"/>
        <v>6.75</v>
      </c>
      <c r="AO40" s="1">
        <v>17</v>
      </c>
      <c r="AP40" s="3" t="s">
        <v>41</v>
      </c>
      <c r="AQ40" s="6">
        <v>26</v>
      </c>
      <c r="AR40" s="79">
        <v>4</v>
      </c>
      <c r="AS40" s="79">
        <v>22</v>
      </c>
      <c r="AT40" s="79">
        <v>0</v>
      </c>
      <c r="AU40" s="92">
        <v>144</v>
      </c>
      <c r="AV40" s="79">
        <v>0</v>
      </c>
      <c r="AW40" s="79">
        <v>0</v>
      </c>
      <c r="AX40" s="79">
        <f t="shared" si="28"/>
        <v>6.5454545454545459</v>
      </c>
      <c r="AY40" s="1">
        <v>17</v>
      </c>
      <c r="AZ40" s="3" t="s">
        <v>41</v>
      </c>
      <c r="BA40" s="6">
        <v>24</v>
      </c>
      <c r="BB40" s="79">
        <v>6</v>
      </c>
      <c r="BC40" s="79">
        <v>23</v>
      </c>
      <c r="BD40" s="79">
        <v>0</v>
      </c>
      <c r="BE40" s="197">
        <v>97</v>
      </c>
      <c r="BF40" s="79">
        <v>0</v>
      </c>
      <c r="BG40" s="79">
        <v>0</v>
      </c>
      <c r="BH40" s="79">
        <f t="shared" si="29"/>
        <v>4.2173913043478262</v>
      </c>
      <c r="BI40" s="1">
        <v>17</v>
      </c>
      <c r="BJ40" s="3" t="s">
        <v>41</v>
      </c>
      <c r="BK40" s="6">
        <v>27</v>
      </c>
      <c r="BL40" s="79">
        <v>13</v>
      </c>
      <c r="BM40" s="79">
        <f>10+16</f>
        <v>26</v>
      </c>
      <c r="BN40" s="79"/>
      <c r="BO40" s="92">
        <v>215</v>
      </c>
      <c r="BP40" s="79"/>
      <c r="BQ40" s="79"/>
      <c r="BR40" s="79">
        <f t="shared" si="30"/>
        <v>8.2692307692307701</v>
      </c>
      <c r="BS40" s="1">
        <v>17</v>
      </c>
      <c r="BT40" s="3" t="s">
        <v>41</v>
      </c>
      <c r="BU40" s="6">
        <v>30</v>
      </c>
      <c r="BV40" s="79">
        <v>8</v>
      </c>
      <c r="BW40" s="79">
        <f>14+14</f>
        <v>28</v>
      </c>
      <c r="BX40" s="79"/>
      <c r="BY40" s="79">
        <v>290</v>
      </c>
      <c r="BZ40" s="79"/>
      <c r="CA40" s="79"/>
      <c r="CB40" s="79">
        <f t="shared" si="31"/>
        <v>10.357142857142858</v>
      </c>
      <c r="CC40" s="1">
        <v>17</v>
      </c>
      <c r="CD40" s="3" t="s">
        <v>41</v>
      </c>
      <c r="CE40" s="6">
        <v>24</v>
      </c>
      <c r="CF40" s="6">
        <v>13</v>
      </c>
      <c r="CG40" s="6">
        <f>14+10</f>
        <v>24</v>
      </c>
      <c r="CH40" s="6">
        <v>0</v>
      </c>
      <c r="CI40" s="6">
        <v>204</v>
      </c>
      <c r="CJ40" s="79"/>
      <c r="CK40" s="79"/>
      <c r="CL40" s="79">
        <f t="shared" si="32"/>
        <v>8.5</v>
      </c>
      <c r="CM40" s="1">
        <v>17</v>
      </c>
      <c r="CN40" s="3" t="s">
        <v>41</v>
      </c>
      <c r="CO40" s="6">
        <v>23</v>
      </c>
      <c r="CP40" s="79">
        <v>11</v>
      </c>
      <c r="CQ40" s="79">
        <f>7+14</f>
        <v>21</v>
      </c>
      <c r="CR40" s="79"/>
      <c r="CS40" s="92">
        <v>144</v>
      </c>
      <c r="CT40" s="79"/>
      <c r="CU40" s="79"/>
      <c r="CV40" s="79">
        <f t="shared" si="33"/>
        <v>6.8571428571428568</v>
      </c>
      <c r="CW40" s="1">
        <v>17</v>
      </c>
      <c r="CX40" s="3" t="s">
        <v>41</v>
      </c>
      <c r="CY40" s="6">
        <v>27</v>
      </c>
      <c r="CZ40" s="79">
        <v>6</v>
      </c>
      <c r="DA40" s="79">
        <f>15+10</f>
        <v>25</v>
      </c>
      <c r="DB40" s="79">
        <v>0</v>
      </c>
      <c r="DC40" s="197">
        <v>217.6</v>
      </c>
      <c r="DD40" s="79"/>
      <c r="DE40" s="79"/>
      <c r="DF40" s="79">
        <f t="shared" si="34"/>
        <v>8.7040000000000006</v>
      </c>
      <c r="DG40" s="1">
        <v>17</v>
      </c>
      <c r="DH40" s="3" t="s">
        <v>41</v>
      </c>
      <c r="DI40" s="6">
        <v>18</v>
      </c>
      <c r="DJ40" s="79">
        <v>11</v>
      </c>
      <c r="DK40" s="79">
        <f>9+7</f>
        <v>16</v>
      </c>
      <c r="DL40" s="79"/>
      <c r="DM40" s="197">
        <v>150.4</v>
      </c>
      <c r="DN40" s="79"/>
      <c r="DO40" s="79"/>
      <c r="DP40" s="79">
        <f t="shared" si="35"/>
        <v>9.4</v>
      </c>
      <c r="DQ40" s="1">
        <v>17</v>
      </c>
      <c r="DR40" s="3" t="s">
        <v>41</v>
      </c>
      <c r="DS40" s="6">
        <f t="shared" si="21"/>
        <v>279</v>
      </c>
      <c r="DT40" s="79">
        <f t="shared" si="22"/>
        <v>122</v>
      </c>
      <c r="DU40" s="79">
        <f t="shared" si="23"/>
        <v>236</v>
      </c>
      <c r="DV40" s="79">
        <v>0</v>
      </c>
      <c r="DW40" s="79">
        <f t="shared" si="24"/>
        <v>1922.4</v>
      </c>
      <c r="DX40" s="79">
        <v>0</v>
      </c>
      <c r="DY40" s="79">
        <v>0</v>
      </c>
      <c r="DZ40" s="79">
        <f t="shared" si="36"/>
        <v>8.1457627118644069</v>
      </c>
    </row>
    <row r="41" spans="1:130" x14ac:dyDescent="0.3">
      <c r="A41" s="1">
        <v>18</v>
      </c>
      <c r="B41" s="3" t="s">
        <v>69</v>
      </c>
      <c r="C41" s="6">
        <v>0</v>
      </c>
      <c r="D41" s="79">
        <v>0</v>
      </c>
      <c r="E41" s="79">
        <v>0</v>
      </c>
      <c r="F41" s="79">
        <v>0</v>
      </c>
      <c r="G41" s="92">
        <v>0</v>
      </c>
      <c r="H41" s="79">
        <v>0</v>
      </c>
      <c r="I41" s="79">
        <v>0</v>
      </c>
      <c r="J41" s="79">
        <v>0</v>
      </c>
      <c r="K41" s="1">
        <v>18</v>
      </c>
      <c r="L41" s="3" t="s">
        <v>69</v>
      </c>
      <c r="M41" s="6">
        <v>0</v>
      </c>
      <c r="N41" s="79">
        <v>0</v>
      </c>
      <c r="O41" s="79">
        <v>0</v>
      </c>
      <c r="P41" s="79">
        <v>0</v>
      </c>
      <c r="Q41" s="92">
        <v>0</v>
      </c>
      <c r="R41" s="79">
        <v>0</v>
      </c>
      <c r="S41" s="79">
        <v>0</v>
      </c>
      <c r="T41" s="79">
        <v>0</v>
      </c>
      <c r="U41" s="1">
        <v>18</v>
      </c>
      <c r="V41" s="3" t="s">
        <v>69</v>
      </c>
      <c r="W41" s="6">
        <v>0</v>
      </c>
      <c r="X41" s="79">
        <v>0</v>
      </c>
      <c r="Y41" s="79">
        <v>0</v>
      </c>
      <c r="Z41" s="79">
        <v>0</v>
      </c>
      <c r="AA41" s="92">
        <v>0</v>
      </c>
      <c r="AB41" s="79">
        <v>0</v>
      </c>
      <c r="AC41" s="79">
        <v>0</v>
      </c>
      <c r="AD41" s="79">
        <v>0</v>
      </c>
      <c r="AE41" s="1">
        <v>18</v>
      </c>
      <c r="AF41" s="3" t="s">
        <v>69</v>
      </c>
      <c r="AG41" s="6">
        <v>0</v>
      </c>
      <c r="AH41" s="79">
        <v>0</v>
      </c>
      <c r="AI41" s="79">
        <v>0</v>
      </c>
      <c r="AJ41" s="79">
        <v>0</v>
      </c>
      <c r="AK41" s="92">
        <v>0</v>
      </c>
      <c r="AL41" s="79">
        <v>0</v>
      </c>
      <c r="AM41" s="79">
        <v>0</v>
      </c>
      <c r="AN41" s="79">
        <v>0</v>
      </c>
      <c r="AO41" s="1">
        <v>18</v>
      </c>
      <c r="AP41" s="3" t="s">
        <v>69</v>
      </c>
      <c r="AQ41" s="6">
        <v>0</v>
      </c>
      <c r="AR41" s="79">
        <v>0</v>
      </c>
      <c r="AS41" s="79">
        <v>0</v>
      </c>
      <c r="AT41" s="79">
        <v>0</v>
      </c>
      <c r="AU41" s="92">
        <v>0</v>
      </c>
      <c r="AV41" s="79">
        <v>0</v>
      </c>
      <c r="AW41" s="79">
        <v>0</v>
      </c>
      <c r="AX41" s="79">
        <v>0</v>
      </c>
      <c r="AY41" s="1">
        <v>18</v>
      </c>
      <c r="AZ41" s="3" t="s">
        <v>69</v>
      </c>
      <c r="BA41" s="6">
        <v>17</v>
      </c>
      <c r="BB41" s="79">
        <v>17</v>
      </c>
      <c r="BC41" s="79">
        <v>16</v>
      </c>
      <c r="BD41" s="79">
        <v>0</v>
      </c>
      <c r="BE41" s="197">
        <v>129.19999999999999</v>
      </c>
      <c r="BF41" s="79">
        <v>0</v>
      </c>
      <c r="BG41" s="79">
        <v>0</v>
      </c>
      <c r="BH41" s="79">
        <v>0</v>
      </c>
      <c r="BI41" s="1">
        <v>18</v>
      </c>
      <c r="BJ41" s="3" t="s">
        <v>69</v>
      </c>
      <c r="BK41" s="6">
        <v>0</v>
      </c>
      <c r="BL41" s="79">
        <v>0</v>
      </c>
      <c r="BM41" s="79">
        <v>0</v>
      </c>
      <c r="BN41" s="79"/>
      <c r="BO41" s="92">
        <v>0</v>
      </c>
      <c r="BP41" s="79"/>
      <c r="BQ41" s="79"/>
      <c r="BR41" s="79" t="e">
        <f t="shared" si="30"/>
        <v>#DIV/0!</v>
      </c>
      <c r="BS41" s="1">
        <v>18</v>
      </c>
      <c r="BT41" s="3" t="s">
        <v>69</v>
      </c>
      <c r="BU41" s="6">
        <v>0</v>
      </c>
      <c r="BV41" s="79">
        <v>0</v>
      </c>
      <c r="BW41" s="79">
        <v>0</v>
      </c>
      <c r="BX41" s="79"/>
      <c r="BY41" s="197">
        <v>0</v>
      </c>
      <c r="BZ41" s="79"/>
      <c r="CA41" s="79"/>
      <c r="CB41" s="79" t="e">
        <f t="shared" si="31"/>
        <v>#DIV/0!</v>
      </c>
      <c r="CC41" s="1">
        <v>18</v>
      </c>
      <c r="CD41" s="3" t="s">
        <v>69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79"/>
      <c r="CK41" s="79"/>
      <c r="CL41" s="79" t="e">
        <f t="shared" si="32"/>
        <v>#DIV/0!</v>
      </c>
      <c r="CM41" s="1">
        <v>18</v>
      </c>
      <c r="CN41" s="3" t="s">
        <v>69</v>
      </c>
      <c r="CO41" s="6">
        <v>0</v>
      </c>
      <c r="CP41" s="79">
        <v>1</v>
      </c>
      <c r="CQ41" s="79">
        <v>0</v>
      </c>
      <c r="CR41" s="79"/>
      <c r="CS41" s="92">
        <v>0</v>
      </c>
      <c r="CT41" s="79"/>
      <c r="CU41" s="79"/>
      <c r="CV41" s="79">
        <v>0</v>
      </c>
      <c r="CW41" s="1">
        <v>18</v>
      </c>
      <c r="CX41" s="3" t="s">
        <v>69</v>
      </c>
      <c r="CY41" s="6">
        <v>1</v>
      </c>
      <c r="CZ41" s="79">
        <v>0</v>
      </c>
      <c r="DA41" s="79">
        <f>1</f>
        <v>1</v>
      </c>
      <c r="DB41" s="79">
        <v>0</v>
      </c>
      <c r="DC41" s="197">
        <v>20</v>
      </c>
      <c r="DD41" s="79"/>
      <c r="DE41" s="79"/>
      <c r="DF41" s="79">
        <f t="shared" si="34"/>
        <v>20</v>
      </c>
      <c r="DG41" s="1">
        <v>18</v>
      </c>
      <c r="DH41" s="3" t="s">
        <v>69</v>
      </c>
      <c r="DI41" s="6">
        <v>0</v>
      </c>
      <c r="DJ41" s="79">
        <v>1</v>
      </c>
      <c r="DK41" s="79">
        <v>0</v>
      </c>
      <c r="DL41" s="79"/>
      <c r="DM41" s="197">
        <v>0</v>
      </c>
      <c r="DN41" s="79"/>
      <c r="DO41" s="79"/>
      <c r="DP41" s="79" t="e">
        <f t="shared" si="35"/>
        <v>#DIV/0!</v>
      </c>
      <c r="DQ41" s="1">
        <v>18</v>
      </c>
      <c r="DR41" s="3" t="s">
        <v>69</v>
      </c>
      <c r="DS41" s="6">
        <f t="shared" si="21"/>
        <v>18</v>
      </c>
      <c r="DT41" s="79">
        <f t="shared" si="22"/>
        <v>20</v>
      </c>
      <c r="DU41" s="79">
        <f t="shared" si="23"/>
        <v>17</v>
      </c>
      <c r="DV41" s="79">
        <v>0</v>
      </c>
      <c r="DW41" s="79">
        <f t="shared" si="24"/>
        <v>149.19999999999999</v>
      </c>
      <c r="DX41" s="79">
        <v>0</v>
      </c>
      <c r="DY41" s="79">
        <v>0</v>
      </c>
      <c r="DZ41" s="79">
        <f t="shared" si="36"/>
        <v>8.7764705882352931</v>
      </c>
    </row>
    <row r="42" spans="1:130" x14ac:dyDescent="0.3">
      <c r="A42" s="1">
        <v>19</v>
      </c>
      <c r="B42" s="3" t="s">
        <v>70</v>
      </c>
      <c r="C42" s="6">
        <v>0</v>
      </c>
      <c r="D42" s="79">
        <v>0</v>
      </c>
      <c r="E42" s="79">
        <v>0</v>
      </c>
      <c r="F42" s="79">
        <v>0</v>
      </c>
      <c r="G42" s="92">
        <v>0</v>
      </c>
      <c r="H42" s="79">
        <v>0</v>
      </c>
      <c r="I42" s="79">
        <v>0</v>
      </c>
      <c r="J42" s="79">
        <v>0</v>
      </c>
      <c r="K42" s="1">
        <v>19</v>
      </c>
      <c r="L42" s="3" t="s">
        <v>70</v>
      </c>
      <c r="M42" s="6">
        <v>0</v>
      </c>
      <c r="N42" s="79">
        <v>0</v>
      </c>
      <c r="O42" s="79">
        <v>0</v>
      </c>
      <c r="P42" s="79">
        <v>0</v>
      </c>
      <c r="Q42" s="92">
        <v>0</v>
      </c>
      <c r="R42" s="79">
        <v>0</v>
      </c>
      <c r="S42" s="79">
        <v>0</v>
      </c>
      <c r="T42" s="79">
        <v>0</v>
      </c>
      <c r="U42" s="1">
        <v>19</v>
      </c>
      <c r="V42" s="3" t="s">
        <v>70</v>
      </c>
      <c r="W42" s="6">
        <v>0</v>
      </c>
      <c r="X42" s="79">
        <v>0</v>
      </c>
      <c r="Y42" s="79">
        <v>0</v>
      </c>
      <c r="Z42" s="79">
        <v>0</v>
      </c>
      <c r="AA42" s="92">
        <v>0</v>
      </c>
      <c r="AB42" s="79">
        <v>0</v>
      </c>
      <c r="AC42" s="79">
        <v>0</v>
      </c>
      <c r="AD42" s="79">
        <v>0</v>
      </c>
      <c r="AE42" s="1">
        <v>19</v>
      </c>
      <c r="AF42" s="3" t="s">
        <v>70</v>
      </c>
      <c r="AG42" s="6">
        <v>0</v>
      </c>
      <c r="AH42" s="79">
        <v>0</v>
      </c>
      <c r="AI42" s="79">
        <v>0</v>
      </c>
      <c r="AJ42" s="79">
        <v>0</v>
      </c>
      <c r="AK42" s="92">
        <v>0</v>
      </c>
      <c r="AL42" s="79">
        <v>0</v>
      </c>
      <c r="AM42" s="79">
        <v>0</v>
      </c>
      <c r="AN42" s="79">
        <v>0</v>
      </c>
      <c r="AO42" s="1">
        <v>19</v>
      </c>
      <c r="AP42" s="3" t="s">
        <v>70</v>
      </c>
      <c r="AQ42" s="6">
        <v>0</v>
      </c>
      <c r="AR42" s="79">
        <v>0</v>
      </c>
      <c r="AS42" s="79">
        <v>0</v>
      </c>
      <c r="AT42" s="79">
        <v>0</v>
      </c>
      <c r="AU42" s="92">
        <v>0</v>
      </c>
      <c r="AV42" s="79">
        <v>0</v>
      </c>
      <c r="AW42" s="79">
        <v>0</v>
      </c>
      <c r="AX42" s="79">
        <v>0</v>
      </c>
      <c r="AY42" s="1">
        <v>19</v>
      </c>
      <c r="AZ42" s="3" t="s">
        <v>70</v>
      </c>
      <c r="BA42" s="6">
        <v>0</v>
      </c>
      <c r="BB42" s="79">
        <v>0</v>
      </c>
      <c r="BC42" s="79">
        <v>0</v>
      </c>
      <c r="BD42" s="79">
        <v>0</v>
      </c>
      <c r="BE42" s="197">
        <v>0</v>
      </c>
      <c r="BF42" s="79">
        <v>0</v>
      </c>
      <c r="BG42" s="79">
        <v>0</v>
      </c>
      <c r="BH42" s="79">
        <v>0</v>
      </c>
      <c r="BI42" s="1">
        <v>19</v>
      </c>
      <c r="BJ42" s="3" t="s">
        <v>70</v>
      </c>
      <c r="BK42" s="6">
        <v>0</v>
      </c>
      <c r="BL42" s="79">
        <v>0</v>
      </c>
      <c r="BM42" s="79">
        <v>0</v>
      </c>
      <c r="BN42" s="79"/>
      <c r="BO42" s="92">
        <v>0</v>
      </c>
      <c r="BP42" s="79"/>
      <c r="BQ42" s="79"/>
      <c r="BR42" s="79" t="e">
        <f t="shared" si="30"/>
        <v>#DIV/0!</v>
      </c>
      <c r="BS42" s="1">
        <v>19</v>
      </c>
      <c r="BT42" s="3" t="s">
        <v>70</v>
      </c>
      <c r="BU42" s="6">
        <v>0</v>
      </c>
      <c r="BV42" s="79">
        <v>0</v>
      </c>
      <c r="BW42" s="79">
        <v>0</v>
      </c>
      <c r="BX42" s="79"/>
      <c r="BY42" s="197">
        <v>0</v>
      </c>
      <c r="BZ42" s="79"/>
      <c r="CA42" s="79"/>
      <c r="CB42" s="79" t="e">
        <f t="shared" si="31"/>
        <v>#DIV/0!</v>
      </c>
      <c r="CC42" s="1">
        <v>19</v>
      </c>
      <c r="CD42" s="3" t="s">
        <v>70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79"/>
      <c r="CK42" s="79"/>
      <c r="CL42" s="79" t="e">
        <f t="shared" si="32"/>
        <v>#DIV/0!</v>
      </c>
      <c r="CM42" s="1">
        <v>19</v>
      </c>
      <c r="CN42" s="3" t="s">
        <v>70</v>
      </c>
      <c r="CO42" s="6">
        <v>0</v>
      </c>
      <c r="CP42" s="79">
        <v>0</v>
      </c>
      <c r="CQ42" s="79">
        <v>0</v>
      </c>
      <c r="CR42" s="79"/>
      <c r="CS42" s="92">
        <v>0</v>
      </c>
      <c r="CT42" s="79"/>
      <c r="CU42" s="79"/>
      <c r="CV42" s="79">
        <v>0</v>
      </c>
      <c r="CW42" s="1">
        <v>19</v>
      </c>
      <c r="CX42" s="3" t="s">
        <v>70</v>
      </c>
      <c r="CY42" s="6">
        <v>0</v>
      </c>
      <c r="CZ42" s="79">
        <v>0</v>
      </c>
      <c r="DA42" s="79">
        <v>0</v>
      </c>
      <c r="DB42" s="79">
        <v>0</v>
      </c>
      <c r="DC42" s="197">
        <v>0</v>
      </c>
      <c r="DD42" s="79"/>
      <c r="DE42" s="79"/>
      <c r="DF42" s="79" t="e">
        <f t="shared" si="34"/>
        <v>#DIV/0!</v>
      </c>
      <c r="DG42" s="1">
        <v>19</v>
      </c>
      <c r="DH42" s="3" t="s">
        <v>70</v>
      </c>
      <c r="DI42" s="6">
        <v>0</v>
      </c>
      <c r="DJ42" s="79">
        <v>0</v>
      </c>
      <c r="DK42" s="79">
        <v>0</v>
      </c>
      <c r="DL42" s="79"/>
      <c r="DM42" s="197">
        <v>0</v>
      </c>
      <c r="DN42" s="79"/>
      <c r="DO42" s="79"/>
      <c r="DP42" s="79" t="e">
        <f t="shared" si="35"/>
        <v>#DIV/0!</v>
      </c>
      <c r="DQ42" s="1">
        <v>19</v>
      </c>
      <c r="DR42" s="3" t="s">
        <v>70</v>
      </c>
      <c r="DS42" s="6">
        <f t="shared" si="21"/>
        <v>0</v>
      </c>
      <c r="DT42" s="79">
        <f t="shared" si="22"/>
        <v>0</v>
      </c>
      <c r="DU42" s="79">
        <f t="shared" si="23"/>
        <v>0</v>
      </c>
      <c r="DV42" s="79">
        <v>0</v>
      </c>
      <c r="DW42" s="79">
        <f t="shared" si="24"/>
        <v>0</v>
      </c>
      <c r="DX42" s="79">
        <v>0</v>
      </c>
      <c r="DY42" s="79">
        <v>0</v>
      </c>
      <c r="DZ42" s="79" t="e">
        <f t="shared" si="36"/>
        <v>#DIV/0!</v>
      </c>
    </row>
    <row r="43" spans="1:130" x14ac:dyDescent="0.3">
      <c r="A43" s="1">
        <v>20</v>
      </c>
      <c r="B43" s="3" t="s">
        <v>71</v>
      </c>
      <c r="C43" s="6">
        <v>0</v>
      </c>
      <c r="D43" s="79">
        <v>0</v>
      </c>
      <c r="E43" s="79">
        <v>0</v>
      </c>
      <c r="F43" s="79">
        <v>0</v>
      </c>
      <c r="G43" s="92">
        <v>0</v>
      </c>
      <c r="H43" s="79">
        <v>0</v>
      </c>
      <c r="I43" s="79">
        <v>0</v>
      </c>
      <c r="J43" s="79">
        <v>0</v>
      </c>
      <c r="K43" s="1">
        <v>20</v>
      </c>
      <c r="L43" s="3" t="s">
        <v>71</v>
      </c>
      <c r="M43" s="6">
        <v>0</v>
      </c>
      <c r="N43" s="79">
        <v>0</v>
      </c>
      <c r="O43" s="79">
        <v>0</v>
      </c>
      <c r="P43" s="79">
        <v>0</v>
      </c>
      <c r="Q43" s="92">
        <v>0</v>
      </c>
      <c r="R43" s="79">
        <v>0</v>
      </c>
      <c r="S43" s="79">
        <v>0</v>
      </c>
      <c r="T43" s="79">
        <v>0</v>
      </c>
      <c r="U43" s="1">
        <v>20</v>
      </c>
      <c r="V43" s="3" t="s">
        <v>71</v>
      </c>
      <c r="W43" s="6">
        <v>0</v>
      </c>
      <c r="X43" s="79">
        <v>0</v>
      </c>
      <c r="Y43" s="79">
        <v>0</v>
      </c>
      <c r="Z43" s="79">
        <v>0</v>
      </c>
      <c r="AA43" s="92">
        <v>0</v>
      </c>
      <c r="AB43" s="79">
        <v>0</v>
      </c>
      <c r="AC43" s="79">
        <v>0</v>
      </c>
      <c r="AD43" s="79">
        <v>0</v>
      </c>
      <c r="AE43" s="1">
        <v>20</v>
      </c>
      <c r="AF43" s="3" t="s">
        <v>71</v>
      </c>
      <c r="AG43" s="6">
        <v>0</v>
      </c>
      <c r="AH43" s="79">
        <v>0</v>
      </c>
      <c r="AI43" s="79">
        <v>0</v>
      </c>
      <c r="AJ43" s="79">
        <v>0</v>
      </c>
      <c r="AK43" s="92">
        <v>0</v>
      </c>
      <c r="AL43" s="79">
        <v>0</v>
      </c>
      <c r="AM43" s="79">
        <v>0</v>
      </c>
      <c r="AN43" s="79">
        <v>0</v>
      </c>
      <c r="AO43" s="1">
        <v>20</v>
      </c>
      <c r="AP43" s="3" t="s">
        <v>71</v>
      </c>
      <c r="AQ43" s="6">
        <v>0</v>
      </c>
      <c r="AR43" s="79">
        <v>0</v>
      </c>
      <c r="AS43" s="79">
        <v>0</v>
      </c>
      <c r="AT43" s="79">
        <v>0</v>
      </c>
      <c r="AU43" s="92">
        <v>0</v>
      </c>
      <c r="AV43" s="79">
        <v>0</v>
      </c>
      <c r="AW43" s="79">
        <v>0</v>
      </c>
      <c r="AX43" s="79">
        <v>0</v>
      </c>
      <c r="AY43" s="1">
        <v>20</v>
      </c>
      <c r="AZ43" s="3" t="s">
        <v>71</v>
      </c>
      <c r="BA43" s="6">
        <v>0</v>
      </c>
      <c r="BB43" s="79">
        <v>0</v>
      </c>
      <c r="BC43" s="79">
        <v>0</v>
      </c>
      <c r="BD43" s="79">
        <v>0</v>
      </c>
      <c r="BE43" s="197">
        <v>0</v>
      </c>
      <c r="BF43" s="79">
        <v>0</v>
      </c>
      <c r="BG43" s="79">
        <v>0</v>
      </c>
      <c r="BH43" s="79">
        <v>0</v>
      </c>
      <c r="BI43" s="1">
        <v>20</v>
      </c>
      <c r="BJ43" s="3" t="s">
        <v>71</v>
      </c>
      <c r="BK43" s="6">
        <v>0</v>
      </c>
      <c r="BL43" s="79">
        <v>0</v>
      </c>
      <c r="BM43" s="79">
        <v>0</v>
      </c>
      <c r="BN43" s="79"/>
      <c r="BO43" s="92">
        <v>0</v>
      </c>
      <c r="BP43" s="79"/>
      <c r="BQ43" s="79"/>
      <c r="BR43" s="79" t="e">
        <f t="shared" si="30"/>
        <v>#DIV/0!</v>
      </c>
      <c r="BS43" s="1">
        <v>20</v>
      </c>
      <c r="BT43" s="3" t="s">
        <v>71</v>
      </c>
      <c r="BU43" s="6">
        <v>0</v>
      </c>
      <c r="BV43" s="79">
        <v>0</v>
      </c>
      <c r="BW43" s="79">
        <v>0</v>
      </c>
      <c r="BX43" s="79"/>
      <c r="BY43" s="197">
        <v>0</v>
      </c>
      <c r="BZ43" s="79"/>
      <c r="CA43" s="79"/>
      <c r="CB43" s="79" t="e">
        <f t="shared" si="31"/>
        <v>#DIV/0!</v>
      </c>
      <c r="CC43" s="1">
        <v>20</v>
      </c>
      <c r="CD43" s="3" t="s">
        <v>71</v>
      </c>
      <c r="CE43" s="6">
        <v>0</v>
      </c>
      <c r="CF43" s="6">
        <v>0</v>
      </c>
      <c r="CG43" s="6">
        <v>0</v>
      </c>
      <c r="CH43" s="6"/>
      <c r="CI43" s="6">
        <v>0</v>
      </c>
      <c r="CJ43" s="79"/>
      <c r="CK43" s="79"/>
      <c r="CL43" s="79" t="e">
        <f t="shared" si="32"/>
        <v>#DIV/0!</v>
      </c>
      <c r="CM43" s="1">
        <v>20</v>
      </c>
      <c r="CN43" s="3" t="s">
        <v>71</v>
      </c>
      <c r="CO43" s="6">
        <v>0</v>
      </c>
      <c r="CP43" s="79">
        <v>0</v>
      </c>
      <c r="CQ43" s="79">
        <v>0</v>
      </c>
      <c r="CR43" s="79"/>
      <c r="CS43" s="92">
        <v>0</v>
      </c>
      <c r="CT43" s="79"/>
      <c r="CU43" s="79"/>
      <c r="CV43" s="79">
        <v>0</v>
      </c>
      <c r="CW43" s="1">
        <v>20</v>
      </c>
      <c r="CX43" s="3" t="s">
        <v>71</v>
      </c>
      <c r="CY43" s="6">
        <v>0</v>
      </c>
      <c r="CZ43" s="79">
        <v>0</v>
      </c>
      <c r="DA43" s="79">
        <v>0</v>
      </c>
      <c r="DB43" s="79">
        <v>0</v>
      </c>
      <c r="DC43" s="197">
        <v>0</v>
      </c>
      <c r="DD43" s="79"/>
      <c r="DE43" s="79"/>
      <c r="DF43" s="79" t="e">
        <f t="shared" si="34"/>
        <v>#DIV/0!</v>
      </c>
      <c r="DG43" s="1">
        <v>20</v>
      </c>
      <c r="DH43" s="3" t="s">
        <v>71</v>
      </c>
      <c r="DI43" s="6">
        <v>0</v>
      </c>
      <c r="DJ43" s="79">
        <v>0</v>
      </c>
      <c r="DK43" s="79">
        <v>0</v>
      </c>
      <c r="DL43" s="79"/>
      <c r="DM43" s="197">
        <v>0</v>
      </c>
      <c r="DN43" s="79"/>
      <c r="DO43" s="79"/>
      <c r="DP43" s="79" t="e">
        <f t="shared" si="35"/>
        <v>#DIV/0!</v>
      </c>
      <c r="DQ43" s="1">
        <v>20</v>
      </c>
      <c r="DR43" s="3" t="s">
        <v>71</v>
      </c>
      <c r="DS43" s="6">
        <f t="shared" si="21"/>
        <v>0</v>
      </c>
      <c r="DT43" s="79">
        <f t="shared" si="22"/>
        <v>0</v>
      </c>
      <c r="DU43" s="79">
        <f t="shared" si="23"/>
        <v>0</v>
      </c>
      <c r="DV43" s="79">
        <v>0</v>
      </c>
      <c r="DW43" s="79">
        <f t="shared" si="24"/>
        <v>0</v>
      </c>
      <c r="DX43" s="79">
        <v>0</v>
      </c>
      <c r="DY43" s="79">
        <v>0</v>
      </c>
      <c r="DZ43" s="79">
        <v>0</v>
      </c>
    </row>
    <row r="44" spans="1:130" x14ac:dyDescent="0.3">
      <c r="A44" s="42" t="s">
        <v>43</v>
      </c>
      <c r="B44" s="25" t="s">
        <v>44</v>
      </c>
      <c r="C44" s="123">
        <f>SUM(C45:C57,C61:C72)</f>
        <v>22</v>
      </c>
      <c r="D44" s="123">
        <f t="shared" ref="D44:I44" si="38">SUM(D45:D57,D61:D72)</f>
        <v>10</v>
      </c>
      <c r="E44" s="123">
        <f t="shared" si="38"/>
        <v>17</v>
      </c>
      <c r="F44" s="123">
        <f t="shared" si="38"/>
        <v>0</v>
      </c>
      <c r="G44" s="123">
        <f t="shared" si="38"/>
        <v>467.5</v>
      </c>
      <c r="H44" s="123">
        <f t="shared" si="38"/>
        <v>0</v>
      </c>
      <c r="I44" s="123">
        <f t="shared" si="38"/>
        <v>0</v>
      </c>
      <c r="J44" s="26">
        <f t="shared" si="25"/>
        <v>27.5</v>
      </c>
      <c r="K44" s="42" t="s">
        <v>43</v>
      </c>
      <c r="L44" s="25" t="s">
        <v>44</v>
      </c>
      <c r="M44" s="123">
        <f>SUM(M45:M57,M61:M72)</f>
        <v>15</v>
      </c>
      <c r="N44" s="123">
        <f t="shared" ref="N44:S44" si="39">SUM(N45:N57,N61:N72)</f>
        <v>4</v>
      </c>
      <c r="O44" s="123">
        <f t="shared" si="39"/>
        <v>3</v>
      </c>
      <c r="P44" s="123">
        <f t="shared" si="39"/>
        <v>0</v>
      </c>
      <c r="Q44" s="123">
        <f t="shared" si="39"/>
        <v>82.5</v>
      </c>
      <c r="R44" s="123">
        <f t="shared" si="39"/>
        <v>0</v>
      </c>
      <c r="S44" s="123">
        <f t="shared" si="39"/>
        <v>0</v>
      </c>
      <c r="T44" s="26">
        <f>Q44/O44</f>
        <v>27.5</v>
      </c>
      <c r="U44" s="42" t="s">
        <v>43</v>
      </c>
      <c r="V44" s="25" t="s">
        <v>44</v>
      </c>
      <c r="W44" s="26">
        <f>SUM(W45:W46,W48:W57,W61:W72)</f>
        <v>19676656</v>
      </c>
      <c r="X44" s="26">
        <f>SUM(X45:X46,X48:X57,X61:X72)</f>
        <v>2199299</v>
      </c>
      <c r="Y44" s="26">
        <f>SUM(Y45:Y46,Y48:Y57,Y61:Y72)</f>
        <v>9745390</v>
      </c>
      <c r="Z44" s="26">
        <f>SUM(Z45:Z46,Z48:Z57,Z61:Z72)</f>
        <v>2068980</v>
      </c>
      <c r="AA44" s="26">
        <f>SUM(AA45:AA46,AA48:AA57,AA61:AA72)</f>
        <v>95864.599999999977</v>
      </c>
      <c r="AB44" s="26"/>
      <c r="AC44" s="26"/>
      <c r="AD44" s="26">
        <f t="shared" si="27"/>
        <v>9.8369177631680189E-3</v>
      </c>
      <c r="AE44" s="42" t="s">
        <v>43</v>
      </c>
      <c r="AF44" s="25" t="s">
        <v>44</v>
      </c>
      <c r="AG44" s="26">
        <f>SUM(AG45:AG46,AG48:AG57,AG61:AG72)</f>
        <v>34</v>
      </c>
      <c r="AH44" s="26">
        <f t="shared" ref="AH44:AM44" si="40">SUM(AH45:AH46,AH48:AH57,AH61:AH72)</f>
        <v>20</v>
      </c>
      <c r="AI44" s="26">
        <f>SUM(AI45:AI46,AI48:AI57,AI61:AI72)</f>
        <v>7</v>
      </c>
      <c r="AJ44" s="26">
        <f t="shared" si="40"/>
        <v>0</v>
      </c>
      <c r="AK44" s="26">
        <f>SUM(AK45:AK46,AK48:AK57,AK61:AK72)</f>
        <v>183.5</v>
      </c>
      <c r="AL44" s="26">
        <f t="shared" si="40"/>
        <v>0</v>
      </c>
      <c r="AM44" s="26">
        <f t="shared" si="40"/>
        <v>0</v>
      </c>
      <c r="AN44" s="26">
        <f t="shared" si="37"/>
        <v>26.214285714285715</v>
      </c>
      <c r="AO44" s="42" t="s">
        <v>43</v>
      </c>
      <c r="AP44" s="25" t="s">
        <v>44</v>
      </c>
      <c r="AQ44" s="26">
        <f>SUM(AQ45:AQ46,AQ48:AQ57,AQ61:AQ72)</f>
        <v>47</v>
      </c>
      <c r="AR44" s="26">
        <f t="shared" ref="AR44:AW44" si="41">SUM(AR45:AR46,AR48:AR57,AR61:AR72)</f>
        <v>5</v>
      </c>
      <c r="AS44" s="26">
        <f t="shared" si="41"/>
        <v>23</v>
      </c>
      <c r="AT44" s="26">
        <f t="shared" si="41"/>
        <v>3</v>
      </c>
      <c r="AU44" s="26">
        <f t="shared" si="41"/>
        <v>577</v>
      </c>
      <c r="AV44" s="26">
        <f t="shared" si="41"/>
        <v>0</v>
      </c>
      <c r="AW44" s="26">
        <f t="shared" si="41"/>
        <v>0</v>
      </c>
      <c r="AX44" s="26"/>
      <c r="AY44" s="42" t="s">
        <v>43</v>
      </c>
      <c r="AZ44" s="25" t="s">
        <v>44</v>
      </c>
      <c r="BA44" s="26">
        <f>SUM(BA45:BA46,BA48:BA57,BA61:BA72,BA72)</f>
        <v>19545322</v>
      </c>
      <c r="BB44" s="26">
        <f t="shared" ref="BB44:BG44" si="42">SUM(BB45:BB46,BB48:BB57,BB61:BB72,BB72)</f>
        <v>174383</v>
      </c>
      <c r="BC44" s="26">
        <f t="shared" si="42"/>
        <v>11104535</v>
      </c>
      <c r="BD44" s="26">
        <f t="shared" si="42"/>
        <v>571816</v>
      </c>
      <c r="BE44" s="80">
        <f t="shared" si="42"/>
        <v>34691.899999999994</v>
      </c>
      <c r="BF44" s="26">
        <f t="shared" si="42"/>
        <v>0</v>
      </c>
      <c r="BG44" s="26">
        <f t="shared" si="42"/>
        <v>0</v>
      </c>
      <c r="BH44" s="26">
        <v>0</v>
      </c>
      <c r="BI44" s="42" t="s">
        <v>43</v>
      </c>
      <c r="BJ44" s="25" t="s">
        <v>44</v>
      </c>
      <c r="BK44" s="26">
        <f>SUM(BK45:BK46,BK48:BK57,BK61:BK72)</f>
        <v>37</v>
      </c>
      <c r="BL44" s="26">
        <f t="shared" ref="BL44:BQ44" si="43">SUM(BL45:BL46,BL48:BL57,BL61:BL72)</f>
        <v>18</v>
      </c>
      <c r="BM44" s="26">
        <f t="shared" si="43"/>
        <v>22</v>
      </c>
      <c r="BN44" s="26">
        <f t="shared" si="43"/>
        <v>0</v>
      </c>
      <c r="BO44" s="26">
        <f t="shared" si="43"/>
        <v>432.5</v>
      </c>
      <c r="BP44" s="26">
        <f t="shared" si="43"/>
        <v>0</v>
      </c>
      <c r="BQ44" s="26">
        <f t="shared" si="43"/>
        <v>0</v>
      </c>
      <c r="BR44" s="26">
        <f t="shared" si="30"/>
        <v>19.65909090909091</v>
      </c>
      <c r="BS44" s="42" t="s">
        <v>43</v>
      </c>
      <c r="BT44" s="25" t="s">
        <v>44</v>
      </c>
      <c r="BU44" s="26">
        <f>SUM(BU45:BU46,BU48:BU57,BU61:BU72)</f>
        <v>36</v>
      </c>
      <c r="BV44" s="26">
        <f t="shared" ref="BV44:CA44" si="44">SUM(BV45:BV46,BV48:BV57,BV61:BV72)</f>
        <v>9</v>
      </c>
      <c r="BW44" s="26">
        <v>0</v>
      </c>
      <c r="BX44" s="26">
        <f t="shared" si="44"/>
        <v>0</v>
      </c>
      <c r="BY44" s="80">
        <f t="shared" si="44"/>
        <v>342</v>
      </c>
      <c r="BZ44" s="26">
        <f t="shared" si="44"/>
        <v>0</v>
      </c>
      <c r="CA44" s="26">
        <f t="shared" si="44"/>
        <v>0</v>
      </c>
      <c r="CB44" s="26" t="e">
        <f t="shared" si="31"/>
        <v>#DIV/0!</v>
      </c>
      <c r="CC44" s="42" t="s">
        <v>43</v>
      </c>
      <c r="CD44" s="25" t="s">
        <v>44</v>
      </c>
      <c r="CE44" s="26">
        <f>SUM(CE45:CE46,CE48:CE57,CE61:CE72)</f>
        <v>19395936</v>
      </c>
      <c r="CF44" s="26">
        <f t="shared" ref="CF44:CK44" si="45">SUM(CF45:CF46,CF48:CF57,CF61:CF72)</f>
        <v>2533676</v>
      </c>
      <c r="CG44" s="26">
        <f t="shared" si="45"/>
        <v>9551892</v>
      </c>
      <c r="CH44" s="26">
        <f t="shared" si="45"/>
        <v>3673090</v>
      </c>
      <c r="CI44" s="26">
        <f t="shared" si="45"/>
        <v>26031.399999999998</v>
      </c>
      <c r="CJ44" s="26">
        <f t="shared" si="45"/>
        <v>0</v>
      </c>
      <c r="CK44" s="26">
        <f t="shared" si="45"/>
        <v>0</v>
      </c>
      <c r="CL44" s="26">
        <f t="shared" si="32"/>
        <v>2.7252611315119559E-3</v>
      </c>
      <c r="CM44" s="42" t="s">
        <v>43</v>
      </c>
      <c r="CN44" s="25" t="s">
        <v>44</v>
      </c>
      <c r="CO44" s="26">
        <f>SUM(CO45:CO46,CO48:CO57,CO61:CO72)</f>
        <v>25</v>
      </c>
      <c r="CP44" s="26">
        <f t="shared" ref="CP44:CU44" si="46">SUM(CP45:CP46,CP48:CP57,CP61:CP72)</f>
        <v>11</v>
      </c>
      <c r="CQ44" s="26">
        <f t="shared" si="46"/>
        <v>8</v>
      </c>
      <c r="CR44" s="26">
        <f t="shared" si="46"/>
        <v>0</v>
      </c>
      <c r="CS44" s="26">
        <f t="shared" si="46"/>
        <v>250.5</v>
      </c>
      <c r="CT44" s="26">
        <f t="shared" si="46"/>
        <v>0</v>
      </c>
      <c r="CU44" s="26">
        <f t="shared" si="46"/>
        <v>0</v>
      </c>
      <c r="CV44" s="26"/>
      <c r="CW44" s="42" t="s">
        <v>43</v>
      </c>
      <c r="CX44" s="25" t="s">
        <v>44</v>
      </c>
      <c r="CY44" s="26">
        <f>SUM(CY45:CY46,CY48:CY57,CY61:CY72)</f>
        <v>24</v>
      </c>
      <c r="CZ44" s="26">
        <f t="shared" ref="CZ44:DE44" si="47">SUM(CZ45:CZ46,CZ48:CZ57,CZ61:CZ72)</f>
        <v>0</v>
      </c>
      <c r="DA44" s="26">
        <f t="shared" si="47"/>
        <v>14</v>
      </c>
      <c r="DB44" s="26">
        <f t="shared" si="47"/>
        <v>0</v>
      </c>
      <c r="DC44" s="80">
        <f t="shared" si="47"/>
        <v>364</v>
      </c>
      <c r="DD44" s="26">
        <f t="shared" si="47"/>
        <v>0</v>
      </c>
      <c r="DE44" s="26">
        <f t="shared" si="47"/>
        <v>0</v>
      </c>
      <c r="DF44" s="26">
        <f t="shared" si="34"/>
        <v>26</v>
      </c>
      <c r="DG44" s="42" t="s">
        <v>43</v>
      </c>
      <c r="DH44" s="25" t="s">
        <v>44</v>
      </c>
      <c r="DI44" s="26">
        <f>SUM(DI45:DI46,DI48:DI57,DI57,DI61:DI72)</f>
        <v>18310533</v>
      </c>
      <c r="DJ44" s="26">
        <f t="shared" ref="DJ44:DO44" si="48">SUM(DJ45:DJ46,DJ48:DJ57,DJ57,DJ61:DJ72)</f>
        <v>2212340</v>
      </c>
      <c r="DK44" s="26">
        <f t="shared" si="48"/>
        <v>7145766</v>
      </c>
      <c r="DL44" s="26">
        <f t="shared" si="48"/>
        <v>63708</v>
      </c>
      <c r="DM44" s="80">
        <f t="shared" si="48"/>
        <v>37854.900000000009</v>
      </c>
      <c r="DN44" s="26">
        <f t="shared" si="48"/>
        <v>0</v>
      </c>
      <c r="DO44" s="26">
        <f t="shared" si="48"/>
        <v>0</v>
      </c>
      <c r="DP44" s="26">
        <f t="shared" si="35"/>
        <v>5.2975286344389121E-3</v>
      </c>
      <c r="DQ44" s="42" t="s">
        <v>43</v>
      </c>
      <c r="DR44" s="25" t="s">
        <v>44</v>
      </c>
      <c r="DS44" s="128">
        <f>SUM(C44+M44+W44+AG44+AQ44+BA44+BK44+BU44+CE44+CO44+CY44+DI44)</f>
        <v>76928687</v>
      </c>
      <c r="DT44" s="128">
        <f>SUM(D44+N44+X44+AH44+AR44+BB44+BL44+BV44+CF44+CP44+CZ44+DJ44)</f>
        <v>7119775</v>
      </c>
      <c r="DU44" s="128">
        <f t="shared" si="23"/>
        <v>37547677</v>
      </c>
      <c r="DV44" s="128">
        <f>SUM(F44+P44+Z44+AJ44+AT44+BD44+BN44+BX44+CH44+CR44+DB44+DL44)</f>
        <v>6377597</v>
      </c>
      <c r="DW44" s="128">
        <f t="shared" si="24"/>
        <v>197142.3</v>
      </c>
      <c r="DX44" s="128">
        <f>SUM(H44+R44+AB44+AL44+AV44+BF44+BP44+BZ44+CJ44+CT44+DD44+DN44)</f>
        <v>0</v>
      </c>
      <c r="DY44" s="128">
        <f>SUM(I44+S44+AC44+AM44+AW44+BG44+BQ44+CA44+CK44+CU44+DE44+DO44)</f>
        <v>0</v>
      </c>
      <c r="DZ44" s="26">
        <f>DW44/DU44</f>
        <v>5.2504526445138E-3</v>
      </c>
    </row>
    <row r="45" spans="1:130" x14ac:dyDescent="0.3">
      <c r="A45" s="1">
        <v>1</v>
      </c>
      <c r="B45" s="3" t="s">
        <v>42</v>
      </c>
      <c r="C45" s="6">
        <v>22</v>
      </c>
      <c r="D45" s="79">
        <v>9</v>
      </c>
      <c r="E45" s="79">
        <v>17</v>
      </c>
      <c r="F45" s="79">
        <v>0</v>
      </c>
      <c r="G45" s="92">
        <v>467.5</v>
      </c>
      <c r="H45" s="79">
        <v>0</v>
      </c>
      <c r="I45" s="79">
        <v>0</v>
      </c>
      <c r="J45" s="79">
        <f t="shared" si="25"/>
        <v>27.5</v>
      </c>
      <c r="K45" s="1">
        <v>1</v>
      </c>
      <c r="L45" s="3" t="s">
        <v>42</v>
      </c>
      <c r="M45" s="6">
        <v>14</v>
      </c>
      <c r="N45" s="79">
        <v>3</v>
      </c>
      <c r="O45" s="79">
        <v>3</v>
      </c>
      <c r="P45" s="79">
        <v>0</v>
      </c>
      <c r="Q45" s="92">
        <v>82.5</v>
      </c>
      <c r="R45" s="79">
        <v>0</v>
      </c>
      <c r="S45" s="79">
        <v>0</v>
      </c>
      <c r="T45" s="79">
        <f>Q45/O45</f>
        <v>27.5</v>
      </c>
      <c r="U45" s="1">
        <v>1</v>
      </c>
      <c r="V45" s="3" t="s">
        <v>42</v>
      </c>
      <c r="W45" s="6">
        <v>17</v>
      </c>
      <c r="X45" s="79">
        <v>7</v>
      </c>
      <c r="Y45" s="79">
        <v>14</v>
      </c>
      <c r="Z45" s="79">
        <v>0</v>
      </c>
      <c r="AA45" s="92">
        <v>422.5</v>
      </c>
      <c r="AB45" s="79">
        <v>0</v>
      </c>
      <c r="AC45" s="79">
        <v>0</v>
      </c>
      <c r="AD45" s="79">
        <f>AA45/Y45</f>
        <v>30.178571428571427</v>
      </c>
      <c r="AE45" s="1">
        <v>1</v>
      </c>
      <c r="AF45" s="3" t="s">
        <v>42</v>
      </c>
      <c r="AG45" s="6">
        <v>14</v>
      </c>
      <c r="AH45" s="79">
        <v>7</v>
      </c>
      <c r="AI45" s="79">
        <v>5</v>
      </c>
      <c r="AJ45" s="79">
        <v>0</v>
      </c>
      <c r="AK45" s="92">
        <v>133.5</v>
      </c>
      <c r="AL45" s="79">
        <v>0</v>
      </c>
      <c r="AM45" s="79">
        <v>0</v>
      </c>
      <c r="AN45" s="79">
        <f>AK45/AI45</f>
        <v>26.7</v>
      </c>
      <c r="AO45" s="1">
        <v>1</v>
      </c>
      <c r="AP45" s="3" t="s">
        <v>42</v>
      </c>
      <c r="AQ45" s="6">
        <v>16</v>
      </c>
      <c r="AR45" s="79">
        <v>1</v>
      </c>
      <c r="AS45" s="79">
        <v>5</v>
      </c>
      <c r="AT45" s="79">
        <v>3</v>
      </c>
      <c r="AU45" s="92">
        <v>177</v>
      </c>
      <c r="AV45" s="79">
        <v>0</v>
      </c>
      <c r="AW45" s="79">
        <v>0</v>
      </c>
      <c r="AX45" s="79">
        <f>AU45/AS45</f>
        <v>35.4</v>
      </c>
      <c r="AY45" s="1">
        <v>1</v>
      </c>
      <c r="AZ45" s="3" t="s">
        <v>42</v>
      </c>
      <c r="BA45" s="6">
        <v>10</v>
      </c>
      <c r="BB45" s="79">
        <v>14</v>
      </c>
      <c r="BC45" s="79">
        <v>6</v>
      </c>
      <c r="BD45" s="79"/>
      <c r="BE45" s="197">
        <v>116.5</v>
      </c>
      <c r="BF45" s="79">
        <v>0</v>
      </c>
      <c r="BG45" s="79"/>
      <c r="BH45" s="79">
        <f>BE45/BC45</f>
        <v>19.416666666666668</v>
      </c>
      <c r="BI45" s="1">
        <v>1</v>
      </c>
      <c r="BJ45" s="3" t="s">
        <v>42</v>
      </c>
      <c r="BK45" s="6">
        <v>18</v>
      </c>
      <c r="BL45" s="79">
        <v>12</v>
      </c>
      <c r="BM45" s="79">
        <f>3+3</f>
        <v>6</v>
      </c>
      <c r="BN45" s="79"/>
      <c r="BO45" s="92">
        <v>152.5</v>
      </c>
      <c r="BP45" s="79"/>
      <c r="BQ45" s="79"/>
      <c r="BR45" s="79">
        <f t="shared" si="30"/>
        <v>25.416666666666668</v>
      </c>
      <c r="BS45" s="1">
        <v>1</v>
      </c>
      <c r="BT45" s="3" t="s">
        <v>42</v>
      </c>
      <c r="BU45" s="6">
        <v>27</v>
      </c>
      <c r="BV45" s="79">
        <v>7</v>
      </c>
      <c r="BW45" s="79">
        <f>10+2</f>
        <v>12</v>
      </c>
      <c r="BX45" s="79"/>
      <c r="BY45" s="197">
        <v>238</v>
      </c>
      <c r="BZ45" s="79"/>
      <c r="CA45" s="79"/>
      <c r="CB45" s="79">
        <f t="shared" si="31"/>
        <v>19.833333333333332</v>
      </c>
      <c r="CC45" s="1">
        <v>1</v>
      </c>
      <c r="CD45" s="3" t="s">
        <v>42</v>
      </c>
      <c r="CE45" s="6">
        <v>24</v>
      </c>
      <c r="CF45" s="6">
        <v>6</v>
      </c>
      <c r="CG45" s="6">
        <f>14+2</f>
        <v>16</v>
      </c>
      <c r="CH45" s="6">
        <v>0</v>
      </c>
      <c r="CI45" s="6">
        <v>441.5</v>
      </c>
      <c r="CJ45" s="79"/>
      <c r="CK45" s="79"/>
      <c r="CL45" s="79">
        <f t="shared" si="32"/>
        <v>27.59375</v>
      </c>
      <c r="CM45" s="1">
        <v>1</v>
      </c>
      <c r="CN45" s="3" t="s">
        <v>42</v>
      </c>
      <c r="CO45" s="6">
        <v>16</v>
      </c>
      <c r="CP45" s="79">
        <v>6</v>
      </c>
      <c r="CQ45" s="79">
        <v>6</v>
      </c>
      <c r="CR45" s="79"/>
      <c r="CS45" s="92">
        <v>175</v>
      </c>
      <c r="CT45" s="79"/>
      <c r="CU45" s="79"/>
      <c r="CV45" s="79">
        <f>CS45/CQ45</f>
        <v>29.166666666666668</v>
      </c>
      <c r="CW45" s="1">
        <v>1</v>
      </c>
      <c r="CX45" s="3" t="s">
        <v>42</v>
      </c>
      <c r="CY45" s="6">
        <v>18</v>
      </c>
      <c r="CZ45" s="79"/>
      <c r="DA45" s="79">
        <f>6+3</f>
        <v>9</v>
      </c>
      <c r="DB45" s="79">
        <v>0</v>
      </c>
      <c r="DC45" s="197">
        <v>247.5</v>
      </c>
      <c r="DD45" s="79"/>
      <c r="DE45" s="79"/>
      <c r="DF45" s="79">
        <f t="shared" si="34"/>
        <v>27.5</v>
      </c>
      <c r="DG45" s="1">
        <v>1</v>
      </c>
      <c r="DH45" s="3" t="s">
        <v>42</v>
      </c>
      <c r="DI45" s="6">
        <v>17</v>
      </c>
      <c r="DJ45" s="79">
        <v>5</v>
      </c>
      <c r="DK45" s="79">
        <v>13</v>
      </c>
      <c r="DL45" s="79"/>
      <c r="DM45" s="197">
        <v>360.5</v>
      </c>
      <c r="DN45" s="79"/>
      <c r="DO45" s="79"/>
      <c r="DP45" s="79">
        <f t="shared" si="35"/>
        <v>27.73076923076923</v>
      </c>
      <c r="DQ45" s="1">
        <v>1</v>
      </c>
      <c r="DR45" s="3" t="s">
        <v>42</v>
      </c>
      <c r="DS45" s="6">
        <f t="shared" si="21"/>
        <v>213</v>
      </c>
      <c r="DT45" s="79">
        <f t="shared" si="22"/>
        <v>86</v>
      </c>
      <c r="DU45" s="79">
        <f>SUM(E45+O45+Y45+AI45+AS45+BC45+BM45+BW45+CG45+CQ45+DA45+DK45)</f>
        <v>112</v>
      </c>
      <c r="DV45" s="79">
        <v>0</v>
      </c>
      <c r="DW45" s="79">
        <f t="shared" si="24"/>
        <v>3014.5</v>
      </c>
      <c r="DX45" s="79">
        <v>0</v>
      </c>
      <c r="DY45" s="79">
        <v>0</v>
      </c>
      <c r="DZ45" s="79">
        <f>DW45/DU45</f>
        <v>26.915178571428573</v>
      </c>
    </row>
    <row r="46" spans="1:130" x14ac:dyDescent="0.3">
      <c r="A46" s="1">
        <v>2</v>
      </c>
      <c r="B46" s="3" t="s">
        <v>45</v>
      </c>
      <c r="C46" s="6">
        <v>0</v>
      </c>
      <c r="D46" s="79">
        <v>1</v>
      </c>
      <c r="E46" s="18">
        <v>0</v>
      </c>
      <c r="F46" s="18">
        <v>0</v>
      </c>
      <c r="G46" s="92">
        <v>0</v>
      </c>
      <c r="H46" s="79">
        <v>0</v>
      </c>
      <c r="I46" s="79">
        <v>0</v>
      </c>
      <c r="J46" s="79">
        <v>0</v>
      </c>
      <c r="K46" s="1">
        <v>2</v>
      </c>
      <c r="L46" s="3" t="s">
        <v>45</v>
      </c>
      <c r="M46" s="6">
        <v>1</v>
      </c>
      <c r="N46" s="79">
        <v>1</v>
      </c>
      <c r="O46" s="18">
        <v>0</v>
      </c>
      <c r="P46" s="18">
        <v>0</v>
      </c>
      <c r="Q46" s="92">
        <v>0</v>
      </c>
      <c r="R46" s="79">
        <v>0</v>
      </c>
      <c r="S46" s="79">
        <v>0</v>
      </c>
      <c r="T46" s="79">
        <v>0</v>
      </c>
      <c r="U46" s="1">
        <v>2</v>
      </c>
      <c r="V46" s="3" t="s">
        <v>45</v>
      </c>
      <c r="W46" s="6">
        <v>2</v>
      </c>
      <c r="X46" s="79">
        <v>18</v>
      </c>
      <c r="Y46" s="18">
        <v>0</v>
      </c>
      <c r="Z46" s="18">
        <v>0</v>
      </c>
      <c r="AA46" s="92">
        <v>0</v>
      </c>
      <c r="AB46" s="79">
        <v>0</v>
      </c>
      <c r="AC46" s="79">
        <v>0</v>
      </c>
      <c r="AD46" s="79">
        <v>0</v>
      </c>
      <c r="AE46" s="1">
        <v>2</v>
      </c>
      <c r="AF46" s="3" t="s">
        <v>45</v>
      </c>
      <c r="AG46" s="6">
        <v>20</v>
      </c>
      <c r="AH46" s="79">
        <v>13</v>
      </c>
      <c r="AI46" s="18">
        <v>2</v>
      </c>
      <c r="AJ46" s="18">
        <v>0</v>
      </c>
      <c r="AK46" s="92">
        <v>50</v>
      </c>
      <c r="AL46" s="79">
        <v>0</v>
      </c>
      <c r="AM46" s="79">
        <v>0</v>
      </c>
      <c r="AN46" s="79">
        <v>0</v>
      </c>
      <c r="AO46" s="1">
        <v>2</v>
      </c>
      <c r="AP46" s="3" t="s">
        <v>45</v>
      </c>
      <c r="AQ46" s="6">
        <v>31</v>
      </c>
      <c r="AR46" s="79">
        <v>4</v>
      </c>
      <c r="AS46" s="18">
        <v>18</v>
      </c>
      <c r="AT46" s="18">
        <v>0</v>
      </c>
      <c r="AU46" s="92">
        <v>400</v>
      </c>
      <c r="AV46" s="79">
        <v>0</v>
      </c>
      <c r="AW46" s="79">
        <v>0</v>
      </c>
      <c r="AX46" s="79">
        <v>0</v>
      </c>
      <c r="AY46" s="1">
        <v>2</v>
      </c>
      <c r="AZ46" s="3" t="s">
        <v>45</v>
      </c>
      <c r="BA46" s="6">
        <v>35</v>
      </c>
      <c r="BB46" s="79">
        <v>3</v>
      </c>
      <c r="BC46" s="18">
        <v>35</v>
      </c>
      <c r="BD46" s="18"/>
      <c r="BE46" s="197">
        <v>465</v>
      </c>
      <c r="BF46" s="79">
        <v>0</v>
      </c>
      <c r="BG46" s="79"/>
      <c r="BH46" s="79">
        <v>0</v>
      </c>
      <c r="BI46" s="1">
        <v>2</v>
      </c>
      <c r="BJ46" s="3" t="s">
        <v>45</v>
      </c>
      <c r="BK46" s="6">
        <v>19</v>
      </c>
      <c r="BL46" s="79">
        <v>6</v>
      </c>
      <c r="BM46" s="18">
        <f>16</f>
        <v>16</v>
      </c>
      <c r="BN46" s="18"/>
      <c r="BO46" s="92">
        <v>280</v>
      </c>
      <c r="BP46" s="79"/>
      <c r="BQ46" s="79"/>
      <c r="BR46" s="79">
        <f t="shared" si="30"/>
        <v>17.5</v>
      </c>
      <c r="BS46" s="1">
        <v>2</v>
      </c>
      <c r="BT46" s="3" t="s">
        <v>45</v>
      </c>
      <c r="BU46" s="6">
        <v>9</v>
      </c>
      <c r="BV46" s="79">
        <v>2</v>
      </c>
      <c r="BW46" s="18">
        <f>2+2</f>
        <v>4</v>
      </c>
      <c r="BX46" s="18"/>
      <c r="BY46" s="197">
        <v>104</v>
      </c>
      <c r="BZ46" s="79"/>
      <c r="CA46" s="79"/>
      <c r="CB46" s="79">
        <f t="shared" si="31"/>
        <v>26</v>
      </c>
      <c r="CC46" s="1">
        <v>2</v>
      </c>
      <c r="CD46" s="3" t="s">
        <v>45</v>
      </c>
      <c r="CE46" s="6">
        <v>9</v>
      </c>
      <c r="CF46" s="6">
        <v>4</v>
      </c>
      <c r="CG46" s="6">
        <f>4+3</f>
        <v>7</v>
      </c>
      <c r="CH46" s="6">
        <v>0</v>
      </c>
      <c r="CI46" s="6">
        <v>204.5</v>
      </c>
      <c r="CJ46" s="79"/>
      <c r="CK46" s="79"/>
      <c r="CL46" s="79">
        <f t="shared" si="32"/>
        <v>29.214285714285715</v>
      </c>
      <c r="CM46" s="1">
        <v>2</v>
      </c>
      <c r="CN46" s="3" t="s">
        <v>45</v>
      </c>
      <c r="CO46" s="6">
        <v>9</v>
      </c>
      <c r="CP46" s="79">
        <v>5</v>
      </c>
      <c r="CQ46" s="18">
        <v>2</v>
      </c>
      <c r="CR46" s="18"/>
      <c r="CS46" s="92">
        <v>75.5</v>
      </c>
      <c r="CT46" s="79"/>
      <c r="CU46" s="79"/>
      <c r="CV46" s="79">
        <v>0</v>
      </c>
      <c r="CW46" s="1">
        <v>2</v>
      </c>
      <c r="CX46" s="3" t="s">
        <v>45</v>
      </c>
      <c r="CY46" s="6">
        <v>6</v>
      </c>
      <c r="CZ46" s="79"/>
      <c r="DA46" s="18">
        <f>3+2</f>
        <v>5</v>
      </c>
      <c r="DB46" s="18">
        <v>0</v>
      </c>
      <c r="DC46" s="197">
        <v>116.5</v>
      </c>
      <c r="DD46" s="79"/>
      <c r="DE46" s="79"/>
      <c r="DF46" s="79">
        <f t="shared" si="34"/>
        <v>23.3</v>
      </c>
      <c r="DG46" s="1">
        <v>2</v>
      </c>
      <c r="DH46" s="3" t="s">
        <v>45</v>
      </c>
      <c r="DI46" s="6">
        <v>5</v>
      </c>
      <c r="DJ46" s="79">
        <v>1</v>
      </c>
      <c r="DK46" s="18">
        <v>4</v>
      </c>
      <c r="DL46" s="18"/>
      <c r="DM46" s="197">
        <v>147</v>
      </c>
      <c r="DN46" s="79"/>
      <c r="DO46" s="79"/>
      <c r="DP46" s="79">
        <f t="shared" si="35"/>
        <v>36.75</v>
      </c>
      <c r="DQ46" s="1">
        <v>2</v>
      </c>
      <c r="DR46" s="3" t="s">
        <v>45</v>
      </c>
      <c r="DS46" s="6">
        <f t="shared" si="21"/>
        <v>146</v>
      </c>
      <c r="DT46" s="79">
        <f t="shared" si="22"/>
        <v>63</v>
      </c>
      <c r="DU46" s="79">
        <f>SUM(E46+O46+Y46+AI46+AS46+BC46+BM46+BW46+CG46+CQ46+DA46+DK46)</f>
        <v>93</v>
      </c>
      <c r="DV46" s="18">
        <v>0</v>
      </c>
      <c r="DW46" s="79">
        <f t="shared" si="24"/>
        <v>1842.5</v>
      </c>
      <c r="DX46" s="79">
        <v>0</v>
      </c>
      <c r="DY46" s="79">
        <v>0</v>
      </c>
      <c r="DZ46" s="79">
        <v>0</v>
      </c>
    </row>
    <row r="47" spans="1:130" s="120" customFormat="1" x14ac:dyDescent="0.3">
      <c r="A47" s="116"/>
      <c r="B47" s="117"/>
      <c r="C47" s="124"/>
      <c r="D47" s="118" t="s">
        <v>216</v>
      </c>
      <c r="E47" s="118" t="s">
        <v>216</v>
      </c>
      <c r="F47" s="115" t="s">
        <v>216</v>
      </c>
      <c r="G47" s="118"/>
      <c r="H47" s="26"/>
      <c r="I47" s="26"/>
      <c r="J47" s="26"/>
      <c r="K47" s="116"/>
      <c r="L47" s="117"/>
      <c r="M47" s="124"/>
      <c r="N47" s="115" t="s">
        <v>216</v>
      </c>
      <c r="O47" s="115" t="s">
        <v>216</v>
      </c>
      <c r="P47" s="115" t="s">
        <v>216</v>
      </c>
      <c r="Q47" s="119"/>
      <c r="R47" s="26"/>
      <c r="S47" s="26"/>
      <c r="T47" s="26"/>
      <c r="U47" s="116"/>
      <c r="V47" s="117"/>
      <c r="W47" s="124"/>
      <c r="X47" s="118" t="s">
        <v>216</v>
      </c>
      <c r="Y47" s="118" t="s">
        <v>216</v>
      </c>
      <c r="Z47" s="118" t="s">
        <v>216</v>
      </c>
      <c r="AA47" s="119"/>
      <c r="AB47" s="26"/>
      <c r="AC47" s="26"/>
      <c r="AD47" s="26"/>
      <c r="AE47" s="116"/>
      <c r="AF47" s="117"/>
      <c r="AG47" s="124"/>
      <c r="AH47" s="118" t="s">
        <v>216</v>
      </c>
      <c r="AI47" s="118" t="s">
        <v>216</v>
      </c>
      <c r="AJ47" s="118" t="s">
        <v>216</v>
      </c>
      <c r="AK47" s="119"/>
      <c r="AL47" s="26"/>
      <c r="AM47" s="26"/>
      <c r="AN47" s="26"/>
      <c r="AO47" s="116"/>
      <c r="AP47" s="117"/>
      <c r="AQ47" s="124"/>
      <c r="AR47" s="118" t="s">
        <v>216</v>
      </c>
      <c r="AS47" s="118" t="s">
        <v>216</v>
      </c>
      <c r="AT47" s="118" t="s">
        <v>216</v>
      </c>
      <c r="AU47" s="119"/>
      <c r="AV47" s="26"/>
      <c r="AW47" s="26"/>
      <c r="AX47" s="26"/>
      <c r="AY47" s="116"/>
      <c r="AZ47" s="117"/>
      <c r="BA47" s="124"/>
      <c r="BB47" s="118" t="s">
        <v>216</v>
      </c>
      <c r="BC47" s="118" t="s">
        <v>216</v>
      </c>
      <c r="BD47" s="118" t="s">
        <v>216</v>
      </c>
      <c r="BE47" s="198"/>
      <c r="BF47" s="26"/>
      <c r="BG47" s="26"/>
      <c r="BH47" s="26"/>
      <c r="BI47" s="116"/>
      <c r="BJ47" s="117"/>
      <c r="BK47" s="124"/>
      <c r="BL47" s="118" t="s">
        <v>216</v>
      </c>
      <c r="BM47" s="118" t="s">
        <v>216</v>
      </c>
      <c r="BN47" s="118" t="s">
        <v>216</v>
      </c>
      <c r="BO47" s="119"/>
      <c r="BP47" s="26"/>
      <c r="BQ47" s="26"/>
      <c r="BR47" s="26" t="e">
        <f t="shared" si="30"/>
        <v>#VALUE!</v>
      </c>
      <c r="BS47" s="116"/>
      <c r="BT47" s="117"/>
      <c r="BU47" s="124"/>
      <c r="BV47" s="118" t="s">
        <v>216</v>
      </c>
      <c r="BW47" s="118" t="s">
        <v>216</v>
      </c>
      <c r="BX47" s="118" t="s">
        <v>216</v>
      </c>
      <c r="BY47" s="198"/>
      <c r="BZ47" s="26"/>
      <c r="CA47" s="26"/>
      <c r="CB47" s="26" t="e">
        <f t="shared" si="31"/>
        <v>#VALUE!</v>
      </c>
      <c r="CC47" s="116"/>
      <c r="CD47" s="117"/>
      <c r="CE47" s="124"/>
      <c r="CF47" s="118" t="s">
        <v>216</v>
      </c>
      <c r="CG47" s="118" t="s">
        <v>216</v>
      </c>
      <c r="CH47" s="118" t="s">
        <v>216</v>
      </c>
      <c r="CI47" s="119"/>
      <c r="CJ47" s="26"/>
      <c r="CK47" s="26"/>
      <c r="CL47" s="26" t="e">
        <f t="shared" si="32"/>
        <v>#VALUE!</v>
      </c>
      <c r="CM47" s="116"/>
      <c r="CN47" s="117"/>
      <c r="CO47" s="124"/>
      <c r="CP47" s="118" t="s">
        <v>216</v>
      </c>
      <c r="CQ47" s="118" t="s">
        <v>216</v>
      </c>
      <c r="CR47" s="118" t="s">
        <v>216</v>
      </c>
      <c r="CS47" s="119"/>
      <c r="CT47" s="26"/>
      <c r="CU47" s="26"/>
      <c r="CV47" s="26"/>
      <c r="CW47" s="116"/>
      <c r="CX47" s="117"/>
      <c r="CY47" s="124"/>
      <c r="CZ47" s="118" t="s">
        <v>216</v>
      </c>
      <c r="DA47" s="118" t="s">
        <v>216</v>
      </c>
      <c r="DB47" s="118" t="s">
        <v>216</v>
      </c>
      <c r="DC47" s="198"/>
      <c r="DD47" s="26"/>
      <c r="DE47" s="26"/>
      <c r="DF47" s="26" t="e">
        <f t="shared" si="34"/>
        <v>#VALUE!</v>
      </c>
      <c r="DG47" s="116"/>
      <c r="DH47" s="117"/>
      <c r="DI47" s="124"/>
      <c r="DJ47" s="118" t="s">
        <v>216</v>
      </c>
      <c r="DK47" s="118" t="s">
        <v>216</v>
      </c>
      <c r="DL47" s="118" t="s">
        <v>216</v>
      </c>
      <c r="DM47" s="198"/>
      <c r="DN47" s="26"/>
      <c r="DO47" s="26"/>
      <c r="DP47" s="26" t="e">
        <f t="shared" si="35"/>
        <v>#VALUE!</v>
      </c>
      <c r="DQ47" s="116"/>
      <c r="DR47" s="117"/>
      <c r="DS47" s="128"/>
      <c r="DT47" s="118" t="s">
        <v>216</v>
      </c>
      <c r="DU47" s="118" t="s">
        <v>216</v>
      </c>
      <c r="DV47" s="118" t="s">
        <v>216</v>
      </c>
      <c r="DW47" s="26"/>
      <c r="DX47" s="26"/>
      <c r="DY47" s="26"/>
      <c r="DZ47" s="26"/>
    </row>
    <row r="48" spans="1:130" x14ac:dyDescent="0.3">
      <c r="A48" s="1">
        <v>3</v>
      </c>
      <c r="B48" s="3" t="s">
        <v>57</v>
      </c>
      <c r="C48" s="6">
        <v>0</v>
      </c>
      <c r="D48" s="79">
        <v>0</v>
      </c>
      <c r="E48" s="79">
        <v>0</v>
      </c>
      <c r="F48" s="79">
        <v>0</v>
      </c>
      <c r="G48" s="92">
        <v>0</v>
      </c>
      <c r="H48" s="79">
        <v>0</v>
      </c>
      <c r="I48" s="79">
        <v>0</v>
      </c>
      <c r="J48" s="79">
        <v>0</v>
      </c>
      <c r="K48" s="1">
        <v>3</v>
      </c>
      <c r="L48" s="3" t="s">
        <v>57</v>
      </c>
      <c r="M48" s="6">
        <v>0</v>
      </c>
      <c r="N48" s="79">
        <v>0</v>
      </c>
      <c r="O48" s="79">
        <v>0</v>
      </c>
      <c r="P48" s="79">
        <v>0</v>
      </c>
      <c r="Q48" s="92">
        <v>0</v>
      </c>
      <c r="R48" s="79">
        <v>0</v>
      </c>
      <c r="S48" s="79">
        <v>0</v>
      </c>
      <c r="T48" s="79">
        <v>0</v>
      </c>
      <c r="U48" s="1">
        <v>3</v>
      </c>
      <c r="V48" s="3" t="s">
        <v>57</v>
      </c>
      <c r="W48" s="6">
        <v>170106</v>
      </c>
      <c r="X48" s="79">
        <v>8151</v>
      </c>
      <c r="Y48" s="79">
        <v>114400</v>
      </c>
      <c r="Z48" s="79">
        <v>1811</v>
      </c>
      <c r="AA48" s="92">
        <v>3197.3</v>
      </c>
      <c r="AB48" s="79">
        <v>0</v>
      </c>
      <c r="AC48" s="79">
        <v>0</v>
      </c>
      <c r="AD48" s="79">
        <f t="shared" ref="AD48:AD57" si="49">AA48/Y48</f>
        <v>2.7948426573426575E-2</v>
      </c>
      <c r="AE48" s="1">
        <v>3</v>
      </c>
      <c r="AF48" s="3" t="s">
        <v>57</v>
      </c>
      <c r="AG48" s="6">
        <v>0</v>
      </c>
      <c r="AH48" s="79">
        <v>0</v>
      </c>
      <c r="AI48" s="79">
        <v>0</v>
      </c>
      <c r="AJ48" s="79">
        <v>0</v>
      </c>
      <c r="AK48" s="92">
        <v>0</v>
      </c>
      <c r="AL48" s="79">
        <v>0</v>
      </c>
      <c r="AM48" s="79">
        <v>0</v>
      </c>
      <c r="AN48" s="79">
        <v>0</v>
      </c>
      <c r="AO48" s="1">
        <v>3</v>
      </c>
      <c r="AP48" s="3" t="s">
        <v>57</v>
      </c>
      <c r="AQ48" s="6">
        <v>0</v>
      </c>
      <c r="AR48" s="79">
        <v>0</v>
      </c>
      <c r="AS48" s="79">
        <v>0</v>
      </c>
      <c r="AT48" s="79">
        <v>0</v>
      </c>
      <c r="AU48" s="92">
        <v>0</v>
      </c>
      <c r="AV48" s="79">
        <v>0</v>
      </c>
      <c r="AW48" s="79">
        <v>0</v>
      </c>
      <c r="AX48" s="79">
        <v>0</v>
      </c>
      <c r="AY48" s="1">
        <v>3</v>
      </c>
      <c r="AZ48" s="3" t="s">
        <v>57</v>
      </c>
      <c r="BA48" s="6">
        <v>176728</v>
      </c>
      <c r="BB48" s="79">
        <v>5973</v>
      </c>
      <c r="BC48" s="79">
        <v>81833</v>
      </c>
      <c r="BD48" s="79">
        <v>868</v>
      </c>
      <c r="BE48" s="197">
        <v>1657.8</v>
      </c>
      <c r="BF48" s="79">
        <v>0</v>
      </c>
      <c r="BG48" s="79">
        <v>0</v>
      </c>
      <c r="BH48" s="79">
        <f t="shared" ref="BH48:BH57" si="50">BE48/BC48</f>
        <v>2.0258330991164933E-2</v>
      </c>
      <c r="BI48" s="1">
        <v>3</v>
      </c>
      <c r="BJ48" s="3" t="s">
        <v>57</v>
      </c>
      <c r="BK48" s="6">
        <v>0</v>
      </c>
      <c r="BL48" s="79">
        <v>0</v>
      </c>
      <c r="BM48" s="79">
        <v>0</v>
      </c>
      <c r="BN48" s="79">
        <v>0</v>
      </c>
      <c r="BO48" s="92">
        <v>0</v>
      </c>
      <c r="BP48" s="79">
        <v>0</v>
      </c>
      <c r="BQ48" s="79">
        <v>0</v>
      </c>
      <c r="BR48" s="79" t="e">
        <f t="shared" si="30"/>
        <v>#DIV/0!</v>
      </c>
      <c r="BS48" s="1">
        <v>3</v>
      </c>
      <c r="BT48" s="3" t="s">
        <v>57</v>
      </c>
      <c r="BU48" s="6">
        <v>0</v>
      </c>
      <c r="BV48" s="79">
        <v>0</v>
      </c>
      <c r="BW48" s="79">
        <v>0</v>
      </c>
      <c r="BX48" s="79">
        <v>0</v>
      </c>
      <c r="BY48" s="197">
        <v>0</v>
      </c>
      <c r="BZ48" s="79">
        <v>0</v>
      </c>
      <c r="CA48" s="79">
        <v>0</v>
      </c>
      <c r="CB48" s="79" t="e">
        <f t="shared" si="31"/>
        <v>#DIV/0!</v>
      </c>
      <c r="CC48" s="1">
        <v>3</v>
      </c>
      <c r="CD48" s="3" t="s">
        <v>57</v>
      </c>
      <c r="CE48" s="6">
        <v>182136</v>
      </c>
      <c r="CF48" s="79">
        <v>5260</v>
      </c>
      <c r="CG48" s="79">
        <v>82955</v>
      </c>
      <c r="CH48" s="79">
        <v>535</v>
      </c>
      <c r="CI48" s="92">
        <v>2022.1</v>
      </c>
      <c r="CJ48" s="79"/>
      <c r="CK48" s="79"/>
      <c r="CL48" s="79">
        <f t="shared" si="32"/>
        <v>2.4375866433608583E-2</v>
      </c>
      <c r="CM48" s="1">
        <v>3</v>
      </c>
      <c r="CN48" s="3" t="s">
        <v>57</v>
      </c>
      <c r="CO48" s="6">
        <v>0</v>
      </c>
      <c r="CP48" s="79">
        <v>0</v>
      </c>
      <c r="CQ48" s="79">
        <v>0</v>
      </c>
      <c r="CR48" s="79">
        <v>0</v>
      </c>
      <c r="CS48" s="92">
        <v>0</v>
      </c>
      <c r="CT48" s="79">
        <v>0</v>
      </c>
      <c r="CU48" s="79">
        <v>0</v>
      </c>
      <c r="CV48" s="79">
        <v>0</v>
      </c>
      <c r="CW48" s="1">
        <v>3</v>
      </c>
      <c r="CX48" s="3" t="s">
        <v>57</v>
      </c>
      <c r="CY48" s="6">
        <v>0</v>
      </c>
      <c r="CZ48" s="79">
        <v>0</v>
      </c>
      <c r="DA48" s="79">
        <v>0</v>
      </c>
      <c r="DB48" s="79">
        <v>0</v>
      </c>
      <c r="DC48" s="197">
        <v>0</v>
      </c>
      <c r="DD48" s="79">
        <v>0</v>
      </c>
      <c r="DE48" s="79">
        <v>0</v>
      </c>
      <c r="DF48" s="79" t="e">
        <f t="shared" si="34"/>
        <v>#DIV/0!</v>
      </c>
      <c r="DG48" s="1">
        <v>3</v>
      </c>
      <c r="DH48" s="3" t="s">
        <v>57</v>
      </c>
      <c r="DI48" s="6">
        <v>187176</v>
      </c>
      <c r="DJ48" s="79">
        <v>13641</v>
      </c>
      <c r="DK48" s="79">
        <v>98868</v>
      </c>
      <c r="DL48" s="79">
        <v>558</v>
      </c>
      <c r="DM48" s="197">
        <v>2490.1</v>
      </c>
      <c r="DN48" s="79"/>
      <c r="DO48" s="79"/>
      <c r="DP48" s="79">
        <f t="shared" si="35"/>
        <v>2.5186106728162801E-2</v>
      </c>
      <c r="DQ48" s="1">
        <v>3</v>
      </c>
      <c r="DR48" s="3" t="s">
        <v>57</v>
      </c>
      <c r="DS48" s="6">
        <f t="shared" si="21"/>
        <v>716146</v>
      </c>
      <c r="DT48" s="79">
        <f t="shared" si="22"/>
        <v>33025</v>
      </c>
      <c r="DU48" s="79">
        <f>SUM(E48+O48+Y48+AI48+AS48+BC48+BM48+BW48+CG48+CQ48+DA48+DK48)</f>
        <v>378056</v>
      </c>
      <c r="DV48" s="79">
        <v>0</v>
      </c>
      <c r="DW48" s="79">
        <f t="shared" si="24"/>
        <v>9367.3000000000011</v>
      </c>
      <c r="DX48" s="79">
        <v>0</v>
      </c>
      <c r="DY48" s="79">
        <v>0</v>
      </c>
      <c r="DZ48" s="79">
        <f t="shared" ref="DZ48:DZ57" si="51">DW48/DU48</f>
        <v>2.4777546183634175E-2</v>
      </c>
    </row>
    <row r="49" spans="1:144" x14ac:dyDescent="0.3">
      <c r="A49" s="1">
        <v>4</v>
      </c>
      <c r="B49" s="3" t="s">
        <v>46</v>
      </c>
      <c r="C49" s="6">
        <v>0</v>
      </c>
      <c r="D49" s="79">
        <v>0</v>
      </c>
      <c r="E49" s="79">
        <v>0</v>
      </c>
      <c r="F49" s="79">
        <v>0</v>
      </c>
      <c r="G49" s="92">
        <v>0</v>
      </c>
      <c r="H49" s="79">
        <v>0</v>
      </c>
      <c r="I49" s="79">
        <v>0</v>
      </c>
      <c r="J49" s="79">
        <v>0</v>
      </c>
      <c r="K49" s="1">
        <v>4</v>
      </c>
      <c r="L49" s="3" t="s">
        <v>46</v>
      </c>
      <c r="M49" s="6">
        <v>0</v>
      </c>
      <c r="N49" s="79">
        <v>0</v>
      </c>
      <c r="O49" s="79">
        <v>0</v>
      </c>
      <c r="P49" s="79">
        <v>0</v>
      </c>
      <c r="Q49" s="92">
        <v>0</v>
      </c>
      <c r="R49" s="79">
        <v>0</v>
      </c>
      <c r="S49" s="79">
        <v>0</v>
      </c>
      <c r="T49" s="79">
        <v>0</v>
      </c>
      <c r="U49" s="1">
        <v>4</v>
      </c>
      <c r="V49" s="3" t="s">
        <v>46</v>
      </c>
      <c r="W49" s="6">
        <v>118193</v>
      </c>
      <c r="X49" s="79">
        <v>13045</v>
      </c>
      <c r="Y49" s="79">
        <v>109</v>
      </c>
      <c r="Z49" s="79">
        <v>1874</v>
      </c>
      <c r="AA49" s="92">
        <v>2721.2</v>
      </c>
      <c r="AB49" s="79">
        <v>0</v>
      </c>
      <c r="AC49" s="79">
        <v>0</v>
      </c>
      <c r="AD49" s="79">
        <f t="shared" si="49"/>
        <v>24.965137614678898</v>
      </c>
      <c r="AE49" s="1">
        <v>4</v>
      </c>
      <c r="AF49" s="3" t="s">
        <v>46</v>
      </c>
      <c r="AG49" s="6">
        <v>0</v>
      </c>
      <c r="AH49" s="79">
        <v>0</v>
      </c>
      <c r="AI49" s="79">
        <v>0</v>
      </c>
      <c r="AJ49" s="79">
        <v>0</v>
      </c>
      <c r="AK49" s="92">
        <v>0</v>
      </c>
      <c r="AL49" s="79">
        <v>0</v>
      </c>
      <c r="AM49" s="79">
        <v>0</v>
      </c>
      <c r="AN49" s="79">
        <v>0</v>
      </c>
      <c r="AO49" s="1">
        <v>4</v>
      </c>
      <c r="AP49" s="3" t="s">
        <v>46</v>
      </c>
      <c r="AQ49" s="6">
        <v>0</v>
      </c>
      <c r="AR49" s="79">
        <v>0</v>
      </c>
      <c r="AS49" s="79">
        <v>0</v>
      </c>
      <c r="AT49" s="79">
        <v>0</v>
      </c>
      <c r="AU49" s="92">
        <v>0</v>
      </c>
      <c r="AV49" s="79">
        <v>0</v>
      </c>
      <c r="AW49" s="79">
        <v>0</v>
      </c>
      <c r="AX49" s="79">
        <v>0</v>
      </c>
      <c r="AY49" s="1">
        <v>4</v>
      </c>
      <c r="AZ49" s="3" t="s">
        <v>46</v>
      </c>
      <c r="BA49" s="6">
        <v>129545</v>
      </c>
      <c r="BB49" s="79">
        <v>1500</v>
      </c>
      <c r="BC49" s="79">
        <v>98286</v>
      </c>
      <c r="BD49" s="79">
        <v>959</v>
      </c>
      <c r="BE49" s="197">
        <v>1773.5</v>
      </c>
      <c r="BF49" s="79">
        <v>0</v>
      </c>
      <c r="BG49" s="79">
        <v>0</v>
      </c>
      <c r="BH49" s="79">
        <f t="shared" si="50"/>
        <v>1.8044278941049589E-2</v>
      </c>
      <c r="BI49" s="1">
        <v>4</v>
      </c>
      <c r="BJ49" s="3" t="s">
        <v>46</v>
      </c>
      <c r="BK49" s="6">
        <v>0</v>
      </c>
      <c r="BL49" s="79">
        <v>0</v>
      </c>
      <c r="BM49" s="79">
        <v>0</v>
      </c>
      <c r="BN49" s="79">
        <v>0</v>
      </c>
      <c r="BO49" s="92">
        <v>0</v>
      </c>
      <c r="BP49" s="79">
        <v>0</v>
      </c>
      <c r="BQ49" s="79">
        <v>0</v>
      </c>
      <c r="BR49" s="79" t="e">
        <f t="shared" si="30"/>
        <v>#DIV/0!</v>
      </c>
      <c r="BS49" s="1">
        <v>4</v>
      </c>
      <c r="BT49" s="3" t="s">
        <v>46</v>
      </c>
      <c r="BU49" s="6">
        <v>0</v>
      </c>
      <c r="BV49" s="79">
        <v>0</v>
      </c>
      <c r="BW49" s="79">
        <v>0</v>
      </c>
      <c r="BX49" s="79">
        <v>0</v>
      </c>
      <c r="BY49" s="197">
        <v>0</v>
      </c>
      <c r="BZ49" s="79">
        <v>0</v>
      </c>
      <c r="CA49" s="79">
        <v>0</v>
      </c>
      <c r="CB49" s="79" t="e">
        <f t="shared" si="31"/>
        <v>#DIV/0!</v>
      </c>
      <c r="CC49" s="1">
        <v>4</v>
      </c>
      <c r="CD49" s="3" t="s">
        <v>46</v>
      </c>
      <c r="CE49" s="6">
        <v>130267</v>
      </c>
      <c r="CF49" s="79">
        <v>1450</v>
      </c>
      <c r="CG49" s="79">
        <v>98659</v>
      </c>
      <c r="CH49" s="79">
        <v>1050</v>
      </c>
      <c r="CI49" s="92">
        <v>1521.1</v>
      </c>
      <c r="CJ49" s="79"/>
      <c r="CK49" s="79"/>
      <c r="CL49" s="79">
        <f t="shared" si="32"/>
        <v>1.5417752055058331E-2</v>
      </c>
      <c r="CM49" s="1">
        <v>4</v>
      </c>
      <c r="CN49" s="3" t="s">
        <v>46</v>
      </c>
      <c r="CO49" s="6">
        <v>0</v>
      </c>
      <c r="CP49" s="79">
        <v>0</v>
      </c>
      <c r="CQ49" s="79">
        <v>0</v>
      </c>
      <c r="CR49" s="79">
        <v>0</v>
      </c>
      <c r="CS49" s="92">
        <v>0</v>
      </c>
      <c r="CT49" s="79">
        <v>0</v>
      </c>
      <c r="CU49" s="79">
        <v>0</v>
      </c>
      <c r="CV49" s="79">
        <v>0</v>
      </c>
      <c r="CW49" s="1">
        <v>4</v>
      </c>
      <c r="CX49" s="3" t="s">
        <v>46</v>
      </c>
      <c r="CY49" s="6">
        <v>0</v>
      </c>
      <c r="CZ49" s="79">
        <v>0</v>
      </c>
      <c r="DA49" s="79">
        <v>0</v>
      </c>
      <c r="DB49" s="79">
        <v>0</v>
      </c>
      <c r="DC49" s="197">
        <v>0</v>
      </c>
      <c r="DD49" s="79">
        <v>0</v>
      </c>
      <c r="DE49" s="79">
        <v>0</v>
      </c>
      <c r="DF49" s="79" t="e">
        <f t="shared" si="34"/>
        <v>#DIV/0!</v>
      </c>
      <c r="DG49" s="1">
        <v>4</v>
      </c>
      <c r="DH49" s="3" t="s">
        <v>46</v>
      </c>
      <c r="DI49" s="6">
        <v>130848</v>
      </c>
      <c r="DJ49" s="79">
        <v>5397</v>
      </c>
      <c r="DK49" s="79">
        <v>98643</v>
      </c>
      <c r="DL49" s="79">
        <v>530</v>
      </c>
      <c r="DM49" s="197">
        <v>2192.5</v>
      </c>
      <c r="DN49" s="79"/>
      <c r="DO49" s="79"/>
      <c r="DP49" s="79">
        <f t="shared" si="35"/>
        <v>2.2226615167827417E-2</v>
      </c>
      <c r="DQ49" s="1">
        <v>4</v>
      </c>
      <c r="DR49" s="3" t="s">
        <v>46</v>
      </c>
      <c r="DS49" s="6">
        <f t="shared" si="21"/>
        <v>508853</v>
      </c>
      <c r="DT49" s="79">
        <f t="shared" si="22"/>
        <v>21392</v>
      </c>
      <c r="DU49" s="79">
        <f t="shared" ref="DU49:DU57" si="52">SUM(E49+O49+Y49+AI49+AS49+BC49+BM49+BW49+CG49+CQ49+DA49+DK49)</f>
        <v>295697</v>
      </c>
      <c r="DV49" s="79">
        <v>0</v>
      </c>
      <c r="DW49" s="79">
        <f t="shared" si="24"/>
        <v>8208.2999999999993</v>
      </c>
      <c r="DX49" s="79">
        <v>0</v>
      </c>
      <c r="DY49" s="79">
        <v>0</v>
      </c>
      <c r="DZ49" s="79">
        <f t="shared" si="51"/>
        <v>2.7759158868706817E-2</v>
      </c>
    </row>
    <row r="50" spans="1:144" s="30" customFormat="1" x14ac:dyDescent="0.3">
      <c r="A50" s="1">
        <v>5</v>
      </c>
      <c r="B50" s="3" t="s">
        <v>47</v>
      </c>
      <c r="C50" s="6">
        <v>0</v>
      </c>
      <c r="D50" s="79">
        <v>0</v>
      </c>
      <c r="E50" s="79">
        <v>0</v>
      </c>
      <c r="F50" s="79">
        <v>0</v>
      </c>
      <c r="G50" s="92">
        <v>0</v>
      </c>
      <c r="H50" s="79">
        <v>0</v>
      </c>
      <c r="I50" s="79">
        <v>0</v>
      </c>
      <c r="J50" s="79">
        <v>0</v>
      </c>
      <c r="K50" s="1">
        <v>5</v>
      </c>
      <c r="L50" s="3" t="s">
        <v>47</v>
      </c>
      <c r="M50" s="6">
        <v>0</v>
      </c>
      <c r="N50" s="79">
        <v>0</v>
      </c>
      <c r="O50" s="79">
        <v>0</v>
      </c>
      <c r="P50" s="79">
        <v>0</v>
      </c>
      <c r="Q50" s="92">
        <v>0</v>
      </c>
      <c r="R50" s="79">
        <v>0</v>
      </c>
      <c r="S50" s="79">
        <v>0</v>
      </c>
      <c r="T50" s="79">
        <v>0</v>
      </c>
      <c r="U50" s="1">
        <v>5</v>
      </c>
      <c r="V50" s="3" t="s">
        <v>47</v>
      </c>
      <c r="W50" s="6">
        <v>23880</v>
      </c>
      <c r="X50" s="79">
        <v>12</v>
      </c>
      <c r="Y50" s="79">
        <v>12744</v>
      </c>
      <c r="Z50" s="79">
        <v>230</v>
      </c>
      <c r="AA50" s="92">
        <v>643.79999999999995</v>
      </c>
      <c r="AB50" s="79">
        <v>0</v>
      </c>
      <c r="AC50" s="79">
        <v>0</v>
      </c>
      <c r="AD50" s="79">
        <f t="shared" si="49"/>
        <v>5.0517890772128059E-2</v>
      </c>
      <c r="AE50" s="1">
        <v>5</v>
      </c>
      <c r="AF50" s="3" t="s">
        <v>47</v>
      </c>
      <c r="AG50" s="6">
        <v>0</v>
      </c>
      <c r="AH50" s="79">
        <v>0</v>
      </c>
      <c r="AI50" s="79">
        <v>0</v>
      </c>
      <c r="AJ50" s="79">
        <v>0</v>
      </c>
      <c r="AK50" s="92">
        <v>0</v>
      </c>
      <c r="AL50" s="79">
        <v>0</v>
      </c>
      <c r="AM50" s="79">
        <v>0</v>
      </c>
      <c r="AN50" s="79">
        <v>0</v>
      </c>
      <c r="AO50" s="1">
        <v>5</v>
      </c>
      <c r="AP50" s="3" t="s">
        <v>47</v>
      </c>
      <c r="AQ50" s="6">
        <v>0</v>
      </c>
      <c r="AR50" s="79">
        <v>0</v>
      </c>
      <c r="AS50" s="79">
        <v>0</v>
      </c>
      <c r="AT50" s="79">
        <v>0</v>
      </c>
      <c r="AU50" s="92">
        <v>0</v>
      </c>
      <c r="AV50" s="79">
        <v>0</v>
      </c>
      <c r="AW50" s="79">
        <v>0</v>
      </c>
      <c r="AX50" s="79">
        <v>0</v>
      </c>
      <c r="AY50" s="1">
        <v>5</v>
      </c>
      <c r="AZ50" s="3" t="s">
        <v>47</v>
      </c>
      <c r="BA50" s="6">
        <v>23684</v>
      </c>
      <c r="BB50" s="79">
        <v>10</v>
      </c>
      <c r="BC50" s="79">
        <v>11532</v>
      </c>
      <c r="BD50" s="79">
        <v>234</v>
      </c>
      <c r="BE50" s="197">
        <v>323.10000000000002</v>
      </c>
      <c r="BF50" s="79">
        <v>0</v>
      </c>
      <c r="BG50" s="79">
        <v>0</v>
      </c>
      <c r="BH50" s="79">
        <f t="shared" si="50"/>
        <v>2.8017689906347558E-2</v>
      </c>
      <c r="BI50" s="1">
        <v>5</v>
      </c>
      <c r="BJ50" s="3" t="s">
        <v>47</v>
      </c>
      <c r="BK50" s="6">
        <v>0</v>
      </c>
      <c r="BL50" s="79">
        <v>0</v>
      </c>
      <c r="BM50" s="79">
        <v>0</v>
      </c>
      <c r="BN50" s="79">
        <v>0</v>
      </c>
      <c r="BO50" s="92">
        <v>0</v>
      </c>
      <c r="BP50" s="79">
        <v>0</v>
      </c>
      <c r="BQ50" s="79">
        <v>0</v>
      </c>
      <c r="BR50" s="79" t="e">
        <f t="shared" si="30"/>
        <v>#DIV/0!</v>
      </c>
      <c r="BS50" s="1">
        <v>5</v>
      </c>
      <c r="BT50" s="3" t="s">
        <v>47</v>
      </c>
      <c r="BU50" s="6">
        <v>0</v>
      </c>
      <c r="BV50" s="79">
        <v>0</v>
      </c>
      <c r="BW50" s="79">
        <v>0</v>
      </c>
      <c r="BX50" s="79">
        <v>0</v>
      </c>
      <c r="BY50" s="197">
        <v>0</v>
      </c>
      <c r="BZ50" s="79">
        <v>0</v>
      </c>
      <c r="CA50" s="79">
        <v>0</v>
      </c>
      <c r="CB50" s="79" t="e">
        <f t="shared" si="31"/>
        <v>#DIV/0!</v>
      </c>
      <c r="CC50" s="1">
        <v>5</v>
      </c>
      <c r="CD50" s="3" t="s">
        <v>47</v>
      </c>
      <c r="CE50" s="6">
        <v>23472</v>
      </c>
      <c r="CF50" s="79">
        <v>0</v>
      </c>
      <c r="CG50" s="79">
        <v>465</v>
      </c>
      <c r="CH50" s="79">
        <v>32</v>
      </c>
      <c r="CI50" s="92">
        <v>38.299999999999997</v>
      </c>
      <c r="CJ50" s="79"/>
      <c r="CK50" s="79"/>
      <c r="CL50" s="79">
        <f t="shared" si="32"/>
        <v>8.236559139784945E-2</v>
      </c>
      <c r="CM50" s="1">
        <v>5</v>
      </c>
      <c r="CN50" s="3" t="s">
        <v>47</v>
      </c>
      <c r="CO50" s="6">
        <v>0</v>
      </c>
      <c r="CP50" s="79">
        <v>0</v>
      </c>
      <c r="CQ50" s="79">
        <v>0</v>
      </c>
      <c r="CR50" s="79">
        <v>0</v>
      </c>
      <c r="CS50" s="92">
        <v>0</v>
      </c>
      <c r="CT50" s="79">
        <v>0</v>
      </c>
      <c r="CU50" s="79">
        <v>0</v>
      </c>
      <c r="CV50" s="79">
        <v>0</v>
      </c>
      <c r="CW50" s="1">
        <v>5</v>
      </c>
      <c r="CX50" s="3" t="s">
        <v>47</v>
      </c>
      <c r="CY50" s="6">
        <v>0</v>
      </c>
      <c r="CZ50" s="79">
        <v>0</v>
      </c>
      <c r="DA50" s="79">
        <v>0</v>
      </c>
      <c r="DB50" s="79">
        <v>0</v>
      </c>
      <c r="DC50" s="197">
        <v>0</v>
      </c>
      <c r="DD50" s="79">
        <v>0</v>
      </c>
      <c r="DE50" s="79">
        <v>0</v>
      </c>
      <c r="DF50" s="79" t="e">
        <f t="shared" si="34"/>
        <v>#DIV/0!</v>
      </c>
      <c r="DG50" s="1">
        <v>5</v>
      </c>
      <c r="DH50" s="3" t="s">
        <v>47</v>
      </c>
      <c r="DI50" s="6">
        <v>23452</v>
      </c>
      <c r="DJ50" s="79">
        <v>126</v>
      </c>
      <c r="DK50" s="79">
        <v>492</v>
      </c>
      <c r="DL50" s="79">
        <v>36</v>
      </c>
      <c r="DM50" s="197">
        <v>55.6</v>
      </c>
      <c r="DN50" s="79"/>
      <c r="DO50" s="79"/>
      <c r="DP50" s="79">
        <f t="shared" si="35"/>
        <v>0.11300813008130081</v>
      </c>
      <c r="DQ50" s="1">
        <v>5</v>
      </c>
      <c r="DR50" s="3" t="s">
        <v>47</v>
      </c>
      <c r="DS50" s="6">
        <f t="shared" si="21"/>
        <v>94488</v>
      </c>
      <c r="DT50" s="79">
        <f t="shared" si="22"/>
        <v>148</v>
      </c>
      <c r="DU50" s="79">
        <f t="shared" si="52"/>
        <v>25233</v>
      </c>
      <c r="DV50" s="79">
        <v>0</v>
      </c>
      <c r="DW50" s="79">
        <f t="shared" si="24"/>
        <v>1060.8</v>
      </c>
      <c r="DX50" s="79">
        <v>0</v>
      </c>
      <c r="DY50" s="79">
        <v>0</v>
      </c>
      <c r="DZ50" s="79">
        <f t="shared" si="51"/>
        <v>4.2040185471406491E-2</v>
      </c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</row>
    <row r="51" spans="1:144" x14ac:dyDescent="0.3">
      <c r="A51" s="1">
        <v>6</v>
      </c>
      <c r="B51" s="3" t="s">
        <v>48</v>
      </c>
      <c r="C51" s="6">
        <v>0</v>
      </c>
      <c r="D51" s="79">
        <v>0</v>
      </c>
      <c r="E51" s="79">
        <v>0</v>
      </c>
      <c r="F51" s="79">
        <v>0</v>
      </c>
      <c r="G51" s="92">
        <v>0</v>
      </c>
      <c r="H51" s="79">
        <v>0</v>
      </c>
      <c r="I51" s="79">
        <v>0</v>
      </c>
      <c r="J51" s="79">
        <v>0</v>
      </c>
      <c r="K51" s="1">
        <v>6</v>
      </c>
      <c r="L51" s="3" t="s">
        <v>48</v>
      </c>
      <c r="M51" s="6">
        <v>0</v>
      </c>
      <c r="N51" s="79">
        <v>0</v>
      </c>
      <c r="O51" s="79">
        <v>0</v>
      </c>
      <c r="P51" s="79">
        <v>0</v>
      </c>
      <c r="Q51" s="92">
        <v>0</v>
      </c>
      <c r="R51" s="79">
        <v>0</v>
      </c>
      <c r="S51" s="79">
        <v>0</v>
      </c>
      <c r="T51" s="79">
        <v>0</v>
      </c>
      <c r="U51" s="1">
        <v>6</v>
      </c>
      <c r="V51" s="3" t="s">
        <v>48</v>
      </c>
      <c r="W51" s="6">
        <v>109714</v>
      </c>
      <c r="X51" s="79">
        <v>2710</v>
      </c>
      <c r="Y51" s="79">
        <v>50885</v>
      </c>
      <c r="Z51" s="79">
        <v>58</v>
      </c>
      <c r="AA51" s="92">
        <v>3640.5</v>
      </c>
      <c r="AB51" s="79">
        <v>0</v>
      </c>
      <c r="AC51" s="79">
        <v>0</v>
      </c>
      <c r="AD51" s="79">
        <f t="shared" si="49"/>
        <v>7.1543676918541813E-2</v>
      </c>
      <c r="AE51" s="1">
        <v>6</v>
      </c>
      <c r="AF51" s="3" t="s">
        <v>48</v>
      </c>
      <c r="AG51" s="6">
        <v>0</v>
      </c>
      <c r="AH51" s="79">
        <v>0</v>
      </c>
      <c r="AI51" s="79">
        <v>0</v>
      </c>
      <c r="AJ51" s="79">
        <v>0</v>
      </c>
      <c r="AK51" s="92">
        <v>0</v>
      </c>
      <c r="AL51" s="79">
        <v>0</v>
      </c>
      <c r="AM51" s="79">
        <v>0</v>
      </c>
      <c r="AN51" s="79">
        <v>0</v>
      </c>
      <c r="AO51" s="1">
        <v>6</v>
      </c>
      <c r="AP51" s="3" t="s">
        <v>48</v>
      </c>
      <c r="AQ51" s="6">
        <v>0</v>
      </c>
      <c r="AR51" s="79">
        <v>0</v>
      </c>
      <c r="AS51" s="79">
        <v>0</v>
      </c>
      <c r="AT51" s="79">
        <v>0</v>
      </c>
      <c r="AU51" s="92">
        <v>0</v>
      </c>
      <c r="AV51" s="79">
        <v>0</v>
      </c>
      <c r="AW51" s="79">
        <v>0</v>
      </c>
      <c r="AX51" s="79">
        <v>0</v>
      </c>
      <c r="AY51" s="1">
        <v>6</v>
      </c>
      <c r="AZ51" s="3" t="s">
        <v>48</v>
      </c>
      <c r="BA51" s="6">
        <v>112397</v>
      </c>
      <c r="BB51" s="79">
        <v>24</v>
      </c>
      <c r="BC51" s="79">
        <v>21656</v>
      </c>
      <c r="BD51" s="79">
        <v>355</v>
      </c>
      <c r="BE51" s="197">
        <v>1106.5</v>
      </c>
      <c r="BF51" s="79">
        <v>0</v>
      </c>
      <c r="BG51" s="79">
        <v>0</v>
      </c>
      <c r="BH51" s="79">
        <f t="shared" si="50"/>
        <v>5.1094384927964538E-2</v>
      </c>
      <c r="BI51" s="1">
        <v>6</v>
      </c>
      <c r="BJ51" s="3" t="s">
        <v>48</v>
      </c>
      <c r="BK51" s="6">
        <v>0</v>
      </c>
      <c r="BL51" s="79">
        <v>0</v>
      </c>
      <c r="BM51" s="79">
        <v>0</v>
      </c>
      <c r="BN51" s="79">
        <v>0</v>
      </c>
      <c r="BO51" s="92">
        <v>0</v>
      </c>
      <c r="BP51" s="79">
        <v>0</v>
      </c>
      <c r="BQ51" s="79">
        <v>0</v>
      </c>
      <c r="BR51" s="79" t="e">
        <f t="shared" si="30"/>
        <v>#DIV/0!</v>
      </c>
      <c r="BS51" s="1">
        <v>6</v>
      </c>
      <c r="BT51" s="3" t="s">
        <v>48</v>
      </c>
      <c r="BU51" s="6">
        <v>0</v>
      </c>
      <c r="BV51" s="79">
        <v>0</v>
      </c>
      <c r="BW51" s="79">
        <v>0</v>
      </c>
      <c r="BX51" s="79">
        <v>0</v>
      </c>
      <c r="BY51" s="197">
        <v>0</v>
      </c>
      <c r="BZ51" s="79">
        <v>0</v>
      </c>
      <c r="CA51" s="79">
        <v>0</v>
      </c>
      <c r="CB51" s="79" t="e">
        <f t="shared" si="31"/>
        <v>#DIV/0!</v>
      </c>
      <c r="CC51" s="1">
        <v>6</v>
      </c>
      <c r="CD51" s="3" t="s">
        <v>48</v>
      </c>
      <c r="CE51" s="6">
        <v>112105</v>
      </c>
      <c r="CF51" s="79">
        <v>1765</v>
      </c>
      <c r="CG51" s="79">
        <v>14031</v>
      </c>
      <c r="CH51" s="79">
        <v>860</v>
      </c>
      <c r="CI51" s="92">
        <v>990.1</v>
      </c>
      <c r="CJ51" s="79"/>
      <c r="CK51" s="79"/>
      <c r="CL51" s="79">
        <f t="shared" si="32"/>
        <v>7.0565177107832652E-2</v>
      </c>
      <c r="CM51" s="1">
        <v>6</v>
      </c>
      <c r="CN51" s="3" t="s">
        <v>48</v>
      </c>
      <c r="CO51" s="6">
        <v>0</v>
      </c>
      <c r="CP51" s="79">
        <v>0</v>
      </c>
      <c r="CQ51" s="79">
        <v>0</v>
      </c>
      <c r="CR51" s="79">
        <v>0</v>
      </c>
      <c r="CS51" s="92">
        <v>0</v>
      </c>
      <c r="CT51" s="79">
        <v>0</v>
      </c>
      <c r="CU51" s="79">
        <v>0</v>
      </c>
      <c r="CV51" s="79">
        <v>0</v>
      </c>
      <c r="CW51" s="1">
        <v>6</v>
      </c>
      <c r="CX51" s="3" t="s">
        <v>48</v>
      </c>
      <c r="CY51" s="6">
        <v>0</v>
      </c>
      <c r="CZ51" s="79">
        <v>0</v>
      </c>
      <c r="DA51" s="79">
        <v>0</v>
      </c>
      <c r="DB51" s="79">
        <v>0</v>
      </c>
      <c r="DC51" s="197">
        <v>0</v>
      </c>
      <c r="DD51" s="79">
        <v>0</v>
      </c>
      <c r="DE51" s="79">
        <v>0</v>
      </c>
      <c r="DF51" s="79" t="e">
        <f t="shared" si="34"/>
        <v>#DIV/0!</v>
      </c>
      <c r="DG51" s="1">
        <v>6</v>
      </c>
      <c r="DH51" s="3" t="s">
        <v>48</v>
      </c>
      <c r="DI51" s="6">
        <v>113302</v>
      </c>
      <c r="DJ51" s="79">
        <v>5018</v>
      </c>
      <c r="DK51" s="79">
        <v>20221</v>
      </c>
      <c r="DL51" s="79">
        <v>464</v>
      </c>
      <c r="DM51" s="197">
        <v>1816.8</v>
      </c>
      <c r="DN51" s="79"/>
      <c r="DO51" s="79"/>
      <c r="DP51" s="79">
        <f t="shared" si="35"/>
        <v>8.9847188566341926E-2</v>
      </c>
      <c r="DQ51" s="1">
        <v>6</v>
      </c>
      <c r="DR51" s="3" t="s">
        <v>48</v>
      </c>
      <c r="DS51" s="6">
        <f t="shared" si="21"/>
        <v>447518</v>
      </c>
      <c r="DT51" s="79">
        <f t="shared" si="22"/>
        <v>9517</v>
      </c>
      <c r="DU51" s="79">
        <f t="shared" si="52"/>
        <v>106793</v>
      </c>
      <c r="DV51" s="79">
        <v>0</v>
      </c>
      <c r="DW51" s="79">
        <f t="shared" si="24"/>
        <v>7553.9000000000005</v>
      </c>
      <c r="DX51" s="79">
        <v>0</v>
      </c>
      <c r="DY51" s="79">
        <v>0</v>
      </c>
      <c r="DZ51" s="79">
        <f t="shared" si="51"/>
        <v>7.0734036875076081E-2</v>
      </c>
    </row>
    <row r="52" spans="1:144" x14ac:dyDescent="0.3">
      <c r="A52" s="1">
        <v>7</v>
      </c>
      <c r="B52" s="3" t="s">
        <v>49</v>
      </c>
      <c r="C52" s="6">
        <v>0</v>
      </c>
      <c r="D52" s="79">
        <v>0</v>
      </c>
      <c r="E52" s="79">
        <v>0</v>
      </c>
      <c r="F52" s="79">
        <v>0</v>
      </c>
      <c r="G52" s="92">
        <v>0</v>
      </c>
      <c r="H52" s="79">
        <v>0</v>
      </c>
      <c r="I52" s="79">
        <v>0</v>
      </c>
      <c r="J52" s="79">
        <v>0</v>
      </c>
      <c r="K52" s="1">
        <v>7</v>
      </c>
      <c r="L52" s="3" t="s">
        <v>49</v>
      </c>
      <c r="M52" s="6">
        <v>0</v>
      </c>
      <c r="N52" s="79">
        <v>0</v>
      </c>
      <c r="O52" s="79">
        <v>0</v>
      </c>
      <c r="P52" s="79">
        <v>0</v>
      </c>
      <c r="Q52" s="92">
        <v>0</v>
      </c>
      <c r="R52" s="79">
        <v>0</v>
      </c>
      <c r="S52" s="79">
        <v>0</v>
      </c>
      <c r="T52" s="79">
        <v>0</v>
      </c>
      <c r="U52" s="1">
        <v>7</v>
      </c>
      <c r="V52" s="3" t="s">
        <v>49</v>
      </c>
      <c r="W52" s="6">
        <v>18563</v>
      </c>
      <c r="X52" s="79">
        <v>80</v>
      </c>
      <c r="Y52" s="79">
        <v>8553</v>
      </c>
      <c r="Z52" s="79">
        <v>0</v>
      </c>
      <c r="AA52" s="92">
        <v>164</v>
      </c>
      <c r="AB52" s="79">
        <v>0</v>
      </c>
      <c r="AC52" s="79">
        <v>0</v>
      </c>
      <c r="AD52" s="79">
        <f t="shared" si="49"/>
        <v>1.9174558634397286E-2</v>
      </c>
      <c r="AE52" s="1">
        <v>7</v>
      </c>
      <c r="AF52" s="3" t="s">
        <v>49</v>
      </c>
      <c r="AG52" s="6">
        <v>0</v>
      </c>
      <c r="AH52" s="79">
        <v>0</v>
      </c>
      <c r="AI52" s="79">
        <v>0</v>
      </c>
      <c r="AJ52" s="79">
        <v>0</v>
      </c>
      <c r="AK52" s="92">
        <v>0</v>
      </c>
      <c r="AL52" s="79">
        <v>0</v>
      </c>
      <c r="AM52" s="79">
        <v>0</v>
      </c>
      <c r="AN52" s="79">
        <v>0</v>
      </c>
      <c r="AO52" s="1">
        <v>7</v>
      </c>
      <c r="AP52" s="3" t="s">
        <v>49</v>
      </c>
      <c r="AQ52" s="6">
        <v>0</v>
      </c>
      <c r="AR52" s="79">
        <v>0</v>
      </c>
      <c r="AS52" s="79">
        <v>0</v>
      </c>
      <c r="AT52" s="79">
        <v>0</v>
      </c>
      <c r="AU52" s="92">
        <v>0</v>
      </c>
      <c r="AV52" s="79">
        <v>0</v>
      </c>
      <c r="AW52" s="79">
        <v>0</v>
      </c>
      <c r="AX52" s="79">
        <v>0</v>
      </c>
      <c r="AY52" s="1">
        <v>7</v>
      </c>
      <c r="AZ52" s="3" t="s">
        <v>49</v>
      </c>
      <c r="BA52" s="6">
        <v>18643</v>
      </c>
      <c r="BB52" s="79">
        <v>102</v>
      </c>
      <c r="BC52" s="79">
        <v>5847</v>
      </c>
      <c r="BD52" s="79">
        <v>266</v>
      </c>
      <c r="BE52" s="197">
        <v>94.2</v>
      </c>
      <c r="BF52" s="79">
        <v>0</v>
      </c>
      <c r="BG52" s="79">
        <v>0</v>
      </c>
      <c r="BH52" s="79">
        <f t="shared" si="50"/>
        <v>1.6110826064648538E-2</v>
      </c>
      <c r="BI52" s="1">
        <v>7</v>
      </c>
      <c r="BJ52" s="3" t="s">
        <v>49</v>
      </c>
      <c r="BK52" s="6">
        <v>0</v>
      </c>
      <c r="BL52" s="79">
        <v>0</v>
      </c>
      <c r="BM52" s="79">
        <v>0</v>
      </c>
      <c r="BN52" s="79">
        <v>0</v>
      </c>
      <c r="BO52" s="92">
        <v>0</v>
      </c>
      <c r="BP52" s="79">
        <v>0</v>
      </c>
      <c r="BQ52" s="79">
        <v>0</v>
      </c>
      <c r="BR52" s="79" t="e">
        <f t="shared" si="30"/>
        <v>#DIV/0!</v>
      </c>
      <c r="BS52" s="1">
        <v>7</v>
      </c>
      <c r="BT52" s="3" t="s">
        <v>49</v>
      </c>
      <c r="BU52" s="6">
        <v>0</v>
      </c>
      <c r="BV52" s="79">
        <v>0</v>
      </c>
      <c r="BW52" s="79">
        <v>0</v>
      </c>
      <c r="BX52" s="79">
        <v>0</v>
      </c>
      <c r="BY52" s="197">
        <v>0</v>
      </c>
      <c r="BZ52" s="79">
        <v>0</v>
      </c>
      <c r="CA52" s="79">
        <v>0</v>
      </c>
      <c r="CB52" s="79" t="e">
        <f t="shared" si="31"/>
        <v>#DIV/0!</v>
      </c>
      <c r="CC52" s="1">
        <v>7</v>
      </c>
      <c r="CD52" s="3" t="s">
        <v>49</v>
      </c>
      <c r="CE52" s="6">
        <v>18479</v>
      </c>
      <c r="CF52" s="79">
        <v>5600</v>
      </c>
      <c r="CG52" s="79">
        <v>5395</v>
      </c>
      <c r="CH52" s="79">
        <v>97</v>
      </c>
      <c r="CI52" s="92">
        <v>128.6</v>
      </c>
      <c r="CJ52" s="79"/>
      <c r="CK52" s="79"/>
      <c r="CL52" s="79">
        <f t="shared" si="32"/>
        <v>2.3836886005560703E-2</v>
      </c>
      <c r="CM52" s="1">
        <v>7</v>
      </c>
      <c r="CN52" s="3" t="s">
        <v>49</v>
      </c>
      <c r="CO52" s="6">
        <v>0</v>
      </c>
      <c r="CP52" s="79">
        <v>0</v>
      </c>
      <c r="CQ52" s="79">
        <v>0</v>
      </c>
      <c r="CR52" s="79">
        <v>0</v>
      </c>
      <c r="CS52" s="92">
        <v>0</v>
      </c>
      <c r="CT52" s="79">
        <v>0</v>
      </c>
      <c r="CU52" s="79">
        <v>0</v>
      </c>
      <c r="CV52" s="79">
        <v>0</v>
      </c>
      <c r="CW52" s="1">
        <v>7</v>
      </c>
      <c r="CX52" s="3" t="s">
        <v>49</v>
      </c>
      <c r="CY52" s="6">
        <v>0</v>
      </c>
      <c r="CZ52" s="79">
        <v>0</v>
      </c>
      <c r="DA52" s="79">
        <v>0</v>
      </c>
      <c r="DB52" s="79">
        <v>0</v>
      </c>
      <c r="DC52" s="197">
        <v>0</v>
      </c>
      <c r="DD52" s="79">
        <v>0</v>
      </c>
      <c r="DE52" s="79">
        <v>0</v>
      </c>
      <c r="DF52" s="79" t="e">
        <f t="shared" si="34"/>
        <v>#DIV/0!</v>
      </c>
      <c r="DG52" s="1">
        <v>7</v>
      </c>
      <c r="DH52" s="3" t="s">
        <v>49</v>
      </c>
      <c r="DI52" s="6">
        <v>23982</v>
      </c>
      <c r="DJ52" s="79">
        <v>7315</v>
      </c>
      <c r="DK52" s="79">
        <v>3992</v>
      </c>
      <c r="DL52" s="79">
        <v>40</v>
      </c>
      <c r="DM52" s="197">
        <v>117.1</v>
      </c>
      <c r="DN52" s="79"/>
      <c r="DO52" s="79"/>
      <c r="DP52" s="79">
        <f t="shared" si="35"/>
        <v>2.9333667334669338E-2</v>
      </c>
      <c r="DQ52" s="1">
        <v>7</v>
      </c>
      <c r="DR52" s="3" t="s">
        <v>49</v>
      </c>
      <c r="DS52" s="6">
        <f t="shared" si="21"/>
        <v>79667</v>
      </c>
      <c r="DT52" s="79">
        <f t="shared" si="22"/>
        <v>13097</v>
      </c>
      <c r="DU52" s="79">
        <f t="shared" si="52"/>
        <v>23787</v>
      </c>
      <c r="DV52" s="79">
        <v>0</v>
      </c>
      <c r="DW52" s="79">
        <f t="shared" si="24"/>
        <v>503.9</v>
      </c>
      <c r="DX52" s="79">
        <v>0</v>
      </c>
      <c r="DY52" s="79">
        <v>0</v>
      </c>
      <c r="DZ52" s="79">
        <f t="shared" si="51"/>
        <v>2.1183839912557279E-2</v>
      </c>
    </row>
    <row r="53" spans="1:144" x14ac:dyDescent="0.3">
      <c r="A53" s="1">
        <v>8</v>
      </c>
      <c r="B53" s="3" t="s">
        <v>50</v>
      </c>
      <c r="C53" s="6">
        <v>0</v>
      </c>
      <c r="D53" s="79">
        <v>0</v>
      </c>
      <c r="E53" s="79">
        <v>0</v>
      </c>
      <c r="F53" s="79">
        <v>0</v>
      </c>
      <c r="G53" s="92">
        <v>0</v>
      </c>
      <c r="H53" s="79">
        <v>0</v>
      </c>
      <c r="I53" s="79">
        <v>0</v>
      </c>
      <c r="J53" s="79">
        <v>0</v>
      </c>
      <c r="K53" s="1">
        <v>8</v>
      </c>
      <c r="L53" s="3" t="s">
        <v>50</v>
      </c>
      <c r="M53" s="6">
        <v>0</v>
      </c>
      <c r="N53" s="79">
        <v>0</v>
      </c>
      <c r="O53" s="79">
        <v>0</v>
      </c>
      <c r="P53" s="79">
        <v>0</v>
      </c>
      <c r="Q53" s="92">
        <v>0</v>
      </c>
      <c r="R53" s="79">
        <v>0</v>
      </c>
      <c r="S53" s="79">
        <v>0</v>
      </c>
      <c r="T53" s="79">
        <v>0</v>
      </c>
      <c r="U53" s="1">
        <v>8</v>
      </c>
      <c r="V53" s="3" t="s">
        <v>50</v>
      </c>
      <c r="W53" s="6">
        <v>7168</v>
      </c>
      <c r="X53" s="79">
        <v>45</v>
      </c>
      <c r="Y53" s="79">
        <v>2623</v>
      </c>
      <c r="Z53" s="79">
        <v>0</v>
      </c>
      <c r="AA53" s="92">
        <v>49.6</v>
      </c>
      <c r="AB53" s="79">
        <v>0</v>
      </c>
      <c r="AC53" s="79">
        <v>0</v>
      </c>
      <c r="AD53" s="79">
        <f t="shared" si="49"/>
        <v>1.8909645444147923E-2</v>
      </c>
      <c r="AE53" s="1">
        <v>8</v>
      </c>
      <c r="AF53" s="3" t="s">
        <v>50</v>
      </c>
      <c r="AG53" s="6">
        <v>0</v>
      </c>
      <c r="AH53" s="79">
        <v>0</v>
      </c>
      <c r="AI53" s="79">
        <v>0</v>
      </c>
      <c r="AJ53" s="79">
        <v>0</v>
      </c>
      <c r="AK53" s="92">
        <v>0</v>
      </c>
      <c r="AL53" s="79">
        <v>0</v>
      </c>
      <c r="AM53" s="79">
        <v>0</v>
      </c>
      <c r="AN53" s="79">
        <v>0</v>
      </c>
      <c r="AO53" s="1">
        <v>8</v>
      </c>
      <c r="AP53" s="3" t="s">
        <v>50</v>
      </c>
      <c r="AQ53" s="6">
        <v>0</v>
      </c>
      <c r="AR53" s="79">
        <v>0</v>
      </c>
      <c r="AS53" s="79">
        <v>0</v>
      </c>
      <c r="AT53" s="79">
        <v>0</v>
      </c>
      <c r="AU53" s="92">
        <v>0</v>
      </c>
      <c r="AV53" s="79">
        <v>0</v>
      </c>
      <c r="AW53" s="79">
        <v>0</v>
      </c>
      <c r="AX53" s="79">
        <v>0</v>
      </c>
      <c r="AY53" s="1">
        <v>8</v>
      </c>
      <c r="AZ53" s="3" t="s">
        <v>50</v>
      </c>
      <c r="BA53" s="6">
        <v>7213</v>
      </c>
      <c r="BB53" s="79">
        <v>0</v>
      </c>
      <c r="BC53" s="79">
        <v>1534</v>
      </c>
      <c r="BD53" s="79">
        <v>110</v>
      </c>
      <c r="BE53" s="197">
        <v>28.2</v>
      </c>
      <c r="BF53" s="79">
        <v>0</v>
      </c>
      <c r="BG53" s="79">
        <v>0</v>
      </c>
      <c r="BH53" s="79">
        <f t="shared" si="50"/>
        <v>1.8383311603650587E-2</v>
      </c>
      <c r="BI53" s="1">
        <v>8</v>
      </c>
      <c r="BJ53" s="3" t="s">
        <v>50</v>
      </c>
      <c r="BK53" s="6">
        <v>0</v>
      </c>
      <c r="BL53" s="79">
        <v>0</v>
      </c>
      <c r="BM53" s="79">
        <v>0</v>
      </c>
      <c r="BN53" s="79">
        <v>0</v>
      </c>
      <c r="BO53" s="92">
        <v>0</v>
      </c>
      <c r="BP53" s="79">
        <v>0</v>
      </c>
      <c r="BQ53" s="79">
        <v>0</v>
      </c>
      <c r="BR53" s="79" t="e">
        <f t="shared" si="30"/>
        <v>#DIV/0!</v>
      </c>
      <c r="BS53" s="1">
        <v>8</v>
      </c>
      <c r="BT53" s="3" t="s">
        <v>50</v>
      </c>
      <c r="BU53" s="6">
        <v>0</v>
      </c>
      <c r="BV53" s="79">
        <v>0</v>
      </c>
      <c r="BW53" s="79">
        <v>0</v>
      </c>
      <c r="BX53" s="79">
        <v>0</v>
      </c>
      <c r="BY53" s="197">
        <v>0</v>
      </c>
      <c r="BZ53" s="79">
        <v>0</v>
      </c>
      <c r="CA53" s="79">
        <v>0</v>
      </c>
      <c r="CB53" s="79" t="e">
        <f t="shared" si="31"/>
        <v>#DIV/0!</v>
      </c>
      <c r="CC53" s="1">
        <v>8</v>
      </c>
      <c r="CD53" s="3" t="s">
        <v>50</v>
      </c>
      <c r="CE53" s="6">
        <v>7113</v>
      </c>
      <c r="CF53" s="79">
        <v>700</v>
      </c>
      <c r="CG53" s="79">
        <v>1358</v>
      </c>
      <c r="CH53" s="79">
        <v>60</v>
      </c>
      <c r="CI53" s="92">
        <v>77.3</v>
      </c>
      <c r="CJ53" s="79"/>
      <c r="CK53" s="79"/>
      <c r="CL53" s="79">
        <f t="shared" si="32"/>
        <v>5.6921944035346096E-2</v>
      </c>
      <c r="CM53" s="1">
        <v>8</v>
      </c>
      <c r="CN53" s="3" t="s">
        <v>50</v>
      </c>
      <c r="CO53" s="6">
        <v>0</v>
      </c>
      <c r="CP53" s="79">
        <v>0</v>
      </c>
      <c r="CQ53" s="79">
        <v>0</v>
      </c>
      <c r="CR53" s="79">
        <v>0</v>
      </c>
      <c r="CS53" s="92">
        <v>0</v>
      </c>
      <c r="CT53" s="79">
        <v>0</v>
      </c>
      <c r="CU53" s="79">
        <v>0</v>
      </c>
      <c r="CV53" s="79">
        <v>0</v>
      </c>
      <c r="CW53" s="1">
        <v>8</v>
      </c>
      <c r="CX53" s="3" t="s">
        <v>50</v>
      </c>
      <c r="CY53" s="6">
        <v>0</v>
      </c>
      <c r="CZ53" s="79">
        <v>0</v>
      </c>
      <c r="DA53" s="79">
        <v>0</v>
      </c>
      <c r="DB53" s="79">
        <v>0</v>
      </c>
      <c r="DC53" s="197">
        <v>0</v>
      </c>
      <c r="DD53" s="79">
        <v>0</v>
      </c>
      <c r="DE53" s="79">
        <v>0</v>
      </c>
      <c r="DF53" s="79" t="e">
        <f t="shared" si="34"/>
        <v>#DIV/0!</v>
      </c>
      <c r="DG53" s="1">
        <v>8</v>
      </c>
      <c r="DH53" s="3" t="s">
        <v>50</v>
      </c>
      <c r="DI53" s="6">
        <v>7763</v>
      </c>
      <c r="DJ53" s="79">
        <v>6456</v>
      </c>
      <c r="DK53" s="79">
        <v>4373</v>
      </c>
      <c r="DL53" s="79">
        <v>43</v>
      </c>
      <c r="DM53" s="197">
        <v>64.7</v>
      </c>
      <c r="DN53" s="79"/>
      <c r="DO53" s="79"/>
      <c r="DP53" s="79">
        <f t="shared" si="35"/>
        <v>1.4795335010290419E-2</v>
      </c>
      <c r="DQ53" s="1">
        <v>8</v>
      </c>
      <c r="DR53" s="3" t="s">
        <v>50</v>
      </c>
      <c r="DS53" s="6">
        <f t="shared" si="21"/>
        <v>29257</v>
      </c>
      <c r="DT53" s="79">
        <f t="shared" si="22"/>
        <v>7201</v>
      </c>
      <c r="DU53" s="79">
        <f t="shared" si="52"/>
        <v>9888</v>
      </c>
      <c r="DV53" s="79">
        <v>0</v>
      </c>
      <c r="DW53" s="79">
        <f t="shared" si="24"/>
        <v>219.8</v>
      </c>
      <c r="DX53" s="79">
        <v>0</v>
      </c>
      <c r="DY53" s="79">
        <v>0</v>
      </c>
      <c r="DZ53" s="79">
        <f t="shared" si="51"/>
        <v>2.2228964401294498E-2</v>
      </c>
    </row>
    <row r="54" spans="1:144" x14ac:dyDescent="0.3">
      <c r="A54" s="1">
        <v>9</v>
      </c>
      <c r="B54" s="3" t="s">
        <v>51</v>
      </c>
      <c r="C54" s="6">
        <v>0</v>
      </c>
      <c r="D54" s="79">
        <v>0</v>
      </c>
      <c r="E54" s="79">
        <v>0</v>
      </c>
      <c r="F54" s="79">
        <v>0</v>
      </c>
      <c r="G54" s="92">
        <v>0</v>
      </c>
      <c r="H54" s="79">
        <v>0</v>
      </c>
      <c r="I54" s="79">
        <v>0</v>
      </c>
      <c r="J54" s="79">
        <v>0</v>
      </c>
      <c r="K54" s="1">
        <v>9</v>
      </c>
      <c r="L54" s="3" t="s">
        <v>51</v>
      </c>
      <c r="M54" s="6">
        <v>0</v>
      </c>
      <c r="N54" s="79">
        <v>0</v>
      </c>
      <c r="O54" s="79">
        <v>0</v>
      </c>
      <c r="P54" s="79">
        <v>0</v>
      </c>
      <c r="Q54" s="92">
        <v>0</v>
      </c>
      <c r="R54" s="79">
        <v>0</v>
      </c>
      <c r="S54" s="79">
        <v>0</v>
      </c>
      <c r="T54" s="79">
        <v>0</v>
      </c>
      <c r="U54" s="1">
        <v>9</v>
      </c>
      <c r="V54" s="3" t="s">
        <v>51</v>
      </c>
      <c r="W54" s="6">
        <v>126842</v>
      </c>
      <c r="X54" s="79">
        <v>14716</v>
      </c>
      <c r="Y54" s="79">
        <v>49454</v>
      </c>
      <c r="Z54" s="79">
        <v>4569</v>
      </c>
      <c r="AA54" s="92">
        <v>1675.3</v>
      </c>
      <c r="AB54" s="79">
        <v>0</v>
      </c>
      <c r="AC54" s="79">
        <v>0</v>
      </c>
      <c r="AD54" s="79">
        <f t="shared" si="49"/>
        <v>3.3875925102115095E-2</v>
      </c>
      <c r="AE54" s="1">
        <v>9</v>
      </c>
      <c r="AF54" s="3" t="s">
        <v>51</v>
      </c>
      <c r="AG54" s="6">
        <v>0</v>
      </c>
      <c r="AH54" s="79">
        <v>0</v>
      </c>
      <c r="AI54" s="79">
        <v>0</v>
      </c>
      <c r="AJ54" s="79">
        <v>0</v>
      </c>
      <c r="AK54" s="92">
        <v>0</v>
      </c>
      <c r="AL54" s="79">
        <v>0</v>
      </c>
      <c r="AM54" s="79">
        <v>0</v>
      </c>
      <c r="AN54" s="79">
        <v>0</v>
      </c>
      <c r="AO54" s="1">
        <v>9</v>
      </c>
      <c r="AP54" s="3" t="s">
        <v>51</v>
      </c>
      <c r="AQ54" s="6">
        <v>0</v>
      </c>
      <c r="AR54" s="79">
        <v>0</v>
      </c>
      <c r="AS54" s="79">
        <v>0</v>
      </c>
      <c r="AT54" s="79">
        <v>0</v>
      </c>
      <c r="AU54" s="92">
        <v>0</v>
      </c>
      <c r="AV54" s="79">
        <v>0</v>
      </c>
      <c r="AW54" s="79">
        <v>0</v>
      </c>
      <c r="AX54" s="79">
        <v>0</v>
      </c>
      <c r="AY54" s="1">
        <v>9</v>
      </c>
      <c r="AZ54" s="3" t="s">
        <v>51</v>
      </c>
      <c r="BA54" s="6">
        <v>137485</v>
      </c>
      <c r="BB54" s="79">
        <v>200</v>
      </c>
      <c r="BC54" s="79">
        <v>49885</v>
      </c>
      <c r="BD54" s="79">
        <v>2307</v>
      </c>
      <c r="BE54" s="197">
        <v>1332.4</v>
      </c>
      <c r="BF54" s="79">
        <v>0</v>
      </c>
      <c r="BG54" s="79">
        <v>0</v>
      </c>
      <c r="BH54" s="79">
        <f t="shared" si="50"/>
        <v>2.6709431692893658E-2</v>
      </c>
      <c r="BI54" s="1">
        <v>9</v>
      </c>
      <c r="BJ54" s="3" t="s">
        <v>51</v>
      </c>
      <c r="BK54" s="6">
        <v>0</v>
      </c>
      <c r="BL54" s="79">
        <v>0</v>
      </c>
      <c r="BM54" s="79">
        <v>0</v>
      </c>
      <c r="BN54" s="79">
        <v>0</v>
      </c>
      <c r="BO54" s="92">
        <v>0</v>
      </c>
      <c r="BP54" s="79">
        <v>0</v>
      </c>
      <c r="BQ54" s="79">
        <v>0</v>
      </c>
      <c r="BR54" s="79" t="e">
        <f t="shared" si="30"/>
        <v>#DIV/0!</v>
      </c>
      <c r="BS54" s="1">
        <v>9</v>
      </c>
      <c r="BT54" s="3" t="s">
        <v>51</v>
      </c>
      <c r="BU54" s="6">
        <v>0</v>
      </c>
      <c r="BV54" s="79">
        <v>0</v>
      </c>
      <c r="BW54" s="79">
        <v>0</v>
      </c>
      <c r="BX54" s="79">
        <v>0</v>
      </c>
      <c r="BY54" s="197">
        <v>0</v>
      </c>
      <c r="BZ54" s="79">
        <v>0</v>
      </c>
      <c r="CA54" s="79">
        <v>0</v>
      </c>
      <c r="CB54" s="79" t="e">
        <f t="shared" si="31"/>
        <v>#DIV/0!</v>
      </c>
      <c r="CC54" s="1">
        <v>9</v>
      </c>
      <c r="CD54" s="3" t="s">
        <v>51</v>
      </c>
      <c r="CE54" s="6">
        <v>135874</v>
      </c>
      <c r="CF54" s="79">
        <v>1500</v>
      </c>
      <c r="CG54" s="79">
        <v>52036</v>
      </c>
      <c r="CH54" s="79">
        <v>2526</v>
      </c>
      <c r="CI54" s="92">
        <v>1460.7</v>
      </c>
      <c r="CJ54" s="79"/>
      <c r="CK54" s="79"/>
      <c r="CL54" s="79">
        <f t="shared" si="32"/>
        <v>2.807095088015989E-2</v>
      </c>
      <c r="CM54" s="1">
        <v>9</v>
      </c>
      <c r="CN54" s="3" t="s">
        <v>51</v>
      </c>
      <c r="CO54" s="6">
        <v>0</v>
      </c>
      <c r="CP54" s="79">
        <v>0</v>
      </c>
      <c r="CQ54" s="79">
        <v>0</v>
      </c>
      <c r="CR54" s="79">
        <v>0</v>
      </c>
      <c r="CS54" s="92">
        <v>0</v>
      </c>
      <c r="CT54" s="79">
        <v>0</v>
      </c>
      <c r="CU54" s="79">
        <v>0</v>
      </c>
      <c r="CV54" s="79">
        <v>0</v>
      </c>
      <c r="CW54" s="1">
        <v>9</v>
      </c>
      <c r="CX54" s="3" t="s">
        <v>51</v>
      </c>
      <c r="CY54" s="6">
        <v>0</v>
      </c>
      <c r="CZ54" s="79">
        <v>0</v>
      </c>
      <c r="DA54" s="79">
        <v>0</v>
      </c>
      <c r="DB54" s="79">
        <v>0</v>
      </c>
      <c r="DC54" s="197">
        <v>0</v>
      </c>
      <c r="DD54" s="79">
        <v>0</v>
      </c>
      <c r="DE54" s="79">
        <v>0</v>
      </c>
      <c r="DF54" s="79" t="e">
        <f t="shared" si="34"/>
        <v>#DIV/0!</v>
      </c>
      <c r="DG54" s="1">
        <v>9</v>
      </c>
      <c r="DH54" s="3" t="s">
        <v>51</v>
      </c>
      <c r="DI54" s="6">
        <v>135344</v>
      </c>
      <c r="DJ54" s="79">
        <v>17895</v>
      </c>
      <c r="DK54" s="79">
        <v>20703</v>
      </c>
      <c r="DL54" s="79">
        <v>1401</v>
      </c>
      <c r="DM54" s="197">
        <v>2034.9</v>
      </c>
      <c r="DN54" s="79"/>
      <c r="DO54" s="79"/>
      <c r="DP54" s="79">
        <f t="shared" si="35"/>
        <v>9.8290102883640054E-2</v>
      </c>
      <c r="DQ54" s="1">
        <v>9</v>
      </c>
      <c r="DR54" s="3" t="s">
        <v>51</v>
      </c>
      <c r="DS54" s="6">
        <f t="shared" si="21"/>
        <v>535545</v>
      </c>
      <c r="DT54" s="79">
        <f t="shared" si="22"/>
        <v>34311</v>
      </c>
      <c r="DU54" s="79">
        <f t="shared" si="52"/>
        <v>172078</v>
      </c>
      <c r="DV54" s="79">
        <v>0</v>
      </c>
      <c r="DW54" s="79">
        <f t="shared" si="24"/>
        <v>6503.2999999999993</v>
      </c>
      <c r="DX54" s="79">
        <v>0</v>
      </c>
      <c r="DY54" s="79">
        <v>0</v>
      </c>
      <c r="DZ54" s="79">
        <f t="shared" si="51"/>
        <v>3.7792745150455019E-2</v>
      </c>
    </row>
    <row r="55" spans="1:144" x14ac:dyDescent="0.3">
      <c r="A55" s="1">
        <v>10</v>
      </c>
      <c r="B55" s="3" t="s">
        <v>52</v>
      </c>
      <c r="C55" s="6">
        <v>0</v>
      </c>
      <c r="D55" s="79">
        <v>0</v>
      </c>
      <c r="E55" s="79">
        <v>0</v>
      </c>
      <c r="F55" s="79">
        <v>0</v>
      </c>
      <c r="G55" s="92">
        <v>0</v>
      </c>
      <c r="H55" s="79">
        <v>0</v>
      </c>
      <c r="I55" s="79">
        <v>0</v>
      </c>
      <c r="J55" s="79">
        <v>0</v>
      </c>
      <c r="K55" s="1">
        <v>10</v>
      </c>
      <c r="L55" s="3" t="s">
        <v>52</v>
      </c>
      <c r="M55" s="6">
        <v>0</v>
      </c>
      <c r="N55" s="79">
        <v>0</v>
      </c>
      <c r="O55" s="79">
        <v>0</v>
      </c>
      <c r="P55" s="79">
        <v>0</v>
      </c>
      <c r="Q55" s="92">
        <v>0</v>
      </c>
      <c r="R55" s="79">
        <v>0</v>
      </c>
      <c r="S55" s="79">
        <v>0</v>
      </c>
      <c r="T55" s="79">
        <v>0</v>
      </c>
      <c r="U55" s="1">
        <v>10</v>
      </c>
      <c r="V55" s="3" t="s">
        <v>52</v>
      </c>
      <c r="W55" s="6">
        <v>2819</v>
      </c>
      <c r="X55" s="79">
        <v>350</v>
      </c>
      <c r="Y55" s="79">
        <v>2706</v>
      </c>
      <c r="Z55" s="79">
        <v>0</v>
      </c>
      <c r="AA55" s="92">
        <v>465.8</v>
      </c>
      <c r="AB55" s="79">
        <v>0</v>
      </c>
      <c r="AC55" s="79">
        <v>0</v>
      </c>
      <c r="AD55" s="79">
        <f t="shared" si="49"/>
        <v>0.17213599408721361</v>
      </c>
      <c r="AE55" s="1">
        <v>10</v>
      </c>
      <c r="AF55" s="3" t="s">
        <v>52</v>
      </c>
      <c r="AG55" s="6">
        <v>0</v>
      </c>
      <c r="AH55" s="79">
        <v>0</v>
      </c>
      <c r="AI55" s="79">
        <v>0</v>
      </c>
      <c r="AJ55" s="79">
        <v>0</v>
      </c>
      <c r="AK55" s="92">
        <v>0</v>
      </c>
      <c r="AL55" s="79">
        <v>0</v>
      </c>
      <c r="AM55" s="79">
        <v>0</v>
      </c>
      <c r="AN55" s="79">
        <v>0</v>
      </c>
      <c r="AO55" s="1">
        <v>10</v>
      </c>
      <c r="AP55" s="3" t="s">
        <v>52</v>
      </c>
      <c r="AQ55" s="6">
        <v>0</v>
      </c>
      <c r="AR55" s="79">
        <v>0</v>
      </c>
      <c r="AS55" s="79">
        <v>0</v>
      </c>
      <c r="AT55" s="79">
        <v>0</v>
      </c>
      <c r="AU55" s="92">
        <v>0</v>
      </c>
      <c r="AV55" s="79">
        <v>0</v>
      </c>
      <c r="AW55" s="79">
        <v>0</v>
      </c>
      <c r="AX55" s="79">
        <v>0</v>
      </c>
      <c r="AY55" s="1">
        <v>10</v>
      </c>
      <c r="AZ55" s="3" t="s">
        <v>52</v>
      </c>
      <c r="BA55" s="6">
        <v>3169</v>
      </c>
      <c r="BB55" s="79">
        <v>25</v>
      </c>
      <c r="BC55" s="79">
        <v>2706</v>
      </c>
      <c r="BD55" s="79">
        <v>0</v>
      </c>
      <c r="BE55" s="197">
        <v>84.2</v>
      </c>
      <c r="BF55" s="79">
        <v>0</v>
      </c>
      <c r="BG55" s="79">
        <v>0</v>
      </c>
      <c r="BH55" s="79">
        <f t="shared" si="50"/>
        <v>3.1116038433111604E-2</v>
      </c>
      <c r="BI55" s="1">
        <v>10</v>
      </c>
      <c r="BJ55" s="3" t="s">
        <v>52</v>
      </c>
      <c r="BK55" s="6">
        <v>0</v>
      </c>
      <c r="BL55" s="79">
        <v>0</v>
      </c>
      <c r="BM55" s="79">
        <v>0</v>
      </c>
      <c r="BN55" s="79">
        <v>0</v>
      </c>
      <c r="BO55" s="92">
        <v>0</v>
      </c>
      <c r="BP55" s="79">
        <v>0</v>
      </c>
      <c r="BQ55" s="79">
        <v>0</v>
      </c>
      <c r="BR55" s="79" t="e">
        <f t="shared" si="30"/>
        <v>#DIV/0!</v>
      </c>
      <c r="BS55" s="1">
        <v>10</v>
      </c>
      <c r="BT55" s="3" t="s">
        <v>52</v>
      </c>
      <c r="BU55" s="6">
        <v>0</v>
      </c>
      <c r="BV55" s="79">
        <v>0</v>
      </c>
      <c r="BW55" s="79">
        <v>0</v>
      </c>
      <c r="BX55" s="79">
        <v>0</v>
      </c>
      <c r="BY55" s="197">
        <v>0</v>
      </c>
      <c r="BZ55" s="79">
        <v>0</v>
      </c>
      <c r="CA55" s="79">
        <v>0</v>
      </c>
      <c r="CB55" s="79" t="e">
        <f t="shared" si="31"/>
        <v>#DIV/0!</v>
      </c>
      <c r="CC55" s="1">
        <v>10</v>
      </c>
      <c r="CD55" s="3" t="s">
        <v>52</v>
      </c>
      <c r="CE55" s="6">
        <v>3194</v>
      </c>
      <c r="CF55" s="79">
        <v>58</v>
      </c>
      <c r="CG55" s="79">
        <v>2771</v>
      </c>
      <c r="CH55" s="79">
        <v>3</v>
      </c>
      <c r="CI55" s="92">
        <v>257.39999999999998</v>
      </c>
      <c r="CJ55" s="79"/>
      <c r="CK55" s="79"/>
      <c r="CL55" s="79">
        <f t="shared" si="32"/>
        <v>9.2890653193792846E-2</v>
      </c>
      <c r="CM55" s="1">
        <v>10</v>
      </c>
      <c r="CN55" s="3" t="s">
        <v>52</v>
      </c>
      <c r="CO55" s="6">
        <v>0</v>
      </c>
      <c r="CP55" s="79">
        <v>0</v>
      </c>
      <c r="CQ55" s="79">
        <v>0</v>
      </c>
      <c r="CR55" s="79">
        <v>0</v>
      </c>
      <c r="CS55" s="92">
        <v>0</v>
      </c>
      <c r="CT55" s="79">
        <v>0</v>
      </c>
      <c r="CU55" s="79">
        <v>0</v>
      </c>
      <c r="CV55" s="79">
        <v>0</v>
      </c>
      <c r="CW55" s="1">
        <v>10</v>
      </c>
      <c r="CX55" s="3" t="s">
        <v>52</v>
      </c>
      <c r="CY55" s="6">
        <v>0</v>
      </c>
      <c r="CZ55" s="79">
        <v>0</v>
      </c>
      <c r="DA55" s="79">
        <v>0</v>
      </c>
      <c r="DB55" s="79">
        <v>0</v>
      </c>
      <c r="DC55" s="197">
        <v>0</v>
      </c>
      <c r="DD55" s="79">
        <v>0</v>
      </c>
      <c r="DE55" s="79">
        <v>0</v>
      </c>
      <c r="DF55" s="79" t="e">
        <f t="shared" si="34"/>
        <v>#DIV/0!</v>
      </c>
      <c r="DG55" s="1">
        <v>10</v>
      </c>
      <c r="DH55" s="3" t="s">
        <v>52</v>
      </c>
      <c r="DI55" s="6">
        <v>3252</v>
      </c>
      <c r="DJ55" s="79">
        <v>24</v>
      </c>
      <c r="DK55" s="79">
        <v>2209</v>
      </c>
      <c r="DL55" s="79">
        <v>0</v>
      </c>
      <c r="DM55" s="197">
        <v>178.5</v>
      </c>
      <c r="DN55" s="79"/>
      <c r="DO55" s="79"/>
      <c r="DP55" s="79">
        <f t="shared" si="35"/>
        <v>8.0805794477138981E-2</v>
      </c>
      <c r="DQ55" s="1">
        <v>10</v>
      </c>
      <c r="DR55" s="3" t="s">
        <v>52</v>
      </c>
      <c r="DS55" s="6">
        <f t="shared" si="21"/>
        <v>12434</v>
      </c>
      <c r="DT55" s="79">
        <f t="shared" si="22"/>
        <v>457</v>
      </c>
      <c r="DU55" s="79">
        <f t="shared" si="52"/>
        <v>10392</v>
      </c>
      <c r="DV55" s="79">
        <v>0</v>
      </c>
      <c r="DW55" s="79">
        <f t="shared" si="24"/>
        <v>985.9</v>
      </c>
      <c r="DX55" s="79">
        <v>0</v>
      </c>
      <c r="DY55" s="79">
        <v>0</v>
      </c>
      <c r="DZ55" s="79">
        <f t="shared" si="51"/>
        <v>9.4871054657428788E-2</v>
      </c>
    </row>
    <row r="56" spans="1:144" x14ac:dyDescent="0.3">
      <c r="A56" s="1">
        <v>11</v>
      </c>
      <c r="B56" s="3" t="s">
        <v>53</v>
      </c>
      <c r="C56" s="6">
        <v>0</v>
      </c>
      <c r="D56" s="79">
        <v>0</v>
      </c>
      <c r="E56" s="79">
        <v>0</v>
      </c>
      <c r="F56" s="79">
        <v>0</v>
      </c>
      <c r="G56" s="92">
        <v>0</v>
      </c>
      <c r="H56" s="79">
        <v>0</v>
      </c>
      <c r="I56" s="79">
        <v>0</v>
      </c>
      <c r="J56" s="79">
        <v>0</v>
      </c>
      <c r="K56" s="1">
        <v>11</v>
      </c>
      <c r="L56" s="3" t="s">
        <v>53</v>
      </c>
      <c r="M56" s="6">
        <v>0</v>
      </c>
      <c r="N56" s="79">
        <v>0</v>
      </c>
      <c r="O56" s="79">
        <v>0</v>
      </c>
      <c r="P56" s="79">
        <v>0</v>
      </c>
      <c r="Q56" s="92">
        <v>0</v>
      </c>
      <c r="R56" s="79">
        <v>0</v>
      </c>
      <c r="S56" s="79">
        <v>0</v>
      </c>
      <c r="T56" s="79">
        <v>0</v>
      </c>
      <c r="U56" s="1">
        <v>11</v>
      </c>
      <c r="V56" s="3" t="s">
        <v>53</v>
      </c>
      <c r="W56" s="6">
        <v>122312</v>
      </c>
      <c r="X56" s="79">
        <v>60</v>
      </c>
      <c r="Y56" s="79">
        <v>18434</v>
      </c>
      <c r="Z56" s="79">
        <v>174</v>
      </c>
      <c r="AA56" s="92">
        <v>1691.4</v>
      </c>
      <c r="AB56" s="79">
        <v>0</v>
      </c>
      <c r="AC56" s="79">
        <v>0</v>
      </c>
      <c r="AD56" s="79">
        <f t="shared" si="49"/>
        <v>9.1754366930671585E-2</v>
      </c>
      <c r="AE56" s="1">
        <v>11</v>
      </c>
      <c r="AF56" s="3" t="s">
        <v>53</v>
      </c>
      <c r="AG56" s="6">
        <v>0</v>
      </c>
      <c r="AH56" s="79">
        <v>0</v>
      </c>
      <c r="AI56" s="79">
        <v>0</v>
      </c>
      <c r="AJ56" s="79">
        <v>0</v>
      </c>
      <c r="AK56" s="92">
        <v>0</v>
      </c>
      <c r="AL56" s="79">
        <v>0</v>
      </c>
      <c r="AM56" s="79">
        <v>0</v>
      </c>
      <c r="AN56" s="79">
        <v>0</v>
      </c>
      <c r="AO56" s="1">
        <v>11</v>
      </c>
      <c r="AP56" s="3" t="s">
        <v>53</v>
      </c>
      <c r="AQ56" s="6">
        <v>0</v>
      </c>
      <c r="AR56" s="79">
        <v>0</v>
      </c>
      <c r="AS56" s="79">
        <v>0</v>
      </c>
      <c r="AT56" s="79">
        <v>0</v>
      </c>
      <c r="AU56" s="92">
        <v>0</v>
      </c>
      <c r="AV56" s="79">
        <v>0</v>
      </c>
      <c r="AW56" s="79">
        <v>0</v>
      </c>
      <c r="AX56" s="79">
        <v>0</v>
      </c>
      <c r="AY56" s="1">
        <v>11</v>
      </c>
      <c r="AZ56" s="3" t="s">
        <v>53</v>
      </c>
      <c r="BA56" s="6">
        <v>122240</v>
      </c>
      <c r="BB56" s="79">
        <v>15</v>
      </c>
      <c r="BC56" s="79">
        <v>1914</v>
      </c>
      <c r="BD56" s="79">
        <v>207</v>
      </c>
      <c r="BE56" s="197">
        <v>122</v>
      </c>
      <c r="BF56" s="79">
        <v>0</v>
      </c>
      <c r="BG56" s="79">
        <v>0</v>
      </c>
      <c r="BH56" s="79">
        <f t="shared" si="50"/>
        <v>6.3740856844305124E-2</v>
      </c>
      <c r="BI56" s="1">
        <v>11</v>
      </c>
      <c r="BJ56" s="3" t="s">
        <v>53</v>
      </c>
      <c r="BK56" s="6">
        <v>0</v>
      </c>
      <c r="BL56" s="79">
        <v>0</v>
      </c>
      <c r="BM56" s="79">
        <v>0</v>
      </c>
      <c r="BN56" s="79">
        <v>0</v>
      </c>
      <c r="BO56" s="92">
        <v>0</v>
      </c>
      <c r="BP56" s="79">
        <v>0</v>
      </c>
      <c r="BQ56" s="79">
        <v>0</v>
      </c>
      <c r="BR56" s="79" t="e">
        <f t="shared" si="30"/>
        <v>#DIV/0!</v>
      </c>
      <c r="BS56" s="1">
        <v>11</v>
      </c>
      <c r="BT56" s="3" t="s">
        <v>53</v>
      </c>
      <c r="BU56" s="6">
        <v>0</v>
      </c>
      <c r="BV56" s="79">
        <v>0</v>
      </c>
      <c r="BW56" s="79">
        <v>0</v>
      </c>
      <c r="BX56" s="79">
        <v>0</v>
      </c>
      <c r="BY56" s="197">
        <v>0</v>
      </c>
      <c r="BZ56" s="79">
        <v>0</v>
      </c>
      <c r="CA56" s="79">
        <v>0</v>
      </c>
      <c r="CB56" s="79" t="e">
        <f t="shared" si="31"/>
        <v>#DIV/0!</v>
      </c>
      <c r="CC56" s="1">
        <v>11</v>
      </c>
      <c r="CD56" s="3" t="s">
        <v>53</v>
      </c>
      <c r="CE56" s="6">
        <v>122090</v>
      </c>
      <c r="CF56" s="79">
        <v>100</v>
      </c>
      <c r="CG56" s="79">
        <v>14825</v>
      </c>
      <c r="CH56" s="79">
        <v>207</v>
      </c>
      <c r="CI56" s="92">
        <v>528.6</v>
      </c>
      <c r="CJ56" s="79"/>
      <c r="CK56" s="79"/>
      <c r="CL56" s="79">
        <f t="shared" si="32"/>
        <v>3.5655986509274873E-2</v>
      </c>
      <c r="CM56" s="1">
        <v>11</v>
      </c>
      <c r="CN56" s="3" t="s">
        <v>53</v>
      </c>
      <c r="CO56" s="6">
        <v>0</v>
      </c>
      <c r="CP56" s="79">
        <v>0</v>
      </c>
      <c r="CQ56" s="79">
        <v>0</v>
      </c>
      <c r="CR56" s="79">
        <v>0</v>
      </c>
      <c r="CS56" s="92">
        <v>0</v>
      </c>
      <c r="CT56" s="79">
        <v>0</v>
      </c>
      <c r="CU56" s="79">
        <v>0</v>
      </c>
      <c r="CV56" s="79">
        <v>0</v>
      </c>
      <c r="CW56" s="1">
        <v>11</v>
      </c>
      <c r="CX56" s="3" t="s">
        <v>53</v>
      </c>
      <c r="CY56" s="6">
        <v>0</v>
      </c>
      <c r="CZ56" s="79">
        <v>0</v>
      </c>
      <c r="DA56" s="79">
        <v>0</v>
      </c>
      <c r="DB56" s="79">
        <v>0</v>
      </c>
      <c r="DC56" s="197">
        <v>0</v>
      </c>
      <c r="DD56" s="79">
        <v>0</v>
      </c>
      <c r="DE56" s="79">
        <v>0</v>
      </c>
      <c r="DF56" s="79" t="e">
        <f t="shared" si="34"/>
        <v>#DIV/0!</v>
      </c>
      <c r="DG56" s="1">
        <v>11</v>
      </c>
      <c r="DH56" s="3" t="s">
        <v>53</v>
      </c>
      <c r="DI56" s="6">
        <v>122060</v>
      </c>
      <c r="DJ56" s="79">
        <v>6545</v>
      </c>
      <c r="DK56" s="79">
        <v>46087</v>
      </c>
      <c r="DL56" s="79">
        <v>155</v>
      </c>
      <c r="DM56" s="197">
        <v>2458.9</v>
      </c>
      <c r="DN56" s="79"/>
      <c r="DO56" s="79"/>
      <c r="DP56" s="79">
        <f t="shared" si="35"/>
        <v>5.3353440232603556E-2</v>
      </c>
      <c r="DQ56" s="1">
        <v>11</v>
      </c>
      <c r="DR56" s="3" t="s">
        <v>53</v>
      </c>
      <c r="DS56" s="6">
        <f t="shared" si="21"/>
        <v>488702</v>
      </c>
      <c r="DT56" s="79">
        <f t="shared" si="22"/>
        <v>6720</v>
      </c>
      <c r="DU56" s="79">
        <f t="shared" si="52"/>
        <v>81260</v>
      </c>
      <c r="DV56" s="79">
        <v>0</v>
      </c>
      <c r="DW56" s="79">
        <f t="shared" si="24"/>
        <v>4800.8999999999996</v>
      </c>
      <c r="DX56" s="79">
        <v>0</v>
      </c>
      <c r="DY56" s="79">
        <v>0</v>
      </c>
      <c r="DZ56" s="79">
        <f t="shared" si="51"/>
        <v>5.9080728525719904E-2</v>
      </c>
    </row>
    <row r="57" spans="1:144" x14ac:dyDescent="0.3">
      <c r="A57" s="1">
        <v>12</v>
      </c>
      <c r="B57" s="3" t="s">
        <v>54</v>
      </c>
      <c r="C57" s="6">
        <v>0</v>
      </c>
      <c r="D57" s="79">
        <v>0</v>
      </c>
      <c r="E57" s="79">
        <v>0</v>
      </c>
      <c r="F57" s="79">
        <v>0</v>
      </c>
      <c r="G57" s="92">
        <v>0</v>
      </c>
      <c r="H57" s="79">
        <v>0</v>
      </c>
      <c r="I57" s="79">
        <v>0</v>
      </c>
      <c r="J57" s="79">
        <v>0</v>
      </c>
      <c r="K57" s="1">
        <v>12</v>
      </c>
      <c r="L57" s="3" t="s">
        <v>54</v>
      </c>
      <c r="M57" s="6">
        <v>0</v>
      </c>
      <c r="N57" s="79">
        <v>0</v>
      </c>
      <c r="O57" s="79">
        <v>0</v>
      </c>
      <c r="P57" s="79">
        <v>0</v>
      </c>
      <c r="Q57" s="92">
        <v>0</v>
      </c>
      <c r="R57" s="79">
        <v>0</v>
      </c>
      <c r="S57" s="79">
        <v>0</v>
      </c>
      <c r="T57" s="79">
        <v>0</v>
      </c>
      <c r="U57" s="1">
        <v>12</v>
      </c>
      <c r="V57" s="3" t="s">
        <v>54</v>
      </c>
      <c r="W57" s="6">
        <v>41414</v>
      </c>
      <c r="X57" s="79">
        <v>77</v>
      </c>
      <c r="Y57" s="79">
        <v>21299</v>
      </c>
      <c r="Z57" s="79">
        <v>0</v>
      </c>
      <c r="AA57" s="92">
        <v>575.4</v>
      </c>
      <c r="AB57" s="79">
        <v>0</v>
      </c>
      <c r="AC57" s="79">
        <v>0</v>
      </c>
      <c r="AD57" s="79">
        <f t="shared" si="49"/>
        <v>2.7015352833466358E-2</v>
      </c>
      <c r="AE57" s="1">
        <v>12</v>
      </c>
      <c r="AF57" s="3" t="s">
        <v>54</v>
      </c>
      <c r="AG57" s="6">
        <v>0</v>
      </c>
      <c r="AH57" s="79">
        <v>0</v>
      </c>
      <c r="AI57" s="79">
        <v>0</v>
      </c>
      <c r="AJ57" s="79">
        <v>0</v>
      </c>
      <c r="AK57" s="92">
        <v>0</v>
      </c>
      <c r="AL57" s="79">
        <v>0</v>
      </c>
      <c r="AM57" s="79">
        <v>0</v>
      </c>
      <c r="AN57" s="79">
        <v>0</v>
      </c>
      <c r="AO57" s="1">
        <v>12</v>
      </c>
      <c r="AP57" s="3" t="s">
        <v>54</v>
      </c>
      <c r="AQ57" s="6">
        <v>0</v>
      </c>
      <c r="AR57" s="79">
        <v>0</v>
      </c>
      <c r="AS57" s="79">
        <v>0</v>
      </c>
      <c r="AT57" s="79">
        <v>0</v>
      </c>
      <c r="AU57" s="92">
        <v>0</v>
      </c>
      <c r="AV57" s="79">
        <v>0</v>
      </c>
      <c r="AW57" s="79">
        <v>0</v>
      </c>
      <c r="AX57" s="79">
        <v>0</v>
      </c>
      <c r="AY57" s="1">
        <v>12</v>
      </c>
      <c r="AZ57" s="3" t="s">
        <v>54</v>
      </c>
      <c r="BA57" s="6">
        <v>41491</v>
      </c>
      <c r="BB57" s="79">
        <v>2000</v>
      </c>
      <c r="BC57" s="79">
        <v>2622</v>
      </c>
      <c r="BD57" s="79">
        <v>0</v>
      </c>
      <c r="BE57" s="197">
        <v>32.6</v>
      </c>
      <c r="BF57" s="79">
        <v>0</v>
      </c>
      <c r="BG57" s="79">
        <v>0</v>
      </c>
      <c r="BH57" s="79">
        <f t="shared" si="50"/>
        <v>1.2433257055682686E-2</v>
      </c>
      <c r="BI57" s="1">
        <v>12</v>
      </c>
      <c r="BJ57" s="3" t="s">
        <v>54</v>
      </c>
      <c r="BK57" s="6">
        <v>0</v>
      </c>
      <c r="BL57" s="79">
        <v>0</v>
      </c>
      <c r="BM57" s="79">
        <v>0</v>
      </c>
      <c r="BN57" s="79">
        <v>0</v>
      </c>
      <c r="BO57" s="92">
        <v>0</v>
      </c>
      <c r="BP57" s="79">
        <v>0</v>
      </c>
      <c r="BQ57" s="79">
        <v>0</v>
      </c>
      <c r="BR57" s="79" t="e">
        <f t="shared" si="30"/>
        <v>#DIV/0!</v>
      </c>
      <c r="BS57" s="1">
        <v>12</v>
      </c>
      <c r="BT57" s="3" t="s">
        <v>54</v>
      </c>
      <c r="BU57" s="6">
        <v>0</v>
      </c>
      <c r="BV57" s="79">
        <v>0</v>
      </c>
      <c r="BW57" s="79">
        <v>0</v>
      </c>
      <c r="BX57" s="79">
        <v>0</v>
      </c>
      <c r="BY57" s="197">
        <v>0</v>
      </c>
      <c r="BZ57" s="79">
        <v>0</v>
      </c>
      <c r="CA57" s="79">
        <v>0</v>
      </c>
      <c r="CB57" s="79" t="e">
        <f t="shared" si="31"/>
        <v>#DIV/0!</v>
      </c>
      <c r="CC57" s="1">
        <v>12</v>
      </c>
      <c r="CD57" s="3" t="s">
        <v>54</v>
      </c>
      <c r="CE57" s="6">
        <v>43491</v>
      </c>
      <c r="CF57" s="79">
        <v>50</v>
      </c>
      <c r="CG57" s="79">
        <v>661</v>
      </c>
      <c r="CH57" s="79">
        <v>0</v>
      </c>
      <c r="CI57" s="92">
        <v>26</v>
      </c>
      <c r="CJ57" s="79"/>
      <c r="CK57" s="79"/>
      <c r="CL57" s="79">
        <f t="shared" si="32"/>
        <v>3.9334341906202726E-2</v>
      </c>
      <c r="CM57" s="1">
        <v>12</v>
      </c>
      <c r="CN57" s="3" t="s">
        <v>54</v>
      </c>
      <c r="CO57" s="6">
        <v>0</v>
      </c>
      <c r="CP57" s="79">
        <v>0</v>
      </c>
      <c r="CQ57" s="79">
        <v>0</v>
      </c>
      <c r="CR57" s="79">
        <v>0</v>
      </c>
      <c r="CS57" s="92">
        <v>0</v>
      </c>
      <c r="CT57" s="79">
        <v>0</v>
      </c>
      <c r="CU57" s="79">
        <v>0</v>
      </c>
      <c r="CV57" s="79">
        <v>0</v>
      </c>
      <c r="CW57" s="1">
        <v>12</v>
      </c>
      <c r="CX57" s="3" t="s">
        <v>54</v>
      </c>
      <c r="CY57" s="6">
        <v>0</v>
      </c>
      <c r="CZ57" s="79">
        <v>0</v>
      </c>
      <c r="DA57" s="79">
        <v>0</v>
      </c>
      <c r="DB57" s="79">
        <v>0</v>
      </c>
      <c r="DC57" s="197">
        <v>0</v>
      </c>
      <c r="DD57" s="79">
        <v>0</v>
      </c>
      <c r="DE57" s="79">
        <v>0</v>
      </c>
      <c r="DF57" s="79" t="e">
        <f t="shared" si="34"/>
        <v>#DIV/0!</v>
      </c>
      <c r="DG57" s="1">
        <v>12</v>
      </c>
      <c r="DH57" s="3" t="s">
        <v>54</v>
      </c>
      <c r="DI57" s="6">
        <v>43541</v>
      </c>
      <c r="DJ57" s="79">
        <v>3400</v>
      </c>
      <c r="DK57" s="79">
        <v>11762</v>
      </c>
      <c r="DL57" s="79">
        <v>0</v>
      </c>
      <c r="DM57" s="197">
        <v>587.70000000000005</v>
      </c>
      <c r="DN57" s="79"/>
      <c r="DO57" s="79"/>
      <c r="DP57" s="79">
        <f t="shared" si="35"/>
        <v>4.9965992178200989E-2</v>
      </c>
      <c r="DQ57" s="1">
        <v>12</v>
      </c>
      <c r="DR57" s="3" t="s">
        <v>54</v>
      </c>
      <c r="DS57" s="6">
        <f t="shared" si="21"/>
        <v>169937</v>
      </c>
      <c r="DT57" s="79">
        <f t="shared" si="22"/>
        <v>5527</v>
      </c>
      <c r="DU57" s="79">
        <f t="shared" si="52"/>
        <v>36344</v>
      </c>
      <c r="DV57" s="79">
        <v>0</v>
      </c>
      <c r="DW57" s="79">
        <f t="shared" si="24"/>
        <v>1221.7</v>
      </c>
      <c r="DX57" s="79">
        <v>0</v>
      </c>
      <c r="DY57" s="79">
        <v>0</v>
      </c>
      <c r="DZ57" s="79">
        <f t="shared" si="51"/>
        <v>3.361490204710544E-2</v>
      </c>
    </row>
    <row r="58" spans="1:144" ht="30.75" customHeight="1" x14ac:dyDescent="0.3">
      <c r="A58" s="211" t="s">
        <v>3</v>
      </c>
      <c r="B58" s="213" t="s">
        <v>2</v>
      </c>
      <c r="C58" s="121" t="s">
        <v>217</v>
      </c>
      <c r="D58" s="63" t="s">
        <v>210</v>
      </c>
      <c r="E58" s="82" t="s">
        <v>0</v>
      </c>
      <c r="F58" s="63" t="s">
        <v>5</v>
      </c>
      <c r="G58" s="9" t="s">
        <v>1</v>
      </c>
      <c r="H58" s="215" t="s">
        <v>4</v>
      </c>
      <c r="I58" s="216"/>
      <c r="J58" s="82" t="s">
        <v>125</v>
      </c>
      <c r="K58" s="211" t="s">
        <v>3</v>
      </c>
      <c r="L58" s="213" t="s">
        <v>2</v>
      </c>
      <c r="M58" s="121" t="s">
        <v>217</v>
      </c>
      <c r="N58" s="63" t="s">
        <v>210</v>
      </c>
      <c r="O58" s="82" t="s">
        <v>0</v>
      </c>
      <c r="P58" s="63" t="s">
        <v>5</v>
      </c>
      <c r="Q58" s="9" t="s">
        <v>1</v>
      </c>
      <c r="R58" s="215" t="s">
        <v>4</v>
      </c>
      <c r="S58" s="216"/>
      <c r="T58" s="82" t="s">
        <v>125</v>
      </c>
      <c r="U58" s="211" t="s">
        <v>3</v>
      </c>
      <c r="V58" s="213" t="s">
        <v>2</v>
      </c>
      <c r="W58" s="121" t="s">
        <v>217</v>
      </c>
      <c r="X58" s="63" t="s">
        <v>210</v>
      </c>
      <c r="Y58" s="82" t="s">
        <v>0</v>
      </c>
      <c r="Z58" s="63" t="s">
        <v>5</v>
      </c>
      <c r="AA58" s="9" t="s">
        <v>1</v>
      </c>
      <c r="AB58" s="215" t="s">
        <v>4</v>
      </c>
      <c r="AC58" s="216"/>
      <c r="AD58" s="82" t="s">
        <v>125</v>
      </c>
      <c r="AE58" s="211" t="s">
        <v>3</v>
      </c>
      <c r="AF58" s="213" t="s">
        <v>2</v>
      </c>
      <c r="AG58" s="121" t="s">
        <v>217</v>
      </c>
      <c r="AH58" s="63" t="s">
        <v>210</v>
      </c>
      <c r="AI58" s="82" t="s">
        <v>0</v>
      </c>
      <c r="AJ58" s="63" t="s">
        <v>5</v>
      </c>
      <c r="AK58" s="9" t="s">
        <v>1</v>
      </c>
      <c r="AL58" s="215" t="s">
        <v>4</v>
      </c>
      <c r="AM58" s="216"/>
      <c r="AN58" s="82" t="s">
        <v>125</v>
      </c>
      <c r="AO58" s="211" t="s">
        <v>3</v>
      </c>
      <c r="AP58" s="213" t="s">
        <v>2</v>
      </c>
      <c r="AQ58" s="121" t="s">
        <v>217</v>
      </c>
      <c r="AR58" s="63" t="s">
        <v>210</v>
      </c>
      <c r="AS58" s="82" t="s">
        <v>0</v>
      </c>
      <c r="AT58" s="63" t="s">
        <v>5</v>
      </c>
      <c r="AU58" s="9" t="s">
        <v>1</v>
      </c>
      <c r="AV58" s="215" t="s">
        <v>4</v>
      </c>
      <c r="AW58" s="216"/>
      <c r="AX58" s="82" t="s">
        <v>125</v>
      </c>
      <c r="AY58" s="211" t="s">
        <v>3</v>
      </c>
      <c r="AZ58" s="213" t="s">
        <v>2</v>
      </c>
      <c r="BA58" s="121" t="s">
        <v>217</v>
      </c>
      <c r="BB58" s="63" t="s">
        <v>210</v>
      </c>
      <c r="BC58" s="82" t="s">
        <v>0</v>
      </c>
      <c r="BD58" s="63" t="s">
        <v>5</v>
      </c>
      <c r="BE58" s="9" t="s">
        <v>1</v>
      </c>
      <c r="BF58" s="215" t="s">
        <v>4</v>
      </c>
      <c r="BG58" s="216"/>
      <c r="BH58" s="82" t="s">
        <v>125</v>
      </c>
      <c r="BI58" s="211" t="s">
        <v>3</v>
      </c>
      <c r="BJ58" s="213" t="s">
        <v>2</v>
      </c>
      <c r="BK58" s="121" t="s">
        <v>217</v>
      </c>
      <c r="BL58" s="63" t="s">
        <v>210</v>
      </c>
      <c r="BM58" s="82" t="s">
        <v>0</v>
      </c>
      <c r="BN58" s="63" t="s">
        <v>5</v>
      </c>
      <c r="BO58" s="9" t="s">
        <v>1</v>
      </c>
      <c r="BP58" s="215" t="s">
        <v>4</v>
      </c>
      <c r="BQ58" s="216"/>
      <c r="BR58" s="82" t="s">
        <v>125</v>
      </c>
      <c r="BS58" s="211" t="s">
        <v>3</v>
      </c>
      <c r="BT58" s="213" t="s">
        <v>2</v>
      </c>
      <c r="BU58" s="121" t="s">
        <v>217</v>
      </c>
      <c r="BV58" s="63" t="s">
        <v>210</v>
      </c>
      <c r="BW58" s="82" t="s">
        <v>0</v>
      </c>
      <c r="BX58" s="63" t="s">
        <v>5</v>
      </c>
      <c r="BY58" s="9" t="s">
        <v>1</v>
      </c>
      <c r="BZ58" s="215" t="s">
        <v>4</v>
      </c>
      <c r="CA58" s="216"/>
      <c r="CB58" s="82" t="s">
        <v>125</v>
      </c>
      <c r="CC58" s="211" t="s">
        <v>3</v>
      </c>
      <c r="CD58" s="213" t="s">
        <v>2</v>
      </c>
      <c r="CE58" s="121" t="s">
        <v>217</v>
      </c>
      <c r="CF58" s="63" t="s">
        <v>210</v>
      </c>
      <c r="CG58" s="82" t="s">
        <v>0</v>
      </c>
      <c r="CH58" s="63" t="s">
        <v>5</v>
      </c>
      <c r="CI58" s="9" t="s">
        <v>1</v>
      </c>
      <c r="CJ58" s="215" t="s">
        <v>4</v>
      </c>
      <c r="CK58" s="216"/>
      <c r="CL58" s="82" t="s">
        <v>125</v>
      </c>
      <c r="CM58" s="211" t="s">
        <v>3</v>
      </c>
      <c r="CN58" s="213" t="s">
        <v>2</v>
      </c>
      <c r="CO58" s="121" t="s">
        <v>217</v>
      </c>
      <c r="CP58" s="63" t="s">
        <v>210</v>
      </c>
      <c r="CQ58" s="82" t="s">
        <v>0</v>
      </c>
      <c r="CR58" s="63" t="s">
        <v>5</v>
      </c>
      <c r="CS58" s="9" t="s">
        <v>1</v>
      </c>
      <c r="CT58" s="215" t="s">
        <v>4</v>
      </c>
      <c r="CU58" s="216"/>
      <c r="CV58" s="82" t="s">
        <v>125</v>
      </c>
      <c r="CW58" s="211" t="s">
        <v>3</v>
      </c>
      <c r="CX58" s="213" t="s">
        <v>2</v>
      </c>
      <c r="CY58" s="121" t="s">
        <v>217</v>
      </c>
      <c r="CZ58" s="63" t="s">
        <v>210</v>
      </c>
      <c r="DA58" s="82" t="s">
        <v>0</v>
      </c>
      <c r="DB58" s="63" t="s">
        <v>5</v>
      </c>
      <c r="DC58" s="9" t="s">
        <v>1</v>
      </c>
      <c r="DD58" s="215" t="s">
        <v>4</v>
      </c>
      <c r="DE58" s="216"/>
      <c r="DF58" s="82" t="s">
        <v>125</v>
      </c>
      <c r="DG58" s="211" t="s">
        <v>3</v>
      </c>
      <c r="DH58" s="213" t="s">
        <v>2</v>
      </c>
      <c r="DI58" s="121" t="s">
        <v>217</v>
      </c>
      <c r="DJ58" s="63" t="s">
        <v>210</v>
      </c>
      <c r="DK58" s="82" t="s">
        <v>0</v>
      </c>
      <c r="DL58" s="63" t="s">
        <v>5</v>
      </c>
      <c r="DM58" s="9" t="s">
        <v>1</v>
      </c>
      <c r="DN58" s="215" t="s">
        <v>4</v>
      </c>
      <c r="DO58" s="216"/>
      <c r="DP58" s="82" t="s">
        <v>125</v>
      </c>
      <c r="DQ58" s="211" t="s">
        <v>3</v>
      </c>
      <c r="DR58" s="213" t="s">
        <v>2</v>
      </c>
      <c r="DS58" s="121" t="s">
        <v>217</v>
      </c>
      <c r="DT58" s="63" t="s">
        <v>210</v>
      </c>
      <c r="DU58" s="82" t="s">
        <v>0</v>
      </c>
      <c r="DV58" s="63" t="s">
        <v>5</v>
      </c>
      <c r="DW58" s="9" t="s">
        <v>1</v>
      </c>
      <c r="DX58" s="215" t="s">
        <v>4</v>
      </c>
      <c r="DY58" s="216"/>
      <c r="DZ58" s="82" t="s">
        <v>125</v>
      </c>
    </row>
    <row r="59" spans="1:144" ht="14.25" customHeight="1" x14ac:dyDescent="0.3">
      <c r="A59" s="212"/>
      <c r="B59" s="214"/>
      <c r="C59" s="82" t="s">
        <v>7</v>
      </c>
      <c r="D59" s="115" t="s">
        <v>216</v>
      </c>
      <c r="E59" s="115" t="s">
        <v>216</v>
      </c>
      <c r="F59" s="115" t="s">
        <v>216</v>
      </c>
      <c r="G59" s="9" t="s">
        <v>6</v>
      </c>
      <c r="H59" s="63" t="s">
        <v>8</v>
      </c>
      <c r="I59" s="63" t="s">
        <v>9</v>
      </c>
      <c r="J59" s="93" t="s">
        <v>128</v>
      </c>
      <c r="K59" s="212"/>
      <c r="L59" s="214"/>
      <c r="M59" s="82" t="s">
        <v>7</v>
      </c>
      <c r="N59" s="115" t="s">
        <v>216</v>
      </c>
      <c r="O59" s="115" t="s">
        <v>216</v>
      </c>
      <c r="P59" s="115" t="s">
        <v>216</v>
      </c>
      <c r="Q59" s="9" t="s">
        <v>6</v>
      </c>
      <c r="R59" s="63" t="s">
        <v>8</v>
      </c>
      <c r="S59" s="63" t="s">
        <v>9</v>
      </c>
      <c r="T59" s="93" t="s">
        <v>128</v>
      </c>
      <c r="U59" s="212"/>
      <c r="V59" s="214"/>
      <c r="W59" s="82" t="s">
        <v>7</v>
      </c>
      <c r="X59" s="115" t="s">
        <v>216</v>
      </c>
      <c r="Y59" s="115" t="s">
        <v>216</v>
      </c>
      <c r="Z59" s="115" t="s">
        <v>216</v>
      </c>
      <c r="AA59" s="9" t="s">
        <v>6</v>
      </c>
      <c r="AB59" s="63" t="s">
        <v>8</v>
      </c>
      <c r="AC59" s="63" t="s">
        <v>9</v>
      </c>
      <c r="AD59" s="93" t="s">
        <v>128</v>
      </c>
      <c r="AE59" s="212"/>
      <c r="AF59" s="214"/>
      <c r="AG59" s="82" t="s">
        <v>7</v>
      </c>
      <c r="AH59" s="115" t="s">
        <v>216</v>
      </c>
      <c r="AI59" s="115" t="s">
        <v>216</v>
      </c>
      <c r="AJ59" s="115" t="s">
        <v>216</v>
      </c>
      <c r="AK59" s="9" t="s">
        <v>6</v>
      </c>
      <c r="AL59" s="63" t="s">
        <v>8</v>
      </c>
      <c r="AM59" s="63" t="s">
        <v>9</v>
      </c>
      <c r="AN59" s="93" t="s">
        <v>128</v>
      </c>
      <c r="AO59" s="212"/>
      <c r="AP59" s="214"/>
      <c r="AQ59" s="82" t="s">
        <v>7</v>
      </c>
      <c r="AR59" s="115" t="s">
        <v>216</v>
      </c>
      <c r="AS59" s="115" t="s">
        <v>216</v>
      </c>
      <c r="AT59" s="115" t="s">
        <v>216</v>
      </c>
      <c r="AU59" s="9" t="s">
        <v>6</v>
      </c>
      <c r="AV59" s="63" t="s">
        <v>8</v>
      </c>
      <c r="AW59" s="63" t="s">
        <v>9</v>
      </c>
      <c r="AX59" s="93" t="s">
        <v>128</v>
      </c>
      <c r="AY59" s="212"/>
      <c r="AZ59" s="214"/>
      <c r="BA59" s="82" t="s">
        <v>7</v>
      </c>
      <c r="BB59" s="115" t="s">
        <v>216</v>
      </c>
      <c r="BC59" s="115" t="s">
        <v>216</v>
      </c>
      <c r="BD59" s="115" t="s">
        <v>216</v>
      </c>
      <c r="BE59" s="9" t="s">
        <v>6</v>
      </c>
      <c r="BF59" s="63" t="s">
        <v>8</v>
      </c>
      <c r="BG59" s="63" t="s">
        <v>9</v>
      </c>
      <c r="BH59" s="93" t="s">
        <v>128</v>
      </c>
      <c r="BI59" s="212"/>
      <c r="BJ59" s="214"/>
      <c r="BK59" s="82" t="s">
        <v>7</v>
      </c>
      <c r="BL59" s="115" t="s">
        <v>216</v>
      </c>
      <c r="BM59" s="115" t="s">
        <v>216</v>
      </c>
      <c r="BN59" s="115" t="s">
        <v>216</v>
      </c>
      <c r="BO59" s="9" t="s">
        <v>6</v>
      </c>
      <c r="BP59" s="63" t="s">
        <v>8</v>
      </c>
      <c r="BQ59" s="63" t="s">
        <v>9</v>
      </c>
      <c r="BR59" s="93" t="s">
        <v>128</v>
      </c>
      <c r="BS59" s="212"/>
      <c r="BT59" s="214"/>
      <c r="BU59" s="82" t="s">
        <v>7</v>
      </c>
      <c r="BV59" s="115" t="s">
        <v>216</v>
      </c>
      <c r="BW59" s="115" t="s">
        <v>216</v>
      </c>
      <c r="BX59" s="115" t="s">
        <v>216</v>
      </c>
      <c r="BY59" s="9" t="s">
        <v>6</v>
      </c>
      <c r="BZ59" s="63" t="s">
        <v>8</v>
      </c>
      <c r="CA59" s="63" t="s">
        <v>9</v>
      </c>
      <c r="CB59" s="93" t="s">
        <v>128</v>
      </c>
      <c r="CC59" s="212"/>
      <c r="CD59" s="214"/>
      <c r="CE59" s="82" t="s">
        <v>7</v>
      </c>
      <c r="CF59" s="115" t="s">
        <v>216</v>
      </c>
      <c r="CG59" s="115" t="s">
        <v>216</v>
      </c>
      <c r="CH59" s="115" t="s">
        <v>216</v>
      </c>
      <c r="CI59" s="9" t="s">
        <v>6</v>
      </c>
      <c r="CJ59" s="63" t="s">
        <v>8</v>
      </c>
      <c r="CK59" s="63" t="s">
        <v>9</v>
      </c>
      <c r="CL59" s="93" t="s">
        <v>128</v>
      </c>
      <c r="CM59" s="212"/>
      <c r="CN59" s="214"/>
      <c r="CO59" s="82" t="s">
        <v>7</v>
      </c>
      <c r="CP59" s="115" t="s">
        <v>216</v>
      </c>
      <c r="CQ59" s="115" t="s">
        <v>216</v>
      </c>
      <c r="CR59" s="115" t="s">
        <v>216</v>
      </c>
      <c r="CS59" s="9" t="s">
        <v>6</v>
      </c>
      <c r="CT59" s="63" t="s">
        <v>8</v>
      </c>
      <c r="CU59" s="63" t="s">
        <v>9</v>
      </c>
      <c r="CV59" s="93" t="s">
        <v>128</v>
      </c>
      <c r="CW59" s="212"/>
      <c r="CX59" s="214"/>
      <c r="CY59" s="82" t="s">
        <v>7</v>
      </c>
      <c r="CZ59" s="115" t="s">
        <v>216</v>
      </c>
      <c r="DA59" s="115" t="s">
        <v>216</v>
      </c>
      <c r="DB59" s="115" t="s">
        <v>216</v>
      </c>
      <c r="DC59" s="9" t="s">
        <v>6</v>
      </c>
      <c r="DD59" s="63" t="s">
        <v>8</v>
      </c>
      <c r="DE59" s="63" t="s">
        <v>9</v>
      </c>
      <c r="DF59" s="93" t="s">
        <v>128</v>
      </c>
      <c r="DG59" s="212"/>
      <c r="DH59" s="214"/>
      <c r="DI59" s="82" t="s">
        <v>7</v>
      </c>
      <c r="DJ59" s="115" t="s">
        <v>216</v>
      </c>
      <c r="DK59" s="115" t="s">
        <v>216</v>
      </c>
      <c r="DL59" s="115" t="s">
        <v>216</v>
      </c>
      <c r="DM59" s="9" t="s">
        <v>6</v>
      </c>
      <c r="DN59" s="63" t="s">
        <v>8</v>
      </c>
      <c r="DO59" s="63" t="s">
        <v>9</v>
      </c>
      <c r="DP59" s="93" t="s">
        <v>128</v>
      </c>
      <c r="DQ59" s="212"/>
      <c r="DR59" s="214"/>
      <c r="DS59" s="82" t="s">
        <v>7</v>
      </c>
      <c r="DT59" s="115" t="s">
        <v>216</v>
      </c>
      <c r="DU59" s="115" t="s">
        <v>216</v>
      </c>
      <c r="DV59" s="115" t="s">
        <v>216</v>
      </c>
      <c r="DW59" s="9" t="s">
        <v>6</v>
      </c>
      <c r="DX59" s="63" t="s">
        <v>8</v>
      </c>
      <c r="DY59" s="63" t="s">
        <v>9</v>
      </c>
      <c r="DZ59" s="93" t="s">
        <v>128</v>
      </c>
    </row>
    <row r="60" spans="1:144" s="19" customFormat="1" ht="9.75" customHeight="1" x14ac:dyDescent="0.2">
      <c r="A60" s="99">
        <v>1</v>
      </c>
      <c r="B60" s="100">
        <v>2</v>
      </c>
      <c r="C60" s="100"/>
      <c r="D60" s="99">
        <v>3</v>
      </c>
      <c r="E60" s="99">
        <v>4</v>
      </c>
      <c r="F60" s="99">
        <v>5</v>
      </c>
      <c r="G60" s="99"/>
      <c r="H60" s="99">
        <v>6</v>
      </c>
      <c r="I60" s="99">
        <v>7</v>
      </c>
      <c r="J60" s="99">
        <v>8</v>
      </c>
      <c r="K60" s="99">
        <v>1</v>
      </c>
      <c r="L60" s="100">
        <v>2</v>
      </c>
      <c r="M60" s="100"/>
      <c r="N60" s="99">
        <v>3</v>
      </c>
      <c r="O60" s="99">
        <v>4</v>
      </c>
      <c r="P60" s="99">
        <v>5</v>
      </c>
      <c r="Q60" s="99"/>
      <c r="R60" s="99">
        <v>6</v>
      </c>
      <c r="S60" s="99">
        <v>7</v>
      </c>
      <c r="T60" s="99">
        <v>8</v>
      </c>
      <c r="U60" s="99">
        <v>1</v>
      </c>
      <c r="V60" s="100">
        <v>2</v>
      </c>
      <c r="W60" s="100"/>
      <c r="X60" s="99">
        <v>3</v>
      </c>
      <c r="Y60" s="99">
        <v>4</v>
      </c>
      <c r="Z60" s="99">
        <v>5</v>
      </c>
      <c r="AA60" s="99"/>
      <c r="AB60" s="99">
        <v>6</v>
      </c>
      <c r="AC60" s="99">
        <v>7</v>
      </c>
      <c r="AD60" s="99">
        <v>8</v>
      </c>
      <c r="AE60" s="99">
        <v>1</v>
      </c>
      <c r="AF60" s="100">
        <v>2</v>
      </c>
      <c r="AG60" s="100"/>
      <c r="AH60" s="99">
        <v>3</v>
      </c>
      <c r="AI60" s="99">
        <v>4</v>
      </c>
      <c r="AJ60" s="99">
        <v>5</v>
      </c>
      <c r="AK60" s="99"/>
      <c r="AL60" s="99">
        <v>6</v>
      </c>
      <c r="AM60" s="99">
        <v>7</v>
      </c>
      <c r="AN60" s="99">
        <v>8</v>
      </c>
      <c r="AO60" s="99">
        <v>1</v>
      </c>
      <c r="AP60" s="100">
        <v>2</v>
      </c>
      <c r="AQ60" s="100"/>
      <c r="AR60" s="99">
        <v>3</v>
      </c>
      <c r="AS60" s="99">
        <v>4</v>
      </c>
      <c r="AT60" s="99">
        <v>5</v>
      </c>
      <c r="AU60" s="99"/>
      <c r="AV60" s="99">
        <v>6</v>
      </c>
      <c r="AW60" s="99">
        <v>7</v>
      </c>
      <c r="AX60" s="99">
        <v>8</v>
      </c>
      <c r="AY60" s="99">
        <v>1</v>
      </c>
      <c r="AZ60" s="100">
        <v>2</v>
      </c>
      <c r="BA60" s="100"/>
      <c r="BB60" s="99">
        <v>3</v>
      </c>
      <c r="BC60" s="99">
        <v>4</v>
      </c>
      <c r="BD60" s="99">
        <v>5</v>
      </c>
      <c r="BE60" s="195"/>
      <c r="BF60" s="99">
        <v>6</v>
      </c>
      <c r="BG60" s="99">
        <v>7</v>
      </c>
      <c r="BH60" s="99">
        <v>8</v>
      </c>
      <c r="BI60" s="99">
        <v>1</v>
      </c>
      <c r="BJ60" s="100">
        <v>2</v>
      </c>
      <c r="BK60" s="100"/>
      <c r="BL60" s="99">
        <v>3</v>
      </c>
      <c r="BM60" s="99">
        <v>4</v>
      </c>
      <c r="BN60" s="99">
        <v>5</v>
      </c>
      <c r="BO60" s="99"/>
      <c r="BP60" s="99">
        <v>6</v>
      </c>
      <c r="BQ60" s="99">
        <v>7</v>
      </c>
      <c r="BR60" s="99">
        <v>8</v>
      </c>
      <c r="BS60" s="99">
        <v>1</v>
      </c>
      <c r="BT60" s="100">
        <v>2</v>
      </c>
      <c r="BU60" s="100"/>
      <c r="BV60" s="99">
        <v>3</v>
      </c>
      <c r="BW60" s="99">
        <v>4</v>
      </c>
      <c r="BX60" s="99">
        <v>5</v>
      </c>
      <c r="BY60" s="195"/>
      <c r="BZ60" s="99">
        <v>6</v>
      </c>
      <c r="CA60" s="99">
        <v>7</v>
      </c>
      <c r="CB60" s="99">
        <v>8</v>
      </c>
      <c r="CC60" s="99">
        <v>1</v>
      </c>
      <c r="CD60" s="100">
        <v>2</v>
      </c>
      <c r="CE60" s="100"/>
      <c r="CF60" s="99">
        <v>3</v>
      </c>
      <c r="CG60" s="99">
        <v>4</v>
      </c>
      <c r="CH60" s="99">
        <v>5</v>
      </c>
      <c r="CI60" s="99"/>
      <c r="CJ60" s="99">
        <v>6</v>
      </c>
      <c r="CK60" s="99">
        <v>7</v>
      </c>
      <c r="CL60" s="99">
        <v>8</v>
      </c>
      <c r="CM60" s="99">
        <v>1</v>
      </c>
      <c r="CN60" s="100">
        <v>2</v>
      </c>
      <c r="CO60" s="100"/>
      <c r="CP60" s="99">
        <v>3</v>
      </c>
      <c r="CQ60" s="99">
        <v>4</v>
      </c>
      <c r="CR60" s="99">
        <v>5</v>
      </c>
      <c r="CS60" s="99"/>
      <c r="CT60" s="99">
        <v>6</v>
      </c>
      <c r="CU60" s="99">
        <v>7</v>
      </c>
      <c r="CV60" s="99">
        <v>8</v>
      </c>
      <c r="CW60" s="99">
        <v>1</v>
      </c>
      <c r="CX60" s="100">
        <v>2</v>
      </c>
      <c r="CY60" s="100"/>
      <c r="CZ60" s="99">
        <v>3</v>
      </c>
      <c r="DA60" s="99">
        <v>4</v>
      </c>
      <c r="DB60" s="99">
        <v>5</v>
      </c>
      <c r="DC60" s="195"/>
      <c r="DD60" s="99">
        <v>6</v>
      </c>
      <c r="DE60" s="99">
        <v>7</v>
      </c>
      <c r="DF60" s="99">
        <v>8</v>
      </c>
      <c r="DG60" s="99">
        <v>1</v>
      </c>
      <c r="DH60" s="100">
        <v>2</v>
      </c>
      <c r="DI60" s="100"/>
      <c r="DJ60" s="99">
        <v>3</v>
      </c>
      <c r="DK60" s="99">
        <v>4</v>
      </c>
      <c r="DL60" s="99">
        <v>5</v>
      </c>
      <c r="DM60" s="195"/>
      <c r="DN60" s="99">
        <v>6</v>
      </c>
      <c r="DO60" s="99">
        <v>7</v>
      </c>
      <c r="DP60" s="99">
        <v>8</v>
      </c>
      <c r="DQ60" s="99">
        <v>1</v>
      </c>
      <c r="DR60" s="100">
        <v>2</v>
      </c>
      <c r="DS60" s="100"/>
      <c r="DT60" s="99">
        <v>3</v>
      </c>
      <c r="DU60" s="99">
        <v>4</v>
      </c>
      <c r="DV60" s="99">
        <v>5</v>
      </c>
      <c r="DW60" s="99"/>
      <c r="DX60" s="99">
        <v>6</v>
      </c>
      <c r="DY60" s="99">
        <v>7</v>
      </c>
      <c r="DZ60" s="99">
        <v>8</v>
      </c>
    </row>
    <row r="61" spans="1:144" x14ac:dyDescent="0.3">
      <c r="A61" s="1">
        <v>13</v>
      </c>
      <c r="B61" s="3" t="s">
        <v>55</v>
      </c>
      <c r="C61" s="6">
        <v>0</v>
      </c>
      <c r="D61" s="79">
        <v>0</v>
      </c>
      <c r="E61" s="79">
        <v>0</v>
      </c>
      <c r="F61" s="79">
        <v>0</v>
      </c>
      <c r="G61" s="79">
        <v>0</v>
      </c>
      <c r="H61" s="79">
        <v>0</v>
      </c>
      <c r="I61" s="79">
        <v>0</v>
      </c>
      <c r="J61" s="79">
        <v>0</v>
      </c>
      <c r="K61" s="1">
        <v>13</v>
      </c>
      <c r="L61" s="3" t="s">
        <v>55</v>
      </c>
      <c r="M61" s="6">
        <v>0</v>
      </c>
      <c r="N61" s="79">
        <v>0</v>
      </c>
      <c r="O61" s="79">
        <v>0</v>
      </c>
      <c r="P61" s="79">
        <v>0</v>
      </c>
      <c r="Q61" s="79">
        <v>0</v>
      </c>
      <c r="R61" s="79">
        <v>0</v>
      </c>
      <c r="S61" s="79">
        <v>0</v>
      </c>
      <c r="T61" s="79">
        <v>0</v>
      </c>
      <c r="U61" s="1">
        <v>13</v>
      </c>
      <c r="V61" s="3" t="s">
        <v>55</v>
      </c>
      <c r="W61" s="6">
        <v>54494</v>
      </c>
      <c r="X61" s="79">
        <v>14995</v>
      </c>
      <c r="Y61" s="79">
        <v>27677</v>
      </c>
      <c r="Z61" s="79">
        <v>0</v>
      </c>
      <c r="AA61" s="79">
        <v>1263</v>
      </c>
      <c r="AB61" s="79">
        <v>0</v>
      </c>
      <c r="AC61" s="79">
        <v>0</v>
      </c>
      <c r="AD61" s="79">
        <f>AA61/Y61</f>
        <v>4.5633558550420929E-2</v>
      </c>
      <c r="AE61" s="1">
        <v>13</v>
      </c>
      <c r="AF61" s="3" t="s">
        <v>55</v>
      </c>
      <c r="AG61" s="6">
        <v>0</v>
      </c>
      <c r="AH61" s="79">
        <v>0</v>
      </c>
      <c r="AI61" s="79">
        <v>0</v>
      </c>
      <c r="AJ61" s="79">
        <v>0</v>
      </c>
      <c r="AK61" s="79">
        <v>0</v>
      </c>
      <c r="AL61" s="79">
        <v>0</v>
      </c>
      <c r="AM61" s="79">
        <v>0</v>
      </c>
      <c r="AN61" s="79">
        <v>0</v>
      </c>
      <c r="AO61" s="1">
        <v>13</v>
      </c>
      <c r="AP61" s="3" t="s">
        <v>55</v>
      </c>
      <c r="AQ61" s="6">
        <v>0</v>
      </c>
      <c r="AR61" s="79">
        <v>0</v>
      </c>
      <c r="AS61" s="79">
        <v>0</v>
      </c>
      <c r="AT61" s="79">
        <v>0</v>
      </c>
      <c r="AU61" s="79">
        <v>0</v>
      </c>
      <c r="AV61" s="79">
        <v>0</v>
      </c>
      <c r="AW61" s="79">
        <v>0</v>
      </c>
      <c r="AX61" s="79">
        <v>0</v>
      </c>
      <c r="AY61" s="1">
        <v>13</v>
      </c>
      <c r="AZ61" s="3" t="s">
        <v>55</v>
      </c>
      <c r="BA61" s="6">
        <v>69334</v>
      </c>
      <c r="BB61" s="79">
        <v>10</v>
      </c>
      <c r="BC61" s="79">
        <v>23547</v>
      </c>
      <c r="BD61" s="79">
        <v>0</v>
      </c>
      <c r="BE61" s="40">
        <v>758.2</v>
      </c>
      <c r="BF61" s="79">
        <v>0</v>
      </c>
      <c r="BG61" s="79">
        <v>0</v>
      </c>
      <c r="BH61" s="79">
        <f>BE61/BC61</f>
        <v>3.2199430925383278E-2</v>
      </c>
      <c r="BI61" s="1">
        <v>13</v>
      </c>
      <c r="BJ61" s="3" t="s">
        <v>55</v>
      </c>
      <c r="BK61" s="6">
        <v>0</v>
      </c>
      <c r="BL61" s="79">
        <v>0</v>
      </c>
      <c r="BM61" s="79">
        <v>0</v>
      </c>
      <c r="BN61" s="79">
        <v>0</v>
      </c>
      <c r="BO61" s="79">
        <v>0</v>
      </c>
      <c r="BP61" s="79">
        <v>0</v>
      </c>
      <c r="BQ61" s="79">
        <v>0</v>
      </c>
      <c r="BR61" s="79" t="e">
        <f>BO61/BM61</f>
        <v>#DIV/0!</v>
      </c>
      <c r="BS61" s="1">
        <v>13</v>
      </c>
      <c r="BT61" s="3" t="s">
        <v>55</v>
      </c>
      <c r="BU61" s="6">
        <v>0</v>
      </c>
      <c r="BV61" s="79">
        <v>0</v>
      </c>
      <c r="BW61" s="79">
        <v>0</v>
      </c>
      <c r="BX61" s="79">
        <v>0</v>
      </c>
      <c r="BY61" s="40">
        <v>0</v>
      </c>
      <c r="BZ61" s="79">
        <v>0</v>
      </c>
      <c r="CA61" s="79">
        <v>0</v>
      </c>
      <c r="CB61" s="79" t="e">
        <f>BY61/BW61</f>
        <v>#DIV/0!</v>
      </c>
      <c r="CC61" s="1">
        <v>13</v>
      </c>
      <c r="CD61" s="3" t="s">
        <v>55</v>
      </c>
      <c r="CE61" s="6">
        <v>69344</v>
      </c>
      <c r="CF61" s="79">
        <v>0</v>
      </c>
      <c r="CG61" s="79">
        <v>25891</v>
      </c>
      <c r="CH61" s="79">
        <v>91</v>
      </c>
      <c r="CI61" s="79">
        <v>767.3</v>
      </c>
      <c r="CJ61" s="79"/>
      <c r="CK61" s="79"/>
      <c r="CL61" s="79">
        <f>CI61/CG61</f>
        <v>2.9635780773241666E-2</v>
      </c>
      <c r="CM61" s="1">
        <v>13</v>
      </c>
      <c r="CN61" s="3" t="s">
        <v>55</v>
      </c>
      <c r="CO61" s="6">
        <v>0</v>
      </c>
      <c r="CP61" s="79">
        <v>0</v>
      </c>
      <c r="CQ61" s="79">
        <v>0</v>
      </c>
      <c r="CR61" s="79">
        <v>0</v>
      </c>
      <c r="CS61" s="79">
        <v>0</v>
      </c>
      <c r="CT61" s="79">
        <v>0</v>
      </c>
      <c r="CU61" s="79">
        <v>0</v>
      </c>
      <c r="CV61" s="79">
        <v>0</v>
      </c>
      <c r="CW61" s="1">
        <v>13</v>
      </c>
      <c r="CX61" s="3" t="s">
        <v>55</v>
      </c>
      <c r="CY61" s="6">
        <v>0</v>
      </c>
      <c r="CZ61" s="79">
        <v>0</v>
      </c>
      <c r="DA61" s="79">
        <v>0</v>
      </c>
      <c r="DB61" s="79">
        <v>0</v>
      </c>
      <c r="DC61" s="40">
        <v>0</v>
      </c>
      <c r="DD61" s="79">
        <v>0</v>
      </c>
      <c r="DE61" s="79">
        <v>0</v>
      </c>
      <c r="DF61" s="79" t="e">
        <f>DC61/DA61</f>
        <v>#DIV/0!</v>
      </c>
      <c r="DG61" s="1">
        <v>13</v>
      </c>
      <c r="DH61" s="3" t="s">
        <v>55</v>
      </c>
      <c r="DI61" s="6">
        <v>69283</v>
      </c>
      <c r="DJ61" s="79">
        <v>3000</v>
      </c>
      <c r="DK61" s="79">
        <v>28882</v>
      </c>
      <c r="DL61" s="79">
        <v>17</v>
      </c>
      <c r="DM61" s="40">
        <v>3276.8</v>
      </c>
      <c r="DN61" s="79"/>
      <c r="DO61" s="79"/>
      <c r="DP61" s="79">
        <f>DM61/DK61</f>
        <v>0.11345474690118414</v>
      </c>
      <c r="DQ61" s="1">
        <v>13</v>
      </c>
      <c r="DR61" s="3" t="s">
        <v>55</v>
      </c>
      <c r="DS61" s="6">
        <f t="shared" ref="DS61:DS83" si="53">SUM(C61+M61+W61+AG61+AQ61+BA61+BK61+BU61+CE61+CO61+CY61+DI61)</f>
        <v>262455</v>
      </c>
      <c r="DT61" s="79">
        <f t="shared" ref="DT61:DT72" si="54">SUM(D61+N61+X61+AH61+AR61+BB61+BL61+BV61+CF61+CP61+DA61+DJ61)</f>
        <v>18005</v>
      </c>
      <c r="DU61" s="79">
        <f t="shared" ref="DU61:DU72" si="55">SUM(E61+O61+Y61+AI61+AS61+BC61+BM61+BW61+CG61+CQ61+DA61+DK61)</f>
        <v>105997</v>
      </c>
      <c r="DV61" s="79">
        <v>0</v>
      </c>
      <c r="DW61" s="79">
        <f t="shared" ref="DW61:DW72" si="56">SUM(G61+Q61+AA61+AK61+AU61+BE61+BO61+BY61+CI61+CS61+DC61+DM61)</f>
        <v>6065.3</v>
      </c>
      <c r="DX61" s="79">
        <v>0</v>
      </c>
      <c r="DY61" s="79">
        <v>0</v>
      </c>
      <c r="DZ61" s="79">
        <f>DW61/DU61</f>
        <v>5.7221430795211185E-2</v>
      </c>
    </row>
    <row r="62" spans="1:144" x14ac:dyDescent="0.3">
      <c r="A62" s="1">
        <v>14</v>
      </c>
      <c r="B62" s="3" t="s">
        <v>56</v>
      </c>
      <c r="C62" s="6">
        <v>0</v>
      </c>
      <c r="D62" s="79">
        <v>0</v>
      </c>
      <c r="E62" s="79">
        <v>0</v>
      </c>
      <c r="F62" s="79">
        <v>0</v>
      </c>
      <c r="G62" s="79">
        <v>0</v>
      </c>
      <c r="H62" s="79">
        <v>0</v>
      </c>
      <c r="I62" s="79">
        <v>0</v>
      </c>
      <c r="J62" s="79">
        <v>0</v>
      </c>
      <c r="K62" s="1">
        <v>14</v>
      </c>
      <c r="L62" s="3" t="s">
        <v>56</v>
      </c>
      <c r="M62" s="6">
        <v>0</v>
      </c>
      <c r="N62" s="79">
        <v>0</v>
      </c>
      <c r="O62" s="79">
        <v>0</v>
      </c>
      <c r="P62" s="79">
        <v>0</v>
      </c>
      <c r="Q62" s="79">
        <v>0</v>
      </c>
      <c r="R62" s="79">
        <v>0</v>
      </c>
      <c r="S62" s="79">
        <v>0</v>
      </c>
      <c r="T62" s="79">
        <v>0</v>
      </c>
      <c r="U62" s="1">
        <v>14</v>
      </c>
      <c r="V62" s="3" t="s">
        <v>56</v>
      </c>
      <c r="W62" s="6">
        <v>17501953</v>
      </c>
      <c r="X62" s="79">
        <v>2122000</v>
      </c>
      <c r="Y62" s="79">
        <v>8797120</v>
      </c>
      <c r="Z62" s="79">
        <v>2030160</v>
      </c>
      <c r="AA62" s="79">
        <v>66971</v>
      </c>
      <c r="AB62" s="79">
        <v>0</v>
      </c>
      <c r="AC62" s="79">
        <v>0</v>
      </c>
      <c r="AD62" s="79">
        <f t="shared" ref="AD62:AD72" si="57">AA62/Y62</f>
        <v>7.6128323815066751E-3</v>
      </c>
      <c r="AE62" s="1">
        <v>14</v>
      </c>
      <c r="AF62" s="3" t="s">
        <v>56</v>
      </c>
      <c r="AG62" s="6">
        <v>0</v>
      </c>
      <c r="AH62" s="79">
        <v>0</v>
      </c>
      <c r="AI62" s="79">
        <v>0</v>
      </c>
      <c r="AJ62" s="79">
        <v>0</v>
      </c>
      <c r="AK62" s="79">
        <v>0</v>
      </c>
      <c r="AL62" s="79">
        <v>0</v>
      </c>
      <c r="AM62" s="79">
        <v>0</v>
      </c>
      <c r="AN62" s="79">
        <v>0</v>
      </c>
      <c r="AO62" s="1">
        <v>14</v>
      </c>
      <c r="AP62" s="3" t="s">
        <v>56</v>
      </c>
      <c r="AQ62" s="6">
        <v>0</v>
      </c>
      <c r="AR62" s="79">
        <v>0</v>
      </c>
      <c r="AS62" s="79">
        <v>0</v>
      </c>
      <c r="AT62" s="79">
        <v>0</v>
      </c>
      <c r="AU62" s="79">
        <v>0</v>
      </c>
      <c r="AV62" s="79">
        <v>0</v>
      </c>
      <c r="AW62" s="79">
        <v>0</v>
      </c>
      <c r="AX62" s="79">
        <v>0</v>
      </c>
      <c r="AY62" s="1">
        <v>14</v>
      </c>
      <c r="AZ62" s="3" t="s">
        <v>56</v>
      </c>
      <c r="BA62" s="6">
        <v>17563953</v>
      </c>
      <c r="BB62" s="79">
        <v>75000</v>
      </c>
      <c r="BC62" s="79">
        <v>10333559</v>
      </c>
      <c r="BD62" s="79">
        <v>467715</v>
      </c>
      <c r="BE62" s="40">
        <v>19824.099999999999</v>
      </c>
      <c r="BF62" s="79">
        <v>0</v>
      </c>
      <c r="BG62" s="79">
        <v>0</v>
      </c>
      <c r="BH62" s="79">
        <f t="shared" ref="BH62:BH72" si="58">BE62/BC62</f>
        <v>1.9184193945183841E-3</v>
      </c>
      <c r="BI62" s="1">
        <v>14</v>
      </c>
      <c r="BJ62" s="3" t="s">
        <v>56</v>
      </c>
      <c r="BK62" s="6">
        <v>0</v>
      </c>
      <c r="BL62" s="79">
        <v>0</v>
      </c>
      <c r="BM62" s="79">
        <v>0</v>
      </c>
      <c r="BN62" s="79">
        <v>0</v>
      </c>
      <c r="BO62" s="79">
        <v>0</v>
      </c>
      <c r="BP62" s="79">
        <v>0</v>
      </c>
      <c r="BQ62" s="79">
        <v>0</v>
      </c>
      <c r="BR62" s="79" t="e">
        <f t="shared" ref="BR62:BR72" si="59">BO62/BM62</f>
        <v>#DIV/0!</v>
      </c>
      <c r="BS62" s="1">
        <v>14</v>
      </c>
      <c r="BT62" s="3" t="s">
        <v>56</v>
      </c>
      <c r="BU62" s="6">
        <v>0</v>
      </c>
      <c r="BV62" s="79">
        <v>0</v>
      </c>
      <c r="BW62" s="79">
        <v>0</v>
      </c>
      <c r="BX62" s="79">
        <v>0</v>
      </c>
      <c r="BY62" s="40">
        <v>0</v>
      </c>
      <c r="BZ62" s="79">
        <v>0</v>
      </c>
      <c r="CA62" s="79">
        <v>0</v>
      </c>
      <c r="CB62" s="79" t="e">
        <f t="shared" ref="CB62:CB72" si="60">BY62/BW62</f>
        <v>#DIV/0!</v>
      </c>
      <c r="CC62" s="1">
        <v>14</v>
      </c>
      <c r="CD62" s="3" t="s">
        <v>56</v>
      </c>
      <c r="CE62" s="6">
        <v>17171453</v>
      </c>
      <c r="CF62" s="79">
        <v>2447000</v>
      </c>
      <c r="CG62" s="79">
        <v>8742000</v>
      </c>
      <c r="CH62" s="79">
        <v>3630320</v>
      </c>
      <c r="CI62" s="79">
        <v>8984.1</v>
      </c>
      <c r="CJ62" s="79"/>
      <c r="CK62" s="79"/>
      <c r="CL62" s="79">
        <f t="shared" ref="CL62:CL72" si="61">CI62/CG62</f>
        <v>1.0276938915579959E-3</v>
      </c>
      <c r="CM62" s="1">
        <v>14</v>
      </c>
      <c r="CN62" s="3" t="s">
        <v>56</v>
      </c>
      <c r="CO62" s="6">
        <v>0</v>
      </c>
      <c r="CP62" s="79">
        <v>0</v>
      </c>
      <c r="CQ62" s="79">
        <v>0</v>
      </c>
      <c r="CR62" s="79">
        <v>0</v>
      </c>
      <c r="CS62" s="79">
        <v>0</v>
      </c>
      <c r="CT62" s="79">
        <v>0</v>
      </c>
      <c r="CU62" s="79">
        <v>0</v>
      </c>
      <c r="CV62" s="79">
        <v>0</v>
      </c>
      <c r="CW62" s="1">
        <v>14</v>
      </c>
      <c r="CX62" s="3" t="s">
        <v>56</v>
      </c>
      <c r="CY62" s="6">
        <v>0</v>
      </c>
      <c r="CZ62" s="79">
        <v>0</v>
      </c>
      <c r="DA62" s="79">
        <v>0</v>
      </c>
      <c r="DB62" s="79">
        <v>0</v>
      </c>
      <c r="DC62" s="40">
        <v>0</v>
      </c>
      <c r="DD62" s="79">
        <v>0</v>
      </c>
      <c r="DE62" s="79">
        <v>0</v>
      </c>
      <c r="DF62" s="79" t="e">
        <f t="shared" ref="DF62:DF72" si="62">DC62/DA62</f>
        <v>#DIV/0!</v>
      </c>
      <c r="DG62" s="1">
        <v>14</v>
      </c>
      <c r="DH62" s="3" t="s">
        <v>56</v>
      </c>
      <c r="DI62" s="6">
        <v>15988238</v>
      </c>
      <c r="DJ62" s="79">
        <v>2100000</v>
      </c>
      <c r="DK62" s="79">
        <v>6266887</v>
      </c>
      <c r="DL62" s="79">
        <v>30105</v>
      </c>
      <c r="DM62" s="40">
        <v>6450</v>
      </c>
      <c r="DN62" s="79"/>
      <c r="DO62" s="79"/>
      <c r="DP62" s="79">
        <f t="shared" ref="DP62:DP72" si="63">DM62/DK62</f>
        <v>1.029219132242212E-3</v>
      </c>
      <c r="DQ62" s="1">
        <v>14</v>
      </c>
      <c r="DR62" s="3" t="s">
        <v>56</v>
      </c>
      <c r="DS62" s="6">
        <f t="shared" si="53"/>
        <v>68225597</v>
      </c>
      <c r="DT62" s="79">
        <f t="shared" si="54"/>
        <v>6744000</v>
      </c>
      <c r="DU62" s="79">
        <f t="shared" si="55"/>
        <v>34139566</v>
      </c>
      <c r="DV62" s="79">
        <v>0</v>
      </c>
      <c r="DW62" s="79">
        <f t="shared" si="56"/>
        <v>102229.20000000001</v>
      </c>
      <c r="DX62" s="79">
        <v>0</v>
      </c>
      <c r="DY62" s="79">
        <v>0</v>
      </c>
      <c r="DZ62" s="79">
        <f t="shared" ref="DZ62:DZ72" si="64">DW62/DU62</f>
        <v>2.9944493143234455E-3</v>
      </c>
    </row>
    <row r="63" spans="1:144" x14ac:dyDescent="0.3">
      <c r="A63" s="1">
        <v>15</v>
      </c>
      <c r="B63" s="3" t="s">
        <v>58</v>
      </c>
      <c r="C63" s="6">
        <v>0</v>
      </c>
      <c r="D63" s="79">
        <v>0</v>
      </c>
      <c r="E63" s="79">
        <v>0</v>
      </c>
      <c r="F63" s="79">
        <v>0</v>
      </c>
      <c r="G63" s="79">
        <v>0</v>
      </c>
      <c r="H63" s="79">
        <v>0</v>
      </c>
      <c r="I63" s="79">
        <v>0</v>
      </c>
      <c r="J63" s="79">
        <v>0</v>
      </c>
      <c r="K63" s="1">
        <v>15</v>
      </c>
      <c r="L63" s="3" t="s">
        <v>58</v>
      </c>
      <c r="M63" s="6">
        <v>0</v>
      </c>
      <c r="N63" s="79">
        <v>0</v>
      </c>
      <c r="O63" s="79">
        <v>0</v>
      </c>
      <c r="P63" s="79">
        <v>0</v>
      </c>
      <c r="Q63" s="79">
        <v>0</v>
      </c>
      <c r="R63" s="79">
        <v>0</v>
      </c>
      <c r="S63" s="79">
        <v>0</v>
      </c>
      <c r="T63" s="79">
        <v>0</v>
      </c>
      <c r="U63" s="1">
        <v>15</v>
      </c>
      <c r="V63" s="3" t="s">
        <v>58</v>
      </c>
      <c r="W63" s="6">
        <v>100054</v>
      </c>
      <c r="X63" s="79">
        <v>3077</v>
      </c>
      <c r="Y63" s="79">
        <v>70937</v>
      </c>
      <c r="Z63" s="79">
        <v>3808</v>
      </c>
      <c r="AA63" s="79">
        <v>1115.3</v>
      </c>
      <c r="AB63" s="79">
        <v>0</v>
      </c>
      <c r="AC63" s="79">
        <v>0</v>
      </c>
      <c r="AD63" s="79">
        <f t="shared" si="57"/>
        <v>1.572240156758814E-2</v>
      </c>
      <c r="AE63" s="1">
        <v>15</v>
      </c>
      <c r="AF63" s="3" t="s">
        <v>58</v>
      </c>
      <c r="AG63" s="6">
        <v>0</v>
      </c>
      <c r="AH63" s="79">
        <v>0</v>
      </c>
      <c r="AI63" s="79">
        <v>0</v>
      </c>
      <c r="AJ63" s="79">
        <v>0</v>
      </c>
      <c r="AK63" s="79">
        <v>0</v>
      </c>
      <c r="AL63" s="79">
        <v>0</v>
      </c>
      <c r="AM63" s="79">
        <v>0</v>
      </c>
      <c r="AN63" s="79">
        <v>0</v>
      </c>
      <c r="AO63" s="1">
        <v>15</v>
      </c>
      <c r="AP63" s="3" t="s">
        <v>58</v>
      </c>
      <c r="AQ63" s="6">
        <v>0</v>
      </c>
      <c r="AR63" s="79">
        <v>0</v>
      </c>
      <c r="AS63" s="79">
        <v>0</v>
      </c>
      <c r="AT63" s="79">
        <v>0</v>
      </c>
      <c r="AU63" s="79">
        <v>0</v>
      </c>
      <c r="AV63" s="79">
        <v>0</v>
      </c>
      <c r="AW63" s="79">
        <v>0</v>
      </c>
      <c r="AX63" s="79">
        <v>0</v>
      </c>
      <c r="AY63" s="1">
        <v>15</v>
      </c>
      <c r="AZ63" s="3" t="s">
        <v>58</v>
      </c>
      <c r="BA63" s="6">
        <v>99496</v>
      </c>
      <c r="BB63" s="79">
        <v>1050</v>
      </c>
      <c r="BC63" s="79">
        <v>69200</v>
      </c>
      <c r="BD63" s="79">
        <v>1279</v>
      </c>
      <c r="BE63" s="40">
        <v>1145.5999999999999</v>
      </c>
      <c r="BF63" s="79">
        <v>0</v>
      </c>
      <c r="BG63" s="79">
        <v>0</v>
      </c>
      <c r="BH63" s="79">
        <f t="shared" si="58"/>
        <v>1.6554913294797687E-2</v>
      </c>
      <c r="BI63" s="1">
        <v>15</v>
      </c>
      <c r="BJ63" s="3" t="s">
        <v>58</v>
      </c>
      <c r="BK63" s="6">
        <v>0</v>
      </c>
      <c r="BL63" s="79">
        <v>0</v>
      </c>
      <c r="BM63" s="79">
        <v>0</v>
      </c>
      <c r="BN63" s="79">
        <v>0</v>
      </c>
      <c r="BO63" s="79">
        <v>0</v>
      </c>
      <c r="BP63" s="79">
        <v>0</v>
      </c>
      <c r="BQ63" s="79">
        <v>0</v>
      </c>
      <c r="BR63" s="79" t="e">
        <f t="shared" si="59"/>
        <v>#DIV/0!</v>
      </c>
      <c r="BS63" s="1">
        <v>15</v>
      </c>
      <c r="BT63" s="3" t="s">
        <v>58</v>
      </c>
      <c r="BU63" s="6">
        <v>0</v>
      </c>
      <c r="BV63" s="79">
        <v>0</v>
      </c>
      <c r="BW63" s="79">
        <v>0</v>
      </c>
      <c r="BX63" s="79">
        <v>0</v>
      </c>
      <c r="BY63" s="40">
        <v>0</v>
      </c>
      <c r="BZ63" s="79">
        <v>0</v>
      </c>
      <c r="CA63" s="79">
        <v>0</v>
      </c>
      <c r="CB63" s="79" t="e">
        <f t="shared" si="60"/>
        <v>#DIV/0!</v>
      </c>
      <c r="CC63" s="1">
        <v>15</v>
      </c>
      <c r="CD63" s="3" t="s">
        <v>58</v>
      </c>
      <c r="CE63" s="6">
        <v>99445</v>
      </c>
      <c r="CF63" s="79">
        <v>2100</v>
      </c>
      <c r="CG63" s="79">
        <v>63951</v>
      </c>
      <c r="CH63" s="79">
        <v>1713</v>
      </c>
      <c r="CI63" s="79">
        <v>1076</v>
      </c>
      <c r="CJ63" s="79"/>
      <c r="CK63" s="79"/>
      <c r="CL63" s="79">
        <f t="shared" si="61"/>
        <v>1.6825381933042487E-2</v>
      </c>
      <c r="CM63" s="1">
        <v>15</v>
      </c>
      <c r="CN63" s="3" t="s">
        <v>58</v>
      </c>
      <c r="CO63" s="6">
        <v>0</v>
      </c>
      <c r="CP63" s="79">
        <v>0</v>
      </c>
      <c r="CQ63" s="79">
        <v>0</v>
      </c>
      <c r="CR63" s="79">
        <v>0</v>
      </c>
      <c r="CS63" s="79">
        <v>0</v>
      </c>
      <c r="CT63" s="79">
        <v>0</v>
      </c>
      <c r="CU63" s="79">
        <v>0</v>
      </c>
      <c r="CV63" s="79">
        <v>0</v>
      </c>
      <c r="CW63" s="1">
        <v>15</v>
      </c>
      <c r="CX63" s="3" t="s">
        <v>58</v>
      </c>
      <c r="CY63" s="6">
        <v>0</v>
      </c>
      <c r="CZ63" s="79">
        <v>0</v>
      </c>
      <c r="DA63" s="79">
        <v>0</v>
      </c>
      <c r="DB63" s="79">
        <v>0</v>
      </c>
      <c r="DC63" s="40">
        <v>0</v>
      </c>
      <c r="DD63" s="79">
        <v>0</v>
      </c>
      <c r="DE63" s="79">
        <v>0</v>
      </c>
      <c r="DF63" s="79" t="e">
        <f t="shared" si="62"/>
        <v>#DIV/0!</v>
      </c>
      <c r="DG63" s="1">
        <v>15</v>
      </c>
      <c r="DH63" s="3" t="s">
        <v>58</v>
      </c>
      <c r="DI63" s="6">
        <v>100217</v>
      </c>
      <c r="DJ63" s="79">
        <v>10979</v>
      </c>
      <c r="DK63" s="79">
        <v>74236</v>
      </c>
      <c r="DL63" s="79">
        <v>5191</v>
      </c>
      <c r="DM63" s="40">
        <v>1572.9</v>
      </c>
      <c r="DN63" s="79"/>
      <c r="DO63" s="79"/>
      <c r="DP63" s="79">
        <f t="shared" si="63"/>
        <v>2.1187833396195916E-2</v>
      </c>
      <c r="DQ63" s="1">
        <v>15</v>
      </c>
      <c r="DR63" s="3" t="s">
        <v>58</v>
      </c>
      <c r="DS63" s="6">
        <f t="shared" si="53"/>
        <v>399212</v>
      </c>
      <c r="DT63" s="79">
        <f t="shared" si="54"/>
        <v>17206</v>
      </c>
      <c r="DU63" s="79">
        <f t="shared" si="55"/>
        <v>278324</v>
      </c>
      <c r="DV63" s="79">
        <v>0</v>
      </c>
      <c r="DW63" s="79">
        <f t="shared" si="56"/>
        <v>4909.7999999999993</v>
      </c>
      <c r="DX63" s="79">
        <v>0</v>
      </c>
      <c r="DY63" s="79">
        <v>0</v>
      </c>
      <c r="DZ63" s="79">
        <f t="shared" si="64"/>
        <v>1.7640591540794181E-2</v>
      </c>
    </row>
    <row r="64" spans="1:144" x14ac:dyDescent="0.3">
      <c r="A64" s="1">
        <v>16</v>
      </c>
      <c r="B64" s="3" t="s">
        <v>59</v>
      </c>
      <c r="C64" s="6">
        <v>0</v>
      </c>
      <c r="D64" s="79">
        <v>0</v>
      </c>
      <c r="E64" s="79">
        <v>0</v>
      </c>
      <c r="F64" s="79">
        <v>0</v>
      </c>
      <c r="G64" s="79">
        <v>0</v>
      </c>
      <c r="H64" s="79">
        <v>0</v>
      </c>
      <c r="I64" s="79">
        <v>0</v>
      </c>
      <c r="J64" s="79">
        <v>0</v>
      </c>
      <c r="K64" s="1">
        <v>16</v>
      </c>
      <c r="L64" s="3" t="s">
        <v>59</v>
      </c>
      <c r="M64" s="6">
        <v>0</v>
      </c>
      <c r="N64" s="79">
        <v>0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  <c r="T64" s="79">
        <v>0</v>
      </c>
      <c r="U64" s="1">
        <v>16</v>
      </c>
      <c r="V64" s="3" t="s">
        <v>59</v>
      </c>
      <c r="W64" s="6">
        <v>727486</v>
      </c>
      <c r="X64" s="79">
        <v>17066</v>
      </c>
      <c r="Y64" s="79">
        <v>318276</v>
      </c>
      <c r="Z64" s="79">
        <v>17689</v>
      </c>
      <c r="AA64" s="79">
        <v>5207.8999999999996</v>
      </c>
      <c r="AB64" s="79">
        <v>0</v>
      </c>
      <c r="AC64" s="79">
        <v>0</v>
      </c>
      <c r="AD64" s="79">
        <f t="shared" si="57"/>
        <v>1.6362842312961076E-2</v>
      </c>
      <c r="AE64" s="1">
        <v>16</v>
      </c>
      <c r="AF64" s="3" t="s">
        <v>59</v>
      </c>
      <c r="AG64" s="6">
        <v>0</v>
      </c>
      <c r="AH64" s="79">
        <v>0</v>
      </c>
      <c r="AI64" s="79">
        <v>0</v>
      </c>
      <c r="AJ64" s="79">
        <v>0</v>
      </c>
      <c r="AK64" s="79">
        <v>0</v>
      </c>
      <c r="AL64" s="79">
        <v>0</v>
      </c>
      <c r="AM64" s="79">
        <v>0</v>
      </c>
      <c r="AN64" s="79">
        <v>0</v>
      </c>
      <c r="AO64" s="1">
        <v>16</v>
      </c>
      <c r="AP64" s="3" t="s">
        <v>59</v>
      </c>
      <c r="AQ64" s="6">
        <v>0</v>
      </c>
      <c r="AR64" s="79">
        <v>0</v>
      </c>
      <c r="AS64" s="79">
        <v>0</v>
      </c>
      <c r="AT64" s="79">
        <v>0</v>
      </c>
      <c r="AU64" s="79">
        <v>0</v>
      </c>
      <c r="AV64" s="79">
        <v>0</v>
      </c>
      <c r="AW64" s="79">
        <v>0</v>
      </c>
      <c r="AX64" s="79">
        <v>0</v>
      </c>
      <c r="AY64" s="1">
        <v>16</v>
      </c>
      <c r="AZ64" s="3" t="s">
        <v>59</v>
      </c>
      <c r="BA64" s="6">
        <v>730871</v>
      </c>
      <c r="BB64" s="79">
        <v>88457</v>
      </c>
      <c r="BC64" s="79">
        <v>306559</v>
      </c>
      <c r="BD64" s="79">
        <v>92063</v>
      </c>
      <c r="BE64" s="40">
        <v>4187.5</v>
      </c>
      <c r="BF64" s="79">
        <v>0</v>
      </c>
      <c r="BG64" s="79">
        <v>0</v>
      </c>
      <c r="BH64" s="79">
        <f t="shared" si="58"/>
        <v>1.3659687042298547E-2</v>
      </c>
      <c r="BI64" s="1">
        <v>16</v>
      </c>
      <c r="BJ64" s="3" t="s">
        <v>59</v>
      </c>
      <c r="BK64" s="6">
        <v>0</v>
      </c>
      <c r="BL64" s="79">
        <v>0</v>
      </c>
      <c r="BM64" s="79">
        <v>0</v>
      </c>
      <c r="BN64" s="79">
        <v>0</v>
      </c>
      <c r="BO64" s="79">
        <v>0</v>
      </c>
      <c r="BP64" s="79">
        <v>0</v>
      </c>
      <c r="BQ64" s="79">
        <v>0</v>
      </c>
      <c r="BR64" s="79" t="e">
        <f t="shared" si="59"/>
        <v>#DIV/0!</v>
      </c>
      <c r="BS64" s="1">
        <v>16</v>
      </c>
      <c r="BT64" s="3" t="s">
        <v>59</v>
      </c>
      <c r="BU64" s="6">
        <v>0</v>
      </c>
      <c r="BV64" s="79">
        <v>0</v>
      </c>
      <c r="BW64" s="79">
        <v>0</v>
      </c>
      <c r="BX64" s="79">
        <v>0</v>
      </c>
      <c r="BY64" s="40">
        <v>0</v>
      </c>
      <c r="BZ64" s="79">
        <v>0</v>
      </c>
      <c r="CA64" s="79">
        <v>0</v>
      </c>
      <c r="CB64" s="79" t="e">
        <f t="shared" si="60"/>
        <v>#DIV/0!</v>
      </c>
      <c r="CC64" s="1">
        <v>16</v>
      </c>
      <c r="CD64" s="3" t="s">
        <v>59</v>
      </c>
      <c r="CE64" s="6">
        <v>731310</v>
      </c>
      <c r="CF64" s="79">
        <v>67363</v>
      </c>
      <c r="CG64" s="79">
        <v>353124</v>
      </c>
      <c r="CH64" s="79">
        <v>29208</v>
      </c>
      <c r="CI64" s="79">
        <v>5695.9</v>
      </c>
      <c r="CJ64" s="79"/>
      <c r="CK64" s="79"/>
      <c r="CL64" s="79">
        <f t="shared" si="61"/>
        <v>1.6130027978840292E-2</v>
      </c>
      <c r="CM64" s="1">
        <v>16</v>
      </c>
      <c r="CN64" s="3" t="s">
        <v>59</v>
      </c>
      <c r="CO64" s="6">
        <v>0</v>
      </c>
      <c r="CP64" s="79">
        <v>0</v>
      </c>
      <c r="CQ64" s="79">
        <v>0</v>
      </c>
      <c r="CR64" s="79">
        <v>0</v>
      </c>
      <c r="CS64" s="79">
        <v>0</v>
      </c>
      <c r="CT64" s="79">
        <v>0</v>
      </c>
      <c r="CU64" s="79">
        <v>0</v>
      </c>
      <c r="CV64" s="79">
        <v>0</v>
      </c>
      <c r="CW64" s="1">
        <v>16</v>
      </c>
      <c r="CX64" s="3" t="s">
        <v>59</v>
      </c>
      <c r="CY64" s="6">
        <v>0</v>
      </c>
      <c r="CZ64" s="79">
        <v>0</v>
      </c>
      <c r="DA64" s="79">
        <v>0</v>
      </c>
      <c r="DB64" s="79">
        <v>0</v>
      </c>
      <c r="DC64" s="40">
        <v>0</v>
      </c>
      <c r="DD64" s="79">
        <v>0</v>
      </c>
      <c r="DE64" s="79">
        <v>0</v>
      </c>
      <c r="DF64" s="79" t="e">
        <f t="shared" si="62"/>
        <v>#DIV/0!</v>
      </c>
      <c r="DG64" s="1">
        <v>16</v>
      </c>
      <c r="DH64" s="3" t="s">
        <v>59</v>
      </c>
      <c r="DI64" s="6">
        <v>773540</v>
      </c>
      <c r="DJ64" s="79">
        <v>24242</v>
      </c>
      <c r="DK64" s="79">
        <v>339211</v>
      </c>
      <c r="DL64" s="79">
        <v>18429</v>
      </c>
      <c r="DM64" s="40">
        <v>10591.9</v>
      </c>
      <c r="DN64" s="79"/>
      <c r="DO64" s="79"/>
      <c r="DP64" s="79">
        <f t="shared" si="63"/>
        <v>3.1225107676343043E-2</v>
      </c>
      <c r="DQ64" s="1">
        <v>16</v>
      </c>
      <c r="DR64" s="3" t="s">
        <v>59</v>
      </c>
      <c r="DS64" s="6">
        <f t="shared" si="53"/>
        <v>2963207</v>
      </c>
      <c r="DT64" s="79">
        <f t="shared" si="54"/>
        <v>197128</v>
      </c>
      <c r="DU64" s="79">
        <f t="shared" si="55"/>
        <v>1317170</v>
      </c>
      <c r="DV64" s="79">
        <v>0</v>
      </c>
      <c r="DW64" s="79">
        <f t="shared" si="56"/>
        <v>25683.199999999997</v>
      </c>
      <c r="DX64" s="79">
        <v>0</v>
      </c>
      <c r="DY64" s="79">
        <v>0</v>
      </c>
      <c r="DZ64" s="79">
        <f t="shared" si="64"/>
        <v>1.9498773886438347E-2</v>
      </c>
    </row>
    <row r="65" spans="1:144" x14ac:dyDescent="0.3">
      <c r="A65" s="1">
        <v>17</v>
      </c>
      <c r="B65" s="3" t="s">
        <v>60</v>
      </c>
      <c r="C65" s="6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1">
        <v>17</v>
      </c>
      <c r="L65" s="3" t="s">
        <v>60</v>
      </c>
      <c r="M65" s="6">
        <v>0</v>
      </c>
      <c r="N65" s="79">
        <v>0</v>
      </c>
      <c r="O65" s="79">
        <v>0</v>
      </c>
      <c r="P65" s="79">
        <v>0</v>
      </c>
      <c r="Q65" s="79">
        <v>0</v>
      </c>
      <c r="R65" s="79">
        <v>0</v>
      </c>
      <c r="S65" s="79">
        <v>0</v>
      </c>
      <c r="T65" s="79">
        <v>0</v>
      </c>
      <c r="U65" s="1">
        <v>17</v>
      </c>
      <c r="V65" s="3" t="s">
        <v>60</v>
      </c>
      <c r="W65" s="6">
        <v>192520</v>
      </c>
      <c r="X65" s="79">
        <v>0</v>
      </c>
      <c r="Y65" s="79">
        <v>27200</v>
      </c>
      <c r="Z65" s="79">
        <v>2438</v>
      </c>
      <c r="AA65" s="79">
        <v>1455.2</v>
      </c>
      <c r="AB65" s="79">
        <v>0</v>
      </c>
      <c r="AC65" s="79">
        <v>0</v>
      </c>
      <c r="AD65" s="79">
        <f t="shared" si="57"/>
        <v>5.3499999999999999E-2</v>
      </c>
      <c r="AE65" s="1">
        <v>17</v>
      </c>
      <c r="AF65" s="3" t="s">
        <v>60</v>
      </c>
      <c r="AG65" s="6">
        <v>0</v>
      </c>
      <c r="AH65" s="79">
        <v>0</v>
      </c>
      <c r="AI65" s="79">
        <v>0</v>
      </c>
      <c r="AJ65" s="79">
        <v>0</v>
      </c>
      <c r="AK65" s="79">
        <v>0</v>
      </c>
      <c r="AL65" s="79">
        <v>0</v>
      </c>
      <c r="AM65" s="79">
        <v>0</v>
      </c>
      <c r="AN65" s="79">
        <v>0</v>
      </c>
      <c r="AO65" s="1">
        <v>17</v>
      </c>
      <c r="AP65" s="3" t="s">
        <v>60</v>
      </c>
      <c r="AQ65" s="6">
        <v>0</v>
      </c>
      <c r="AR65" s="79">
        <v>0</v>
      </c>
      <c r="AS65" s="79">
        <v>0</v>
      </c>
      <c r="AT65" s="79">
        <v>0</v>
      </c>
      <c r="AU65" s="79">
        <v>0</v>
      </c>
      <c r="AV65" s="79">
        <v>0</v>
      </c>
      <c r="AW65" s="79">
        <v>0</v>
      </c>
      <c r="AX65" s="79">
        <v>0</v>
      </c>
      <c r="AY65" s="1">
        <v>17</v>
      </c>
      <c r="AZ65" s="3" t="s">
        <v>60</v>
      </c>
      <c r="BA65" s="6">
        <v>190127</v>
      </c>
      <c r="BB65" s="79">
        <v>0</v>
      </c>
      <c r="BC65" s="79">
        <v>2333</v>
      </c>
      <c r="BD65" s="79">
        <v>437</v>
      </c>
      <c r="BE65" s="40">
        <v>74.7</v>
      </c>
      <c r="BF65" s="79">
        <v>0</v>
      </c>
      <c r="BG65" s="79">
        <v>0</v>
      </c>
      <c r="BH65" s="79">
        <f t="shared" si="58"/>
        <v>3.2018859837119593E-2</v>
      </c>
      <c r="BI65" s="1">
        <v>17</v>
      </c>
      <c r="BJ65" s="3" t="s">
        <v>60</v>
      </c>
      <c r="BK65" s="6">
        <v>0</v>
      </c>
      <c r="BL65" s="79">
        <v>0</v>
      </c>
      <c r="BM65" s="79">
        <v>0</v>
      </c>
      <c r="BN65" s="79">
        <v>0</v>
      </c>
      <c r="BO65" s="79">
        <v>0</v>
      </c>
      <c r="BP65" s="79">
        <v>0</v>
      </c>
      <c r="BQ65" s="79">
        <v>0</v>
      </c>
      <c r="BR65" s="79" t="e">
        <f t="shared" si="59"/>
        <v>#DIV/0!</v>
      </c>
      <c r="BS65" s="1">
        <v>17</v>
      </c>
      <c r="BT65" s="3" t="s">
        <v>60</v>
      </c>
      <c r="BU65" s="6">
        <v>0</v>
      </c>
      <c r="BV65" s="79">
        <v>0</v>
      </c>
      <c r="BW65" s="79">
        <v>0</v>
      </c>
      <c r="BX65" s="79">
        <v>0</v>
      </c>
      <c r="BY65" s="40">
        <v>0</v>
      </c>
      <c r="BZ65" s="79">
        <v>0</v>
      </c>
      <c r="CA65" s="79">
        <v>0</v>
      </c>
      <c r="CB65" s="79" t="e">
        <f t="shared" si="60"/>
        <v>#DIV/0!</v>
      </c>
      <c r="CC65" s="1">
        <v>17</v>
      </c>
      <c r="CD65" s="3" t="s">
        <v>60</v>
      </c>
      <c r="CE65" s="6">
        <v>189847</v>
      </c>
      <c r="CF65" s="79">
        <v>100</v>
      </c>
      <c r="CG65" s="79">
        <v>7583</v>
      </c>
      <c r="CH65" s="79">
        <v>957</v>
      </c>
      <c r="CI65" s="79">
        <v>378.3</v>
      </c>
      <c r="CJ65" s="79"/>
      <c r="CK65" s="79"/>
      <c r="CL65" s="79">
        <f t="shared" si="61"/>
        <v>4.9887907160754322E-2</v>
      </c>
      <c r="CM65" s="1">
        <v>17</v>
      </c>
      <c r="CN65" s="3" t="s">
        <v>60</v>
      </c>
      <c r="CO65" s="6">
        <v>0</v>
      </c>
      <c r="CP65" s="79">
        <v>0</v>
      </c>
      <c r="CQ65" s="79">
        <v>0</v>
      </c>
      <c r="CR65" s="79">
        <v>0</v>
      </c>
      <c r="CS65" s="79">
        <v>0</v>
      </c>
      <c r="CT65" s="79">
        <v>0</v>
      </c>
      <c r="CU65" s="79">
        <v>0</v>
      </c>
      <c r="CV65" s="79">
        <v>0</v>
      </c>
      <c r="CW65" s="1">
        <v>17</v>
      </c>
      <c r="CX65" s="3" t="s">
        <v>60</v>
      </c>
      <c r="CY65" s="6">
        <v>0</v>
      </c>
      <c r="CZ65" s="79">
        <v>0</v>
      </c>
      <c r="DA65" s="79">
        <v>0</v>
      </c>
      <c r="DB65" s="79">
        <v>0</v>
      </c>
      <c r="DC65" s="40">
        <v>0</v>
      </c>
      <c r="DD65" s="79">
        <v>0</v>
      </c>
      <c r="DE65" s="79">
        <v>0</v>
      </c>
      <c r="DF65" s="79" t="e">
        <f t="shared" si="62"/>
        <v>#DIV/0!</v>
      </c>
      <c r="DG65" s="1">
        <v>17</v>
      </c>
      <c r="DH65" s="3" t="s">
        <v>60</v>
      </c>
      <c r="DI65" s="6">
        <v>189495</v>
      </c>
      <c r="DJ65" s="79">
        <v>0</v>
      </c>
      <c r="DK65" s="79">
        <v>36529</v>
      </c>
      <c r="DL65" s="79">
        <v>900</v>
      </c>
      <c r="DM65" s="40">
        <v>864</v>
      </c>
      <c r="DN65" s="79"/>
      <c r="DO65" s="79"/>
      <c r="DP65" s="79">
        <f t="shared" si="63"/>
        <v>2.3652440526704809E-2</v>
      </c>
      <c r="DQ65" s="1">
        <v>17</v>
      </c>
      <c r="DR65" s="3" t="s">
        <v>60</v>
      </c>
      <c r="DS65" s="6">
        <f t="shared" si="53"/>
        <v>761989</v>
      </c>
      <c r="DT65" s="79">
        <f t="shared" si="54"/>
        <v>100</v>
      </c>
      <c r="DU65" s="79">
        <f t="shared" si="55"/>
        <v>73645</v>
      </c>
      <c r="DV65" s="79">
        <v>0</v>
      </c>
      <c r="DW65" s="79">
        <f t="shared" si="56"/>
        <v>2772.2</v>
      </c>
      <c r="DX65" s="79">
        <v>0</v>
      </c>
      <c r="DY65" s="79">
        <v>0</v>
      </c>
      <c r="DZ65" s="79">
        <f t="shared" si="64"/>
        <v>3.7642745603910649E-2</v>
      </c>
    </row>
    <row r="66" spans="1:144" x14ac:dyDescent="0.3">
      <c r="A66" s="1">
        <v>18</v>
      </c>
      <c r="B66" s="3" t="s">
        <v>61</v>
      </c>
      <c r="C66" s="6">
        <v>0</v>
      </c>
      <c r="D66" s="79">
        <v>0</v>
      </c>
      <c r="E66" s="79">
        <v>0</v>
      </c>
      <c r="F66" s="79">
        <v>0</v>
      </c>
      <c r="G66" s="79">
        <v>0</v>
      </c>
      <c r="H66" s="79">
        <v>0</v>
      </c>
      <c r="I66" s="79">
        <v>0</v>
      </c>
      <c r="J66" s="79">
        <v>0</v>
      </c>
      <c r="K66" s="1">
        <v>18</v>
      </c>
      <c r="L66" s="3" t="s">
        <v>61</v>
      </c>
      <c r="M66" s="6">
        <v>0</v>
      </c>
      <c r="N66" s="79">
        <v>0</v>
      </c>
      <c r="O66" s="79">
        <v>0</v>
      </c>
      <c r="P66" s="79">
        <v>0</v>
      </c>
      <c r="Q66" s="79">
        <v>0</v>
      </c>
      <c r="R66" s="79">
        <v>0</v>
      </c>
      <c r="S66" s="79">
        <v>0</v>
      </c>
      <c r="T66" s="79">
        <v>0</v>
      </c>
      <c r="U66" s="1">
        <v>18</v>
      </c>
      <c r="V66" s="3" t="s">
        <v>61</v>
      </c>
      <c r="W66" s="6">
        <v>66383</v>
      </c>
      <c r="X66" s="79">
        <v>0</v>
      </c>
      <c r="Y66" s="79">
        <v>31104</v>
      </c>
      <c r="Z66" s="79">
        <v>0</v>
      </c>
      <c r="AA66" s="79">
        <v>244.7</v>
      </c>
      <c r="AB66" s="79">
        <v>0</v>
      </c>
      <c r="AC66" s="79">
        <v>0</v>
      </c>
      <c r="AD66" s="79">
        <f t="shared" si="57"/>
        <v>7.8671553497942377E-3</v>
      </c>
      <c r="AE66" s="1">
        <v>18</v>
      </c>
      <c r="AF66" s="3" t="s">
        <v>61</v>
      </c>
      <c r="AG66" s="6">
        <v>0</v>
      </c>
      <c r="AH66" s="79">
        <v>0</v>
      </c>
      <c r="AI66" s="79">
        <v>0</v>
      </c>
      <c r="AJ66" s="79">
        <v>0</v>
      </c>
      <c r="AK66" s="79">
        <v>0</v>
      </c>
      <c r="AL66" s="79">
        <v>0</v>
      </c>
      <c r="AM66" s="79">
        <v>0</v>
      </c>
      <c r="AN66" s="79">
        <v>0</v>
      </c>
      <c r="AO66" s="1">
        <v>18</v>
      </c>
      <c r="AP66" s="3" t="s">
        <v>61</v>
      </c>
      <c r="AQ66" s="6">
        <v>0</v>
      </c>
      <c r="AR66" s="79">
        <v>0</v>
      </c>
      <c r="AS66" s="79">
        <v>0</v>
      </c>
      <c r="AT66" s="79">
        <v>0</v>
      </c>
      <c r="AU66" s="79">
        <v>0</v>
      </c>
      <c r="AV66" s="79">
        <v>0</v>
      </c>
      <c r="AW66" s="79">
        <v>0</v>
      </c>
      <c r="AX66" s="79">
        <v>0</v>
      </c>
      <c r="AY66" s="1">
        <v>18</v>
      </c>
      <c r="AZ66" s="3" t="s">
        <v>61</v>
      </c>
      <c r="BA66" s="6">
        <v>65749</v>
      </c>
      <c r="BB66" s="79">
        <v>0</v>
      </c>
      <c r="BC66" s="79">
        <v>22093</v>
      </c>
      <c r="BD66" s="79">
        <v>878</v>
      </c>
      <c r="BE66" s="40">
        <v>177.8</v>
      </c>
      <c r="BF66" s="79">
        <v>0</v>
      </c>
      <c r="BG66" s="79">
        <v>0</v>
      </c>
      <c r="BH66" s="79">
        <f t="shared" si="58"/>
        <v>8.0477979450504691E-3</v>
      </c>
      <c r="BI66" s="1">
        <v>18</v>
      </c>
      <c r="BJ66" s="3" t="s">
        <v>61</v>
      </c>
      <c r="BK66" s="6">
        <v>0</v>
      </c>
      <c r="BL66" s="79">
        <v>0</v>
      </c>
      <c r="BM66" s="79">
        <v>0</v>
      </c>
      <c r="BN66" s="79">
        <v>0</v>
      </c>
      <c r="BO66" s="79">
        <v>0</v>
      </c>
      <c r="BP66" s="79">
        <v>0</v>
      </c>
      <c r="BQ66" s="79">
        <v>0</v>
      </c>
      <c r="BR66" s="79" t="e">
        <f t="shared" si="59"/>
        <v>#DIV/0!</v>
      </c>
      <c r="BS66" s="1">
        <v>18</v>
      </c>
      <c r="BT66" s="3" t="s">
        <v>61</v>
      </c>
      <c r="BU66" s="6">
        <v>0</v>
      </c>
      <c r="BV66" s="79">
        <v>0</v>
      </c>
      <c r="BW66" s="79">
        <v>0</v>
      </c>
      <c r="BX66" s="79">
        <v>0</v>
      </c>
      <c r="BY66" s="40">
        <v>0</v>
      </c>
      <c r="BZ66" s="79">
        <v>0</v>
      </c>
      <c r="CA66" s="79">
        <v>0</v>
      </c>
      <c r="CB66" s="79" t="e">
        <f t="shared" si="60"/>
        <v>#DIV/0!</v>
      </c>
      <c r="CC66" s="1">
        <v>18</v>
      </c>
      <c r="CD66" s="3" t="s">
        <v>61</v>
      </c>
      <c r="CE66" s="6">
        <v>64977</v>
      </c>
      <c r="CF66" s="79">
        <v>500</v>
      </c>
      <c r="CG66" s="79">
        <v>25496</v>
      </c>
      <c r="CH66" s="79">
        <v>764</v>
      </c>
      <c r="CI66" s="79">
        <v>145.5</v>
      </c>
      <c r="CJ66" s="79"/>
      <c r="CK66" s="79"/>
      <c r="CL66" s="79">
        <f t="shared" si="61"/>
        <v>5.7067775337307815E-3</v>
      </c>
      <c r="CM66" s="1">
        <v>18</v>
      </c>
      <c r="CN66" s="3" t="s">
        <v>61</v>
      </c>
      <c r="CO66" s="6">
        <v>0</v>
      </c>
      <c r="CP66" s="79">
        <v>0</v>
      </c>
      <c r="CQ66" s="79">
        <v>0</v>
      </c>
      <c r="CR66" s="79">
        <v>0</v>
      </c>
      <c r="CS66" s="79">
        <v>0</v>
      </c>
      <c r="CT66" s="79">
        <v>0</v>
      </c>
      <c r="CU66" s="79">
        <v>0</v>
      </c>
      <c r="CV66" s="79">
        <v>0</v>
      </c>
      <c r="CW66" s="1">
        <v>18</v>
      </c>
      <c r="CX66" s="3" t="s">
        <v>61</v>
      </c>
      <c r="CY66" s="6">
        <v>0</v>
      </c>
      <c r="CZ66" s="79">
        <v>0</v>
      </c>
      <c r="DA66" s="79">
        <v>0</v>
      </c>
      <c r="DB66" s="79">
        <v>0</v>
      </c>
      <c r="DC66" s="40">
        <v>0</v>
      </c>
      <c r="DD66" s="79">
        <v>0</v>
      </c>
      <c r="DE66" s="79">
        <v>0</v>
      </c>
      <c r="DF66" s="79" t="e">
        <f t="shared" si="62"/>
        <v>#DIV/0!</v>
      </c>
      <c r="DG66" s="1">
        <v>18</v>
      </c>
      <c r="DH66" s="3" t="s">
        <v>61</v>
      </c>
      <c r="DI66" s="6">
        <v>65173</v>
      </c>
      <c r="DJ66" s="79">
        <v>0</v>
      </c>
      <c r="DK66" s="79">
        <v>18786</v>
      </c>
      <c r="DL66" s="79">
        <v>440</v>
      </c>
      <c r="DM66" s="40">
        <v>203.3</v>
      </c>
      <c r="DN66" s="79"/>
      <c r="DO66" s="79"/>
      <c r="DP66" s="79">
        <f t="shared" si="63"/>
        <v>1.0821888640476951E-2</v>
      </c>
      <c r="DQ66" s="1">
        <v>18</v>
      </c>
      <c r="DR66" s="3" t="s">
        <v>61</v>
      </c>
      <c r="DS66" s="6">
        <f t="shared" si="53"/>
        <v>262282</v>
      </c>
      <c r="DT66" s="79">
        <f t="shared" si="54"/>
        <v>500</v>
      </c>
      <c r="DU66" s="79">
        <f t="shared" si="55"/>
        <v>97479</v>
      </c>
      <c r="DV66" s="79">
        <v>0</v>
      </c>
      <c r="DW66" s="79">
        <f t="shared" si="56"/>
        <v>771.3</v>
      </c>
      <c r="DX66" s="79">
        <v>0</v>
      </c>
      <c r="DY66" s="79">
        <v>0</v>
      </c>
      <c r="DZ66" s="79">
        <f t="shared" si="64"/>
        <v>7.9124734558212537E-3</v>
      </c>
    </row>
    <row r="67" spans="1:144" x14ac:dyDescent="0.3">
      <c r="A67" s="1">
        <v>19</v>
      </c>
      <c r="B67" s="3" t="s">
        <v>63</v>
      </c>
      <c r="C67" s="6">
        <v>0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9">
        <v>0</v>
      </c>
      <c r="J67" s="79">
        <v>0</v>
      </c>
      <c r="K67" s="1">
        <v>19</v>
      </c>
      <c r="L67" s="3" t="s">
        <v>63</v>
      </c>
      <c r="M67" s="6">
        <v>0</v>
      </c>
      <c r="N67" s="79">
        <v>0</v>
      </c>
      <c r="O67" s="79">
        <v>0</v>
      </c>
      <c r="P67" s="79">
        <v>0</v>
      </c>
      <c r="Q67" s="79">
        <v>0</v>
      </c>
      <c r="R67" s="79">
        <v>0</v>
      </c>
      <c r="S67" s="79">
        <v>0</v>
      </c>
      <c r="T67" s="79">
        <v>0</v>
      </c>
      <c r="U67" s="1">
        <v>19</v>
      </c>
      <c r="V67" s="3" t="s">
        <v>63</v>
      </c>
      <c r="W67" s="6">
        <v>8134</v>
      </c>
      <c r="X67" s="79">
        <v>0</v>
      </c>
      <c r="Y67" s="79">
        <v>4811</v>
      </c>
      <c r="Z67" s="79">
        <v>0</v>
      </c>
      <c r="AA67" s="79">
        <v>222.7</v>
      </c>
      <c r="AB67" s="79">
        <v>0</v>
      </c>
      <c r="AC67" s="79">
        <v>0</v>
      </c>
      <c r="AD67" s="79">
        <f t="shared" si="57"/>
        <v>4.6289752650176673E-2</v>
      </c>
      <c r="AE67" s="1">
        <v>19</v>
      </c>
      <c r="AF67" s="3" t="s">
        <v>63</v>
      </c>
      <c r="AG67" s="6">
        <v>0</v>
      </c>
      <c r="AH67" s="79">
        <v>0</v>
      </c>
      <c r="AI67" s="79">
        <v>0</v>
      </c>
      <c r="AJ67" s="79">
        <v>0</v>
      </c>
      <c r="AK67" s="79">
        <v>0</v>
      </c>
      <c r="AL67" s="79">
        <v>0</v>
      </c>
      <c r="AM67" s="79">
        <v>0</v>
      </c>
      <c r="AN67" s="79">
        <v>0</v>
      </c>
      <c r="AO67" s="1">
        <v>19</v>
      </c>
      <c r="AP67" s="3" t="s">
        <v>63</v>
      </c>
      <c r="AQ67" s="6">
        <v>0</v>
      </c>
      <c r="AR67" s="79">
        <v>0</v>
      </c>
      <c r="AS67" s="79">
        <v>0</v>
      </c>
      <c r="AT67" s="79">
        <v>0</v>
      </c>
      <c r="AU67" s="79">
        <v>0</v>
      </c>
      <c r="AV67" s="79">
        <v>0</v>
      </c>
      <c r="AW67" s="79">
        <v>0</v>
      </c>
      <c r="AX67" s="79">
        <v>0</v>
      </c>
      <c r="AY67" s="1">
        <v>19</v>
      </c>
      <c r="AZ67" s="3" t="s">
        <v>63</v>
      </c>
      <c r="BA67" s="6">
        <v>8134</v>
      </c>
      <c r="BB67" s="79">
        <v>0</v>
      </c>
      <c r="BC67" s="79">
        <v>3689</v>
      </c>
      <c r="BD67" s="79">
        <v>5</v>
      </c>
      <c r="BE67" s="40">
        <v>142.9</v>
      </c>
      <c r="BF67" s="79">
        <v>0</v>
      </c>
      <c r="BG67" s="79">
        <v>0</v>
      </c>
      <c r="BH67" s="79">
        <f t="shared" si="58"/>
        <v>3.8736785036595285E-2</v>
      </c>
      <c r="BI67" s="1">
        <v>19</v>
      </c>
      <c r="BJ67" s="3" t="s">
        <v>63</v>
      </c>
      <c r="BK67" s="6">
        <v>0</v>
      </c>
      <c r="BL67" s="79">
        <v>0</v>
      </c>
      <c r="BM67" s="79">
        <v>0</v>
      </c>
      <c r="BN67" s="79">
        <v>0</v>
      </c>
      <c r="BO67" s="79">
        <v>0</v>
      </c>
      <c r="BP67" s="79">
        <v>0</v>
      </c>
      <c r="BQ67" s="79">
        <v>0</v>
      </c>
      <c r="BR67" s="79" t="e">
        <f t="shared" si="59"/>
        <v>#DIV/0!</v>
      </c>
      <c r="BS67" s="1">
        <v>19</v>
      </c>
      <c r="BT67" s="3" t="s">
        <v>63</v>
      </c>
      <c r="BU67" s="6">
        <v>0</v>
      </c>
      <c r="BV67" s="79">
        <v>0</v>
      </c>
      <c r="BW67" s="79">
        <v>0</v>
      </c>
      <c r="BX67" s="79">
        <v>0</v>
      </c>
      <c r="BY67" s="40">
        <v>0</v>
      </c>
      <c r="BZ67" s="79">
        <v>0</v>
      </c>
      <c r="CA67" s="79">
        <v>0</v>
      </c>
      <c r="CB67" s="79" t="e">
        <f t="shared" si="60"/>
        <v>#DIV/0!</v>
      </c>
      <c r="CC67" s="1">
        <v>19</v>
      </c>
      <c r="CD67" s="3" t="s">
        <v>63</v>
      </c>
      <c r="CE67" s="6">
        <v>8134</v>
      </c>
      <c r="CF67" s="79">
        <v>20</v>
      </c>
      <c r="CG67" s="79">
        <v>5113</v>
      </c>
      <c r="CH67" s="79">
        <v>65</v>
      </c>
      <c r="CI67" s="79">
        <v>191.5</v>
      </c>
      <c r="CJ67" s="79"/>
      <c r="CK67" s="79"/>
      <c r="CL67" s="79">
        <f t="shared" si="61"/>
        <v>3.7453549775083118E-2</v>
      </c>
      <c r="CM67" s="1">
        <v>19</v>
      </c>
      <c r="CN67" s="3" t="s">
        <v>63</v>
      </c>
      <c r="CO67" s="6">
        <v>0</v>
      </c>
      <c r="CP67" s="79">
        <v>0</v>
      </c>
      <c r="CQ67" s="79">
        <v>0</v>
      </c>
      <c r="CR67" s="79">
        <v>0</v>
      </c>
      <c r="CS67" s="79">
        <v>0</v>
      </c>
      <c r="CT67" s="79">
        <v>0</v>
      </c>
      <c r="CU67" s="79">
        <v>0</v>
      </c>
      <c r="CV67" s="79">
        <v>0</v>
      </c>
      <c r="CW67" s="1">
        <v>19</v>
      </c>
      <c r="CX67" s="3" t="s">
        <v>63</v>
      </c>
      <c r="CY67" s="6">
        <v>0</v>
      </c>
      <c r="CZ67" s="79">
        <v>0</v>
      </c>
      <c r="DA67" s="79">
        <v>0</v>
      </c>
      <c r="DB67" s="79">
        <v>0</v>
      </c>
      <c r="DC67" s="40">
        <v>0</v>
      </c>
      <c r="DD67" s="79">
        <v>0</v>
      </c>
      <c r="DE67" s="79">
        <v>0</v>
      </c>
      <c r="DF67" s="79" t="e">
        <f t="shared" si="62"/>
        <v>#DIV/0!</v>
      </c>
      <c r="DG67" s="1">
        <v>19</v>
      </c>
      <c r="DH67" s="3" t="s">
        <v>63</v>
      </c>
      <c r="DI67" s="6">
        <v>8094</v>
      </c>
      <c r="DJ67" s="79">
        <v>135</v>
      </c>
      <c r="DK67" s="79">
        <v>4100</v>
      </c>
      <c r="DL67" s="79">
        <v>0</v>
      </c>
      <c r="DM67" s="40">
        <v>219</v>
      </c>
      <c r="DN67" s="79"/>
      <c r="DO67" s="79"/>
      <c r="DP67" s="79">
        <f t="shared" si="63"/>
        <v>5.3414634146341462E-2</v>
      </c>
      <c r="DQ67" s="1">
        <v>19</v>
      </c>
      <c r="DR67" s="3" t="s">
        <v>63</v>
      </c>
      <c r="DS67" s="6">
        <f t="shared" si="53"/>
        <v>32496</v>
      </c>
      <c r="DT67" s="79">
        <f t="shared" si="54"/>
        <v>155</v>
      </c>
      <c r="DU67" s="79">
        <f t="shared" si="55"/>
        <v>17713</v>
      </c>
      <c r="DV67" s="79">
        <v>0</v>
      </c>
      <c r="DW67" s="79">
        <f t="shared" si="56"/>
        <v>776.1</v>
      </c>
      <c r="DX67" s="79">
        <v>0</v>
      </c>
      <c r="DY67" s="79">
        <v>0</v>
      </c>
      <c r="DZ67" s="79">
        <f t="shared" si="64"/>
        <v>4.3815276915259979E-2</v>
      </c>
    </row>
    <row r="68" spans="1:144" x14ac:dyDescent="0.3">
      <c r="A68" s="1">
        <v>20</v>
      </c>
      <c r="B68" s="3" t="s">
        <v>166</v>
      </c>
      <c r="C68" s="6">
        <v>0</v>
      </c>
      <c r="D68" s="79">
        <v>0</v>
      </c>
      <c r="E68" s="79">
        <v>0</v>
      </c>
      <c r="F68" s="79">
        <v>0</v>
      </c>
      <c r="G68" s="79">
        <v>0</v>
      </c>
      <c r="H68" s="79">
        <v>0</v>
      </c>
      <c r="I68" s="79">
        <v>0</v>
      </c>
      <c r="J68" s="79">
        <v>0</v>
      </c>
      <c r="K68" s="1">
        <v>20</v>
      </c>
      <c r="L68" s="3" t="s">
        <v>166</v>
      </c>
      <c r="M68" s="6">
        <v>0</v>
      </c>
      <c r="N68" s="79">
        <v>0</v>
      </c>
      <c r="O68" s="79">
        <v>0</v>
      </c>
      <c r="P68" s="79">
        <v>0</v>
      </c>
      <c r="Q68" s="79">
        <v>0</v>
      </c>
      <c r="R68" s="79">
        <v>0</v>
      </c>
      <c r="S68" s="79">
        <v>0</v>
      </c>
      <c r="T68" s="79">
        <v>0</v>
      </c>
      <c r="U68" s="1">
        <v>20</v>
      </c>
      <c r="V68" s="3" t="s">
        <v>166</v>
      </c>
      <c r="W68" s="6">
        <v>139</v>
      </c>
      <c r="X68" s="79">
        <v>0</v>
      </c>
      <c r="Y68" s="79">
        <v>139</v>
      </c>
      <c r="Z68" s="79">
        <v>0</v>
      </c>
      <c r="AA68" s="79">
        <v>1</v>
      </c>
      <c r="AB68" s="79">
        <v>0</v>
      </c>
      <c r="AC68" s="79">
        <v>0</v>
      </c>
      <c r="AD68" s="79">
        <f t="shared" si="57"/>
        <v>7.1942446043165471E-3</v>
      </c>
      <c r="AE68" s="1">
        <v>20</v>
      </c>
      <c r="AF68" s="3" t="s">
        <v>166</v>
      </c>
      <c r="AG68" s="6">
        <v>0</v>
      </c>
      <c r="AH68" s="79">
        <v>0</v>
      </c>
      <c r="AI68" s="79">
        <v>0</v>
      </c>
      <c r="AJ68" s="79">
        <v>0</v>
      </c>
      <c r="AK68" s="79">
        <v>0</v>
      </c>
      <c r="AL68" s="79">
        <v>0</v>
      </c>
      <c r="AM68" s="79">
        <v>0</v>
      </c>
      <c r="AN68" s="79">
        <v>0</v>
      </c>
      <c r="AO68" s="1">
        <v>20</v>
      </c>
      <c r="AP68" s="3" t="s">
        <v>166</v>
      </c>
      <c r="AQ68" s="6">
        <v>0</v>
      </c>
      <c r="AR68" s="79">
        <v>0</v>
      </c>
      <c r="AS68" s="79">
        <v>0</v>
      </c>
      <c r="AT68" s="79">
        <v>0</v>
      </c>
      <c r="AU68" s="79">
        <v>0</v>
      </c>
      <c r="AV68" s="79">
        <v>0</v>
      </c>
      <c r="AW68" s="79">
        <v>0</v>
      </c>
      <c r="AX68" s="79">
        <v>0</v>
      </c>
      <c r="AY68" s="1">
        <v>20</v>
      </c>
      <c r="AZ68" s="3" t="s">
        <v>166</v>
      </c>
      <c r="BA68" s="6">
        <v>139</v>
      </c>
      <c r="BB68" s="79">
        <v>0</v>
      </c>
      <c r="BC68" s="79">
        <v>5</v>
      </c>
      <c r="BD68" s="79">
        <v>0</v>
      </c>
      <c r="BE68" s="40">
        <v>0.2</v>
      </c>
      <c r="BF68" s="79">
        <v>0</v>
      </c>
      <c r="BG68" s="79">
        <v>0</v>
      </c>
      <c r="BH68" s="79">
        <f t="shared" si="58"/>
        <v>0.04</v>
      </c>
      <c r="BI68" s="1">
        <v>20</v>
      </c>
      <c r="BJ68" s="3" t="s">
        <v>166</v>
      </c>
      <c r="BK68" s="6">
        <v>0</v>
      </c>
      <c r="BL68" s="79">
        <v>0</v>
      </c>
      <c r="BM68" s="79">
        <v>0</v>
      </c>
      <c r="BN68" s="79">
        <v>0</v>
      </c>
      <c r="BO68" s="79">
        <v>0</v>
      </c>
      <c r="BP68" s="79">
        <v>0</v>
      </c>
      <c r="BQ68" s="79">
        <v>0</v>
      </c>
      <c r="BR68" s="79" t="e">
        <f t="shared" si="59"/>
        <v>#DIV/0!</v>
      </c>
      <c r="BS68" s="1">
        <v>20</v>
      </c>
      <c r="BT68" s="3" t="s">
        <v>166</v>
      </c>
      <c r="BU68" s="6">
        <v>0</v>
      </c>
      <c r="BV68" s="79">
        <v>0</v>
      </c>
      <c r="BW68" s="79">
        <v>0</v>
      </c>
      <c r="BX68" s="79">
        <v>0</v>
      </c>
      <c r="BY68" s="40">
        <v>0</v>
      </c>
      <c r="BZ68" s="79">
        <v>0</v>
      </c>
      <c r="CA68" s="79">
        <v>0</v>
      </c>
      <c r="CB68" s="79" t="e">
        <f t="shared" si="60"/>
        <v>#DIV/0!</v>
      </c>
      <c r="CC68" s="1">
        <v>20</v>
      </c>
      <c r="CD68" s="3" t="s">
        <v>166</v>
      </c>
      <c r="CE68" s="6">
        <v>139</v>
      </c>
      <c r="CF68" s="79">
        <v>0</v>
      </c>
      <c r="CG68" s="79">
        <v>7</v>
      </c>
      <c r="CH68" s="79">
        <v>2</v>
      </c>
      <c r="CI68" s="79">
        <v>0.2</v>
      </c>
      <c r="CJ68" s="79"/>
      <c r="CK68" s="79"/>
      <c r="CL68" s="79">
        <f t="shared" si="61"/>
        <v>2.8571428571428574E-2</v>
      </c>
      <c r="CM68" s="1">
        <v>20</v>
      </c>
      <c r="CN68" s="3" t="s">
        <v>166</v>
      </c>
      <c r="CO68" s="6">
        <v>0</v>
      </c>
      <c r="CP68" s="79">
        <v>0</v>
      </c>
      <c r="CQ68" s="79">
        <v>0</v>
      </c>
      <c r="CR68" s="79">
        <v>0</v>
      </c>
      <c r="CS68" s="79">
        <v>0</v>
      </c>
      <c r="CT68" s="79">
        <v>0</v>
      </c>
      <c r="CU68" s="79">
        <v>0</v>
      </c>
      <c r="CV68" s="79">
        <v>0</v>
      </c>
      <c r="CW68" s="1">
        <v>20</v>
      </c>
      <c r="CX68" s="3" t="s">
        <v>166</v>
      </c>
      <c r="CY68" s="6">
        <v>0</v>
      </c>
      <c r="CZ68" s="79">
        <v>0</v>
      </c>
      <c r="DA68" s="79">
        <v>0</v>
      </c>
      <c r="DB68" s="79">
        <v>0</v>
      </c>
      <c r="DC68" s="40">
        <v>0</v>
      </c>
      <c r="DD68" s="79">
        <v>0</v>
      </c>
      <c r="DE68" s="79">
        <v>0</v>
      </c>
      <c r="DF68" s="79" t="e">
        <f t="shared" si="62"/>
        <v>#DIV/0!</v>
      </c>
      <c r="DG68" s="1">
        <v>20</v>
      </c>
      <c r="DH68" s="3" t="s">
        <v>166</v>
      </c>
      <c r="DI68" s="6">
        <v>139</v>
      </c>
      <c r="DJ68" s="79">
        <v>0</v>
      </c>
      <c r="DK68" s="79">
        <v>6</v>
      </c>
      <c r="DL68" s="79">
        <v>0</v>
      </c>
      <c r="DM68" s="40">
        <v>0.2</v>
      </c>
      <c r="DN68" s="79"/>
      <c r="DO68" s="79"/>
      <c r="DP68" s="79">
        <f t="shared" si="63"/>
        <v>3.3333333333333333E-2</v>
      </c>
      <c r="DQ68" s="1">
        <v>20</v>
      </c>
      <c r="DR68" s="3" t="s">
        <v>166</v>
      </c>
      <c r="DS68" s="6">
        <f t="shared" si="53"/>
        <v>556</v>
      </c>
      <c r="DT68" s="79">
        <f t="shared" si="54"/>
        <v>0</v>
      </c>
      <c r="DU68" s="79">
        <f t="shared" si="55"/>
        <v>157</v>
      </c>
      <c r="DV68" s="79">
        <v>0</v>
      </c>
      <c r="DW68" s="79">
        <f t="shared" si="56"/>
        <v>1.5999999999999999</v>
      </c>
      <c r="DX68" s="79">
        <v>0</v>
      </c>
      <c r="DY68" s="79">
        <v>0</v>
      </c>
      <c r="DZ68" s="79">
        <f t="shared" si="64"/>
        <v>1.019108280254777E-2</v>
      </c>
    </row>
    <row r="69" spans="1:144" x14ac:dyDescent="0.3">
      <c r="A69" s="1">
        <v>21</v>
      </c>
      <c r="B69" s="3" t="s">
        <v>64</v>
      </c>
      <c r="C69" s="6">
        <v>0</v>
      </c>
      <c r="D69" s="79">
        <v>0</v>
      </c>
      <c r="E69" s="79">
        <v>0</v>
      </c>
      <c r="F69" s="79">
        <v>0</v>
      </c>
      <c r="G69" s="79">
        <v>0</v>
      </c>
      <c r="H69" s="79">
        <v>0</v>
      </c>
      <c r="I69" s="79">
        <v>0</v>
      </c>
      <c r="J69" s="79">
        <v>0</v>
      </c>
      <c r="K69" s="1">
        <v>21</v>
      </c>
      <c r="L69" s="3" t="s">
        <v>64</v>
      </c>
      <c r="M69" s="6">
        <v>0</v>
      </c>
      <c r="N69" s="79">
        <v>0</v>
      </c>
      <c r="O69" s="79">
        <v>0</v>
      </c>
      <c r="P69" s="79">
        <v>0</v>
      </c>
      <c r="Q69" s="79">
        <v>0</v>
      </c>
      <c r="R69" s="79">
        <v>0</v>
      </c>
      <c r="S69" s="79">
        <v>0</v>
      </c>
      <c r="T69" s="79">
        <v>0</v>
      </c>
      <c r="U69" s="1">
        <v>21</v>
      </c>
      <c r="V69" s="3" t="s">
        <v>64</v>
      </c>
      <c r="W69" s="6">
        <v>31035</v>
      </c>
      <c r="X69" s="79">
        <v>2880</v>
      </c>
      <c r="Y69" s="79">
        <v>24490</v>
      </c>
      <c r="Z69" s="79">
        <v>2880</v>
      </c>
      <c r="AA69" s="79">
        <v>371</v>
      </c>
      <c r="AB69" s="79">
        <v>0</v>
      </c>
      <c r="AC69" s="79">
        <v>0</v>
      </c>
      <c r="AD69" s="79">
        <f t="shared" si="57"/>
        <v>1.5149040424663128E-2</v>
      </c>
      <c r="AE69" s="1">
        <v>21</v>
      </c>
      <c r="AF69" s="3" t="s">
        <v>64</v>
      </c>
      <c r="AG69" s="6">
        <v>0</v>
      </c>
      <c r="AH69" s="79">
        <v>0</v>
      </c>
      <c r="AI69" s="79">
        <v>0</v>
      </c>
      <c r="AJ69" s="79">
        <v>0</v>
      </c>
      <c r="AK69" s="79">
        <v>0</v>
      </c>
      <c r="AL69" s="79">
        <v>0</v>
      </c>
      <c r="AM69" s="79">
        <v>0</v>
      </c>
      <c r="AN69" s="79">
        <v>0</v>
      </c>
      <c r="AO69" s="1">
        <v>21</v>
      </c>
      <c r="AP69" s="3" t="s">
        <v>64</v>
      </c>
      <c r="AQ69" s="6">
        <v>0</v>
      </c>
      <c r="AR69" s="79">
        <v>0</v>
      </c>
      <c r="AS69" s="79">
        <v>0</v>
      </c>
      <c r="AT69" s="79">
        <v>0</v>
      </c>
      <c r="AU69" s="79">
        <v>0</v>
      </c>
      <c r="AV69" s="79">
        <v>0</v>
      </c>
      <c r="AW69" s="79">
        <v>0</v>
      </c>
      <c r="AX69" s="79">
        <v>0</v>
      </c>
      <c r="AY69" s="1">
        <v>21</v>
      </c>
      <c r="AZ69" s="3" t="s">
        <v>64</v>
      </c>
      <c r="BA69" s="6">
        <v>33868</v>
      </c>
      <c r="BB69" s="79">
        <v>0</v>
      </c>
      <c r="BC69" s="79">
        <v>17774</v>
      </c>
      <c r="BD69" s="79">
        <v>0</v>
      </c>
      <c r="BE69" s="40">
        <v>164.8</v>
      </c>
      <c r="BF69" s="79">
        <v>0</v>
      </c>
      <c r="BG69" s="79">
        <v>0</v>
      </c>
      <c r="BH69" s="79">
        <f t="shared" si="58"/>
        <v>9.2719702936874086E-3</v>
      </c>
      <c r="BI69" s="1">
        <v>21</v>
      </c>
      <c r="BJ69" s="3" t="s">
        <v>64</v>
      </c>
      <c r="BK69" s="6">
        <v>0</v>
      </c>
      <c r="BL69" s="79">
        <v>0</v>
      </c>
      <c r="BM69" s="79">
        <v>0</v>
      </c>
      <c r="BN69" s="79">
        <v>0</v>
      </c>
      <c r="BO69" s="79">
        <v>0</v>
      </c>
      <c r="BP69" s="79">
        <v>0</v>
      </c>
      <c r="BQ69" s="79">
        <v>0</v>
      </c>
      <c r="BR69" s="79" t="e">
        <f t="shared" si="59"/>
        <v>#DIV/0!</v>
      </c>
      <c r="BS69" s="1">
        <v>21</v>
      </c>
      <c r="BT69" s="3" t="s">
        <v>64</v>
      </c>
      <c r="BU69" s="6">
        <v>0</v>
      </c>
      <c r="BV69" s="79">
        <v>0</v>
      </c>
      <c r="BW69" s="79">
        <v>0</v>
      </c>
      <c r="BX69" s="79">
        <v>0</v>
      </c>
      <c r="BY69" s="40">
        <v>0</v>
      </c>
      <c r="BZ69" s="79">
        <v>0</v>
      </c>
      <c r="CA69" s="79">
        <v>0</v>
      </c>
      <c r="CB69" s="79" t="e">
        <f t="shared" si="60"/>
        <v>#DIV/0!</v>
      </c>
      <c r="CC69" s="1">
        <v>21</v>
      </c>
      <c r="CD69" s="3" t="s">
        <v>64</v>
      </c>
      <c r="CE69" s="6">
        <v>33868</v>
      </c>
      <c r="CF69" s="79">
        <v>100</v>
      </c>
      <c r="CG69" s="79">
        <v>17511</v>
      </c>
      <c r="CH69" s="79">
        <v>105</v>
      </c>
      <c r="CI69" s="79">
        <v>255</v>
      </c>
      <c r="CJ69" s="79"/>
      <c r="CK69" s="79"/>
      <c r="CL69" s="79">
        <f t="shared" si="61"/>
        <v>1.4562275141339729E-2</v>
      </c>
      <c r="CM69" s="1">
        <v>21</v>
      </c>
      <c r="CN69" s="3" t="s">
        <v>64</v>
      </c>
      <c r="CO69" s="6">
        <v>0</v>
      </c>
      <c r="CP69" s="79">
        <v>0</v>
      </c>
      <c r="CQ69" s="79">
        <v>0</v>
      </c>
      <c r="CR69" s="79">
        <v>0</v>
      </c>
      <c r="CS69" s="79">
        <v>0</v>
      </c>
      <c r="CT69" s="79">
        <v>0</v>
      </c>
      <c r="CU69" s="79">
        <v>0</v>
      </c>
      <c r="CV69" s="79">
        <v>0</v>
      </c>
      <c r="CW69" s="1">
        <v>21</v>
      </c>
      <c r="CX69" s="3" t="s">
        <v>64</v>
      </c>
      <c r="CY69" s="6">
        <v>0</v>
      </c>
      <c r="CZ69" s="79">
        <v>0</v>
      </c>
      <c r="DA69" s="79">
        <v>0</v>
      </c>
      <c r="DB69" s="79">
        <v>0</v>
      </c>
      <c r="DC69" s="40">
        <v>0</v>
      </c>
      <c r="DD69" s="79">
        <v>0</v>
      </c>
      <c r="DE69" s="79">
        <v>0</v>
      </c>
      <c r="DF69" s="79" t="e">
        <f t="shared" si="62"/>
        <v>#DIV/0!</v>
      </c>
      <c r="DG69" s="1">
        <v>21</v>
      </c>
      <c r="DH69" s="3" t="s">
        <v>64</v>
      </c>
      <c r="DI69" s="6">
        <v>33916</v>
      </c>
      <c r="DJ69" s="79">
        <v>4579</v>
      </c>
      <c r="DK69" s="79">
        <v>19632</v>
      </c>
      <c r="DL69" s="79">
        <v>50</v>
      </c>
      <c r="DM69" s="40">
        <v>568.4</v>
      </c>
      <c r="DN69" s="79"/>
      <c r="DO69" s="79"/>
      <c r="DP69" s="79">
        <f t="shared" si="63"/>
        <v>2.8952730236348818E-2</v>
      </c>
      <c r="DQ69" s="1">
        <v>21</v>
      </c>
      <c r="DR69" s="3" t="s">
        <v>64</v>
      </c>
      <c r="DS69" s="6">
        <f t="shared" si="53"/>
        <v>132687</v>
      </c>
      <c r="DT69" s="79">
        <f t="shared" si="54"/>
        <v>7559</v>
      </c>
      <c r="DU69" s="79">
        <f t="shared" si="55"/>
        <v>79407</v>
      </c>
      <c r="DV69" s="79">
        <v>0</v>
      </c>
      <c r="DW69" s="79">
        <f t="shared" si="56"/>
        <v>1359.1999999999998</v>
      </c>
      <c r="DX69" s="79">
        <v>0</v>
      </c>
      <c r="DY69" s="79">
        <v>0</v>
      </c>
      <c r="DZ69" s="79">
        <f t="shared" si="64"/>
        <v>1.7116878864583726E-2</v>
      </c>
    </row>
    <row r="70" spans="1:144" x14ac:dyDescent="0.3">
      <c r="A70" s="1">
        <v>22</v>
      </c>
      <c r="B70" s="3" t="s">
        <v>62</v>
      </c>
      <c r="C70" s="6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1">
        <v>22</v>
      </c>
      <c r="L70" s="3" t="s">
        <v>62</v>
      </c>
      <c r="M70" s="6">
        <v>0</v>
      </c>
      <c r="N70" s="79">
        <v>0</v>
      </c>
      <c r="O70" s="79">
        <v>0</v>
      </c>
      <c r="P70" s="79">
        <v>0</v>
      </c>
      <c r="Q70" s="79">
        <v>0</v>
      </c>
      <c r="R70" s="79">
        <v>0</v>
      </c>
      <c r="S70" s="79">
        <v>0</v>
      </c>
      <c r="T70" s="79">
        <v>0</v>
      </c>
      <c r="U70" s="1">
        <v>22</v>
      </c>
      <c r="V70" s="3" t="s">
        <v>62</v>
      </c>
      <c r="W70" s="6">
        <v>6884</v>
      </c>
      <c r="X70" s="79">
        <v>0</v>
      </c>
      <c r="Y70" s="79">
        <v>3382</v>
      </c>
      <c r="Z70" s="79">
        <v>0</v>
      </c>
      <c r="AA70" s="79">
        <v>103.4</v>
      </c>
      <c r="AB70" s="79">
        <v>0</v>
      </c>
      <c r="AC70" s="79">
        <v>0</v>
      </c>
      <c r="AD70" s="79">
        <f t="shared" si="57"/>
        <v>3.0573625073920759E-2</v>
      </c>
      <c r="AE70" s="1">
        <v>22</v>
      </c>
      <c r="AF70" s="3" t="s">
        <v>62</v>
      </c>
      <c r="AG70" s="6">
        <v>0</v>
      </c>
      <c r="AH70" s="79">
        <v>0</v>
      </c>
      <c r="AI70" s="79">
        <v>0</v>
      </c>
      <c r="AJ70" s="79">
        <v>0</v>
      </c>
      <c r="AK70" s="79">
        <v>0</v>
      </c>
      <c r="AL70" s="79">
        <v>0</v>
      </c>
      <c r="AM70" s="79">
        <v>0</v>
      </c>
      <c r="AN70" s="79">
        <v>0</v>
      </c>
      <c r="AO70" s="1">
        <v>22</v>
      </c>
      <c r="AP70" s="3" t="s">
        <v>62</v>
      </c>
      <c r="AQ70" s="6">
        <v>0</v>
      </c>
      <c r="AR70" s="79">
        <v>0</v>
      </c>
      <c r="AS70" s="79">
        <v>0</v>
      </c>
      <c r="AT70" s="79">
        <v>0</v>
      </c>
      <c r="AU70" s="79">
        <v>0</v>
      </c>
      <c r="AV70" s="79">
        <v>0</v>
      </c>
      <c r="AW70" s="79">
        <v>0</v>
      </c>
      <c r="AX70" s="79">
        <v>0</v>
      </c>
      <c r="AY70" s="1">
        <v>22</v>
      </c>
      <c r="AZ70" s="3" t="s">
        <v>62</v>
      </c>
      <c r="BA70" s="6">
        <v>6878</v>
      </c>
      <c r="BB70" s="79">
        <v>0</v>
      </c>
      <c r="BC70" s="79">
        <v>2828</v>
      </c>
      <c r="BD70" s="79">
        <v>0</v>
      </c>
      <c r="BE70" s="40">
        <v>85.9</v>
      </c>
      <c r="BF70" s="79">
        <v>0</v>
      </c>
      <c r="BG70" s="79">
        <v>0</v>
      </c>
      <c r="BH70" s="79">
        <f t="shared" si="58"/>
        <v>3.0374823196605377E-2</v>
      </c>
      <c r="BI70" s="1">
        <v>22</v>
      </c>
      <c r="BJ70" s="3" t="s">
        <v>62</v>
      </c>
      <c r="BK70" s="6">
        <v>0</v>
      </c>
      <c r="BL70" s="79">
        <v>0</v>
      </c>
      <c r="BM70" s="79">
        <v>0</v>
      </c>
      <c r="BN70" s="79">
        <v>0</v>
      </c>
      <c r="BO70" s="79">
        <v>0</v>
      </c>
      <c r="BP70" s="79">
        <v>0</v>
      </c>
      <c r="BQ70" s="79">
        <v>0</v>
      </c>
      <c r="BR70" s="79" t="e">
        <f t="shared" si="59"/>
        <v>#DIV/0!</v>
      </c>
      <c r="BS70" s="1">
        <v>22</v>
      </c>
      <c r="BT70" s="3" t="s">
        <v>62</v>
      </c>
      <c r="BU70" s="6">
        <v>0</v>
      </c>
      <c r="BV70" s="79">
        <v>0</v>
      </c>
      <c r="BW70" s="79">
        <v>0</v>
      </c>
      <c r="BX70" s="79">
        <v>0</v>
      </c>
      <c r="BY70" s="40">
        <v>0</v>
      </c>
      <c r="BZ70" s="79">
        <v>0</v>
      </c>
      <c r="CA70" s="79">
        <v>0</v>
      </c>
      <c r="CB70" s="79" t="e">
        <f t="shared" si="60"/>
        <v>#DIV/0!</v>
      </c>
      <c r="CC70" s="1">
        <v>22</v>
      </c>
      <c r="CD70" s="3" t="s">
        <v>62</v>
      </c>
      <c r="CE70" s="6">
        <v>6878</v>
      </c>
      <c r="CF70" s="79">
        <v>0</v>
      </c>
      <c r="CG70" s="79">
        <v>4443</v>
      </c>
      <c r="CH70" s="79">
        <v>33</v>
      </c>
      <c r="CI70" s="79">
        <v>152.80000000000001</v>
      </c>
      <c r="CJ70" s="79"/>
      <c r="CK70" s="79"/>
      <c r="CL70" s="79">
        <f t="shared" si="61"/>
        <v>3.439117713256809E-2</v>
      </c>
      <c r="CM70" s="1">
        <v>22</v>
      </c>
      <c r="CN70" s="3" t="s">
        <v>62</v>
      </c>
      <c r="CO70" s="6">
        <v>0</v>
      </c>
      <c r="CP70" s="79">
        <v>0</v>
      </c>
      <c r="CQ70" s="79">
        <v>0</v>
      </c>
      <c r="CR70" s="79">
        <v>0</v>
      </c>
      <c r="CS70" s="79">
        <v>0</v>
      </c>
      <c r="CT70" s="79">
        <v>0</v>
      </c>
      <c r="CU70" s="79">
        <v>0</v>
      </c>
      <c r="CV70" s="79">
        <v>0</v>
      </c>
      <c r="CW70" s="1">
        <v>22</v>
      </c>
      <c r="CX70" s="3" t="s">
        <v>62</v>
      </c>
      <c r="CY70" s="6">
        <v>0</v>
      </c>
      <c r="CZ70" s="79">
        <v>0</v>
      </c>
      <c r="DA70" s="79">
        <v>0</v>
      </c>
      <c r="DB70" s="79">
        <v>0</v>
      </c>
      <c r="DC70" s="40">
        <v>0</v>
      </c>
      <c r="DD70" s="79">
        <v>0</v>
      </c>
      <c r="DE70" s="79">
        <v>0</v>
      </c>
      <c r="DF70" s="79" t="e">
        <f t="shared" si="62"/>
        <v>#DIV/0!</v>
      </c>
      <c r="DG70" s="1">
        <v>22</v>
      </c>
      <c r="DH70" s="3" t="s">
        <v>62</v>
      </c>
      <c r="DI70" s="6">
        <v>6860</v>
      </c>
      <c r="DJ70" s="79">
        <v>0</v>
      </c>
      <c r="DK70" s="79">
        <v>4340</v>
      </c>
      <c r="DL70" s="79">
        <v>19</v>
      </c>
      <c r="DM70" s="40">
        <v>284.39999999999998</v>
      </c>
      <c r="DN70" s="79"/>
      <c r="DO70" s="79"/>
      <c r="DP70" s="79">
        <f t="shared" si="63"/>
        <v>6.5529953917050687E-2</v>
      </c>
      <c r="DQ70" s="1">
        <v>22</v>
      </c>
      <c r="DR70" s="3" t="s">
        <v>62</v>
      </c>
      <c r="DS70" s="6">
        <f t="shared" si="53"/>
        <v>27500</v>
      </c>
      <c r="DT70" s="79">
        <f t="shared" si="54"/>
        <v>0</v>
      </c>
      <c r="DU70" s="79">
        <f t="shared" si="55"/>
        <v>14993</v>
      </c>
      <c r="DV70" s="79">
        <v>0</v>
      </c>
      <c r="DW70" s="79">
        <f t="shared" si="56"/>
        <v>626.5</v>
      </c>
      <c r="DX70" s="79">
        <v>0</v>
      </c>
      <c r="DY70" s="79">
        <v>0</v>
      </c>
      <c r="DZ70" s="79">
        <f t="shared" si="64"/>
        <v>4.1786166877876341E-2</v>
      </c>
    </row>
    <row r="71" spans="1:144" x14ac:dyDescent="0.3">
      <c r="A71" s="1">
        <v>23</v>
      </c>
      <c r="B71" s="3" t="s">
        <v>65</v>
      </c>
      <c r="C71" s="6">
        <v>0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1">
        <v>23</v>
      </c>
      <c r="L71" s="3" t="s">
        <v>65</v>
      </c>
      <c r="M71" s="6">
        <v>0</v>
      </c>
      <c r="N71" s="79">
        <v>0</v>
      </c>
      <c r="O71" s="79">
        <v>0</v>
      </c>
      <c r="P71" s="79">
        <v>0</v>
      </c>
      <c r="Q71" s="79">
        <v>0</v>
      </c>
      <c r="R71" s="79">
        <v>0</v>
      </c>
      <c r="S71" s="79">
        <v>0</v>
      </c>
      <c r="T71" s="79">
        <v>0</v>
      </c>
      <c r="U71" s="1">
        <v>23</v>
      </c>
      <c r="V71" s="3" t="s">
        <v>65</v>
      </c>
      <c r="W71" s="6">
        <v>185130</v>
      </c>
      <c r="X71" s="79">
        <v>0</v>
      </c>
      <c r="Y71" s="79">
        <v>136571</v>
      </c>
      <c r="Z71" s="79">
        <v>3219</v>
      </c>
      <c r="AA71" s="79">
        <v>3230.1</v>
      </c>
      <c r="AB71" s="79">
        <v>0</v>
      </c>
      <c r="AC71" s="79">
        <v>0</v>
      </c>
      <c r="AD71" s="79">
        <f t="shared" si="57"/>
        <v>2.3651434052617319E-2</v>
      </c>
      <c r="AE71" s="1">
        <v>23</v>
      </c>
      <c r="AF71" s="3" t="s">
        <v>65</v>
      </c>
      <c r="AG71" s="6">
        <v>0</v>
      </c>
      <c r="AH71" s="79">
        <v>0</v>
      </c>
      <c r="AI71" s="79">
        <v>0</v>
      </c>
      <c r="AJ71" s="79">
        <v>0</v>
      </c>
      <c r="AK71" s="79">
        <v>0</v>
      </c>
      <c r="AL71" s="79">
        <v>0</v>
      </c>
      <c r="AM71" s="79">
        <v>0</v>
      </c>
      <c r="AN71" s="79">
        <v>0</v>
      </c>
      <c r="AO71" s="1">
        <v>23</v>
      </c>
      <c r="AP71" s="3" t="s">
        <v>65</v>
      </c>
      <c r="AQ71" s="6">
        <v>0</v>
      </c>
      <c r="AR71" s="79">
        <v>0</v>
      </c>
      <c r="AS71" s="79">
        <v>0</v>
      </c>
      <c r="AT71" s="79">
        <v>0</v>
      </c>
      <c r="AU71" s="79">
        <v>0</v>
      </c>
      <c r="AV71" s="79">
        <v>0</v>
      </c>
      <c r="AW71" s="79">
        <v>0</v>
      </c>
      <c r="AX71" s="79">
        <v>0</v>
      </c>
      <c r="AY71" s="1">
        <v>23</v>
      </c>
      <c r="AZ71" s="3" t="s">
        <v>65</v>
      </c>
      <c r="BA71" s="6">
        <v>3851</v>
      </c>
      <c r="BB71" s="79">
        <v>0</v>
      </c>
      <c r="BC71" s="79">
        <v>23240</v>
      </c>
      <c r="BD71" s="79">
        <v>3851</v>
      </c>
      <c r="BE71" s="40">
        <v>311.2</v>
      </c>
      <c r="BF71" s="79">
        <v>0</v>
      </c>
      <c r="BG71" s="79">
        <v>0</v>
      </c>
      <c r="BH71" s="79">
        <f t="shared" si="58"/>
        <v>1.3390705679862306E-2</v>
      </c>
      <c r="BI71" s="1">
        <v>23</v>
      </c>
      <c r="BJ71" s="3" t="s">
        <v>65</v>
      </c>
      <c r="BK71" s="6">
        <v>0</v>
      </c>
      <c r="BL71" s="79">
        <v>0</v>
      </c>
      <c r="BM71" s="79">
        <v>0</v>
      </c>
      <c r="BN71" s="79">
        <v>0</v>
      </c>
      <c r="BO71" s="79">
        <v>0</v>
      </c>
      <c r="BP71" s="79">
        <v>0</v>
      </c>
      <c r="BQ71" s="79">
        <v>0</v>
      </c>
      <c r="BR71" s="79" t="e">
        <f t="shared" si="59"/>
        <v>#DIV/0!</v>
      </c>
      <c r="BS71" s="1">
        <v>23</v>
      </c>
      <c r="BT71" s="3" t="s">
        <v>65</v>
      </c>
      <c r="BU71" s="6">
        <v>0</v>
      </c>
      <c r="BV71" s="79">
        <v>0</v>
      </c>
      <c r="BW71" s="79">
        <v>0</v>
      </c>
      <c r="BX71" s="79">
        <v>0</v>
      </c>
      <c r="BY71" s="40">
        <v>0</v>
      </c>
      <c r="BZ71" s="79">
        <v>0</v>
      </c>
      <c r="CA71" s="79">
        <v>0</v>
      </c>
      <c r="CB71" s="79" t="e">
        <f t="shared" si="60"/>
        <v>#DIV/0!</v>
      </c>
      <c r="CC71" s="1">
        <v>23</v>
      </c>
      <c r="CD71" s="3" t="s">
        <v>65</v>
      </c>
      <c r="CE71" s="6">
        <v>181871</v>
      </c>
      <c r="CF71" s="79">
        <v>0</v>
      </c>
      <c r="CG71" s="79">
        <v>24438</v>
      </c>
      <c r="CH71" s="79">
        <v>4209</v>
      </c>
      <c r="CI71" s="79">
        <v>386.3</v>
      </c>
      <c r="CJ71" s="79"/>
      <c r="CK71" s="79"/>
      <c r="CL71" s="79">
        <f t="shared" si="61"/>
        <v>1.5807349210246339E-2</v>
      </c>
      <c r="CM71" s="1">
        <v>23</v>
      </c>
      <c r="CN71" s="3" t="s">
        <v>65</v>
      </c>
      <c r="CO71" s="6">
        <v>0</v>
      </c>
      <c r="CP71" s="79">
        <v>0</v>
      </c>
      <c r="CQ71" s="79">
        <v>0</v>
      </c>
      <c r="CR71" s="79">
        <v>0</v>
      </c>
      <c r="CS71" s="79">
        <v>0</v>
      </c>
      <c r="CT71" s="79">
        <v>0</v>
      </c>
      <c r="CU71" s="79">
        <v>0</v>
      </c>
      <c r="CV71" s="79">
        <v>0</v>
      </c>
      <c r="CW71" s="1">
        <v>23</v>
      </c>
      <c r="CX71" s="3" t="s">
        <v>65</v>
      </c>
      <c r="CY71" s="6">
        <v>0</v>
      </c>
      <c r="CZ71" s="79">
        <v>0</v>
      </c>
      <c r="DA71" s="79">
        <v>0</v>
      </c>
      <c r="DB71" s="79">
        <v>0</v>
      </c>
      <c r="DC71" s="40">
        <v>0</v>
      </c>
      <c r="DD71" s="79">
        <v>0</v>
      </c>
      <c r="DE71" s="79">
        <v>0</v>
      </c>
      <c r="DF71" s="79" t="e">
        <f t="shared" si="62"/>
        <v>#DIV/0!</v>
      </c>
      <c r="DG71" s="1">
        <v>23</v>
      </c>
      <c r="DH71" s="3" t="s">
        <v>65</v>
      </c>
      <c r="DI71" s="6">
        <v>180989</v>
      </c>
      <c r="DJ71" s="79">
        <v>72</v>
      </c>
      <c r="DK71" s="79">
        <v>20542</v>
      </c>
      <c r="DL71" s="79">
        <v>3971</v>
      </c>
      <c r="DM71" s="40">
        <v>322.3</v>
      </c>
      <c r="DN71" s="79"/>
      <c r="DO71" s="79"/>
      <c r="DP71" s="79">
        <f t="shared" si="63"/>
        <v>1.568980625060851E-2</v>
      </c>
      <c r="DQ71" s="1">
        <v>23</v>
      </c>
      <c r="DR71" s="3" t="s">
        <v>65</v>
      </c>
      <c r="DS71" s="6">
        <f t="shared" si="53"/>
        <v>551841</v>
      </c>
      <c r="DT71" s="79">
        <f t="shared" si="54"/>
        <v>72</v>
      </c>
      <c r="DU71" s="79">
        <f t="shared" si="55"/>
        <v>204791</v>
      </c>
      <c r="DV71" s="79">
        <v>0</v>
      </c>
      <c r="DW71" s="79">
        <f t="shared" si="56"/>
        <v>4249.8999999999996</v>
      </c>
      <c r="DX71" s="79">
        <v>0</v>
      </c>
      <c r="DY71" s="79">
        <v>0</v>
      </c>
      <c r="DZ71" s="79">
        <f t="shared" si="64"/>
        <v>2.0752376813434184E-2</v>
      </c>
    </row>
    <row r="72" spans="1:144" x14ac:dyDescent="0.3">
      <c r="A72" s="1">
        <v>24</v>
      </c>
      <c r="B72" s="3" t="s">
        <v>66</v>
      </c>
      <c r="C72" s="6">
        <v>0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1">
        <v>24</v>
      </c>
      <c r="L72" s="3" t="s">
        <v>66</v>
      </c>
      <c r="M72" s="6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  <c r="T72" s="79">
        <v>0</v>
      </c>
      <c r="U72" s="1">
        <v>24</v>
      </c>
      <c r="V72" s="3" t="s">
        <v>66</v>
      </c>
      <c r="W72" s="6">
        <v>61414</v>
      </c>
      <c r="X72" s="79">
        <v>10</v>
      </c>
      <c r="Y72" s="79">
        <v>22462</v>
      </c>
      <c r="Z72" s="79">
        <v>70</v>
      </c>
      <c r="AA72" s="79">
        <v>432.5</v>
      </c>
      <c r="AB72" s="79">
        <v>0</v>
      </c>
      <c r="AC72" s="79">
        <v>0</v>
      </c>
      <c r="AD72" s="79">
        <f t="shared" si="57"/>
        <v>1.9254741340931351E-2</v>
      </c>
      <c r="AE72" s="1">
        <v>24</v>
      </c>
      <c r="AF72" s="3" t="s">
        <v>66</v>
      </c>
      <c r="AG72" s="6">
        <v>0</v>
      </c>
      <c r="AH72" s="79">
        <v>0</v>
      </c>
      <c r="AI72" s="79">
        <v>0</v>
      </c>
      <c r="AJ72" s="79">
        <v>0</v>
      </c>
      <c r="AK72" s="79">
        <v>0</v>
      </c>
      <c r="AL72" s="79">
        <v>0</v>
      </c>
      <c r="AM72" s="79">
        <v>0</v>
      </c>
      <c r="AN72" s="79">
        <v>0</v>
      </c>
      <c r="AO72" s="1">
        <v>24</v>
      </c>
      <c r="AP72" s="3" t="s">
        <v>66</v>
      </c>
      <c r="AQ72" s="6">
        <v>0</v>
      </c>
      <c r="AR72" s="79">
        <v>0</v>
      </c>
      <c r="AS72" s="79">
        <v>0</v>
      </c>
      <c r="AT72" s="79">
        <v>0</v>
      </c>
      <c r="AU72" s="79">
        <v>0</v>
      </c>
      <c r="AV72" s="79">
        <v>0</v>
      </c>
      <c r="AW72" s="79">
        <v>0</v>
      </c>
      <c r="AX72" s="79">
        <v>0</v>
      </c>
      <c r="AY72" s="1">
        <v>24</v>
      </c>
      <c r="AZ72" s="3" t="s">
        <v>66</v>
      </c>
      <c r="BA72" s="6">
        <v>141</v>
      </c>
      <c r="BB72" s="79">
        <v>0</v>
      </c>
      <c r="BC72" s="79">
        <v>10926</v>
      </c>
      <c r="BD72" s="79">
        <v>141</v>
      </c>
      <c r="BE72" s="40">
        <v>341.5</v>
      </c>
      <c r="BF72" s="79">
        <v>0</v>
      </c>
      <c r="BG72" s="79">
        <v>0</v>
      </c>
      <c r="BH72" s="79">
        <f t="shared" si="58"/>
        <v>3.1255720300201358E-2</v>
      </c>
      <c r="BI72" s="1">
        <v>24</v>
      </c>
      <c r="BJ72" s="3" t="s">
        <v>66</v>
      </c>
      <c r="BK72" s="6">
        <v>0</v>
      </c>
      <c r="BL72" s="79">
        <v>0</v>
      </c>
      <c r="BM72" s="79">
        <v>0</v>
      </c>
      <c r="BN72" s="79">
        <v>0</v>
      </c>
      <c r="BO72" s="79">
        <v>0</v>
      </c>
      <c r="BP72" s="79">
        <v>0</v>
      </c>
      <c r="BQ72" s="79">
        <v>0</v>
      </c>
      <c r="BR72" s="79" t="e">
        <f t="shared" si="59"/>
        <v>#DIV/0!</v>
      </c>
      <c r="BS72" s="1">
        <v>24</v>
      </c>
      <c r="BT72" s="3" t="s">
        <v>66</v>
      </c>
      <c r="BU72" s="6">
        <v>0</v>
      </c>
      <c r="BV72" s="79">
        <v>0</v>
      </c>
      <c r="BW72" s="79">
        <v>0</v>
      </c>
      <c r="BX72" s="79">
        <v>0</v>
      </c>
      <c r="BY72" s="40">
        <v>0</v>
      </c>
      <c r="BZ72" s="79">
        <v>0</v>
      </c>
      <c r="CA72" s="79">
        <v>0</v>
      </c>
      <c r="CB72" s="79" t="e">
        <f t="shared" si="60"/>
        <v>#DIV/0!</v>
      </c>
      <c r="CC72" s="1">
        <v>24</v>
      </c>
      <c r="CD72" s="3" t="s">
        <v>66</v>
      </c>
      <c r="CE72" s="6">
        <v>60416</v>
      </c>
      <c r="CF72" s="79">
        <v>0</v>
      </c>
      <c r="CG72" s="79">
        <v>9156</v>
      </c>
      <c r="CH72" s="79">
        <v>253</v>
      </c>
      <c r="CI72" s="79">
        <v>302.3</v>
      </c>
      <c r="CJ72" s="79"/>
      <c r="CK72" s="79"/>
      <c r="CL72" s="79">
        <f t="shared" si="61"/>
        <v>3.3016601135867192E-2</v>
      </c>
      <c r="CM72" s="1">
        <v>24</v>
      </c>
      <c r="CN72" s="3" t="s">
        <v>66</v>
      </c>
      <c r="CO72" s="6">
        <v>0</v>
      </c>
      <c r="CP72" s="79">
        <v>0</v>
      </c>
      <c r="CQ72" s="79">
        <v>0</v>
      </c>
      <c r="CR72" s="79">
        <v>0</v>
      </c>
      <c r="CS72" s="79">
        <v>0</v>
      </c>
      <c r="CT72" s="79">
        <v>0</v>
      </c>
      <c r="CU72" s="79">
        <v>0</v>
      </c>
      <c r="CV72" s="79">
        <v>0</v>
      </c>
      <c r="CW72" s="1">
        <v>24</v>
      </c>
      <c r="CX72" s="3" t="s">
        <v>66</v>
      </c>
      <c r="CY72" s="6">
        <v>0</v>
      </c>
      <c r="CZ72" s="79">
        <v>0</v>
      </c>
      <c r="DA72" s="79">
        <v>0</v>
      </c>
      <c r="DB72" s="79">
        <v>0</v>
      </c>
      <c r="DC72" s="40">
        <v>0</v>
      </c>
      <c r="DD72" s="79">
        <v>0</v>
      </c>
      <c r="DE72" s="79">
        <v>0</v>
      </c>
      <c r="DF72" s="79" t="e">
        <f t="shared" si="62"/>
        <v>#DIV/0!</v>
      </c>
      <c r="DG72" s="1">
        <v>24</v>
      </c>
      <c r="DH72" s="3" t="s">
        <v>66</v>
      </c>
      <c r="DI72" s="6">
        <v>60306</v>
      </c>
      <c r="DJ72" s="79">
        <v>110</v>
      </c>
      <c r="DK72" s="79">
        <v>13486</v>
      </c>
      <c r="DL72" s="79">
        <v>1359</v>
      </c>
      <c r="DM72" s="40">
        <v>409.7</v>
      </c>
      <c r="DN72" s="79"/>
      <c r="DO72" s="79"/>
      <c r="DP72" s="79">
        <f t="shared" si="63"/>
        <v>3.0379652973453953E-2</v>
      </c>
      <c r="DQ72" s="1">
        <v>24</v>
      </c>
      <c r="DR72" s="3" t="s">
        <v>66</v>
      </c>
      <c r="DS72" s="6">
        <f t="shared" si="53"/>
        <v>182277</v>
      </c>
      <c r="DT72" s="79">
        <f t="shared" si="54"/>
        <v>120</v>
      </c>
      <c r="DU72" s="79">
        <f t="shared" si="55"/>
        <v>56030</v>
      </c>
      <c r="DV72" s="79">
        <v>0</v>
      </c>
      <c r="DW72" s="79">
        <f t="shared" si="56"/>
        <v>1486</v>
      </c>
      <c r="DX72" s="79">
        <v>0</v>
      </c>
      <c r="DY72" s="79">
        <v>0</v>
      </c>
      <c r="DZ72" s="79">
        <f t="shared" si="64"/>
        <v>2.6521506335891485E-2</v>
      </c>
    </row>
    <row r="73" spans="1:144" x14ac:dyDescent="0.3">
      <c r="A73" s="217" t="s">
        <v>67</v>
      </c>
      <c r="B73" s="219" t="s">
        <v>68</v>
      </c>
      <c r="C73" s="125"/>
      <c r="D73" s="35" t="s">
        <v>132</v>
      </c>
      <c r="E73" s="35" t="s">
        <v>130</v>
      </c>
      <c r="F73" s="64" t="s">
        <v>162</v>
      </c>
      <c r="G73" s="221" t="s">
        <v>111</v>
      </c>
      <c r="H73" s="223" t="s">
        <v>4</v>
      </c>
      <c r="I73" s="224"/>
      <c r="J73" s="221" t="s">
        <v>125</v>
      </c>
      <c r="K73" s="217" t="s">
        <v>67</v>
      </c>
      <c r="L73" s="219" t="s">
        <v>68</v>
      </c>
      <c r="M73" s="125"/>
      <c r="N73" s="35" t="s">
        <v>132</v>
      </c>
      <c r="O73" s="35" t="s">
        <v>130</v>
      </c>
      <c r="P73" s="64" t="s">
        <v>162</v>
      </c>
      <c r="Q73" s="221" t="s">
        <v>111</v>
      </c>
      <c r="R73" s="223" t="s">
        <v>4</v>
      </c>
      <c r="S73" s="224"/>
      <c r="T73" s="221" t="s">
        <v>125</v>
      </c>
      <c r="U73" s="217" t="s">
        <v>67</v>
      </c>
      <c r="V73" s="219" t="s">
        <v>68</v>
      </c>
      <c r="W73" s="125"/>
      <c r="X73" s="35" t="s">
        <v>132</v>
      </c>
      <c r="Y73" s="35" t="s">
        <v>130</v>
      </c>
      <c r="Z73" s="64" t="s">
        <v>162</v>
      </c>
      <c r="AA73" s="221" t="s">
        <v>111</v>
      </c>
      <c r="AB73" s="223" t="s">
        <v>4</v>
      </c>
      <c r="AC73" s="224"/>
      <c r="AD73" s="221" t="s">
        <v>125</v>
      </c>
      <c r="AE73" s="217" t="s">
        <v>67</v>
      </c>
      <c r="AF73" s="219" t="s">
        <v>68</v>
      </c>
      <c r="AG73" s="125"/>
      <c r="AH73" s="35" t="s">
        <v>132</v>
      </c>
      <c r="AI73" s="35" t="s">
        <v>130</v>
      </c>
      <c r="AJ73" s="64" t="s">
        <v>162</v>
      </c>
      <c r="AK73" s="221" t="s">
        <v>111</v>
      </c>
      <c r="AL73" s="223" t="s">
        <v>4</v>
      </c>
      <c r="AM73" s="224"/>
      <c r="AN73" s="221" t="s">
        <v>125</v>
      </c>
      <c r="AO73" s="217" t="s">
        <v>67</v>
      </c>
      <c r="AP73" s="219" t="s">
        <v>68</v>
      </c>
      <c r="AQ73" s="125"/>
      <c r="AR73" s="35" t="s">
        <v>132</v>
      </c>
      <c r="AS73" s="35" t="s">
        <v>130</v>
      </c>
      <c r="AT73" s="64" t="s">
        <v>162</v>
      </c>
      <c r="AU73" s="221" t="s">
        <v>111</v>
      </c>
      <c r="AV73" s="223" t="s">
        <v>4</v>
      </c>
      <c r="AW73" s="224"/>
      <c r="AX73" s="221" t="s">
        <v>125</v>
      </c>
      <c r="AY73" s="217" t="s">
        <v>67</v>
      </c>
      <c r="AZ73" s="219" t="s">
        <v>68</v>
      </c>
      <c r="BA73" s="125"/>
      <c r="BB73" s="35" t="s">
        <v>132</v>
      </c>
      <c r="BC73" s="35" t="s">
        <v>130</v>
      </c>
      <c r="BD73" s="64" t="s">
        <v>162</v>
      </c>
      <c r="BE73" s="221" t="s">
        <v>111</v>
      </c>
      <c r="BF73" s="223" t="s">
        <v>4</v>
      </c>
      <c r="BG73" s="224"/>
      <c r="BH73" s="221" t="s">
        <v>125</v>
      </c>
      <c r="BI73" s="217" t="s">
        <v>67</v>
      </c>
      <c r="BJ73" s="219" t="s">
        <v>68</v>
      </c>
      <c r="BK73" s="125"/>
      <c r="BL73" s="35" t="s">
        <v>132</v>
      </c>
      <c r="BM73" s="35" t="s">
        <v>130</v>
      </c>
      <c r="BN73" s="64" t="s">
        <v>162</v>
      </c>
      <c r="BO73" s="221" t="s">
        <v>111</v>
      </c>
      <c r="BP73" s="223" t="s">
        <v>4</v>
      </c>
      <c r="BQ73" s="224"/>
      <c r="BR73" s="221" t="s">
        <v>125</v>
      </c>
      <c r="BS73" s="217" t="s">
        <v>67</v>
      </c>
      <c r="BT73" s="219" t="s">
        <v>68</v>
      </c>
      <c r="BU73" s="125"/>
      <c r="BV73" s="35" t="s">
        <v>132</v>
      </c>
      <c r="BW73" s="35" t="s">
        <v>130</v>
      </c>
      <c r="BX73" s="64" t="s">
        <v>162</v>
      </c>
      <c r="BY73" s="221" t="s">
        <v>111</v>
      </c>
      <c r="BZ73" s="223" t="s">
        <v>4</v>
      </c>
      <c r="CA73" s="224"/>
      <c r="CB73" s="221" t="s">
        <v>125</v>
      </c>
      <c r="CC73" s="217" t="s">
        <v>67</v>
      </c>
      <c r="CD73" s="219" t="s">
        <v>68</v>
      </c>
      <c r="CE73" s="125"/>
      <c r="CF73" s="35" t="s">
        <v>132</v>
      </c>
      <c r="CG73" s="35" t="s">
        <v>130</v>
      </c>
      <c r="CH73" s="64" t="s">
        <v>162</v>
      </c>
      <c r="CI73" s="221" t="s">
        <v>111</v>
      </c>
      <c r="CJ73" s="223" t="s">
        <v>4</v>
      </c>
      <c r="CK73" s="224"/>
      <c r="CL73" s="221" t="s">
        <v>125</v>
      </c>
      <c r="CM73" s="217" t="s">
        <v>67</v>
      </c>
      <c r="CN73" s="219" t="s">
        <v>68</v>
      </c>
      <c r="CO73" s="125"/>
      <c r="CP73" s="35" t="s">
        <v>132</v>
      </c>
      <c r="CQ73" s="35" t="s">
        <v>130</v>
      </c>
      <c r="CR73" s="64" t="s">
        <v>162</v>
      </c>
      <c r="CS73" s="221" t="s">
        <v>111</v>
      </c>
      <c r="CT73" s="223" t="s">
        <v>4</v>
      </c>
      <c r="CU73" s="224"/>
      <c r="CV73" s="221" t="s">
        <v>125</v>
      </c>
      <c r="CW73" s="217" t="s">
        <v>67</v>
      </c>
      <c r="CX73" s="219" t="s">
        <v>68</v>
      </c>
      <c r="CY73" s="125"/>
      <c r="CZ73" s="35" t="s">
        <v>132</v>
      </c>
      <c r="DA73" s="35" t="s">
        <v>130</v>
      </c>
      <c r="DB73" s="64" t="s">
        <v>162</v>
      </c>
      <c r="DC73" s="221" t="s">
        <v>111</v>
      </c>
      <c r="DD73" s="223" t="s">
        <v>4</v>
      </c>
      <c r="DE73" s="224"/>
      <c r="DF73" s="221" t="s">
        <v>125</v>
      </c>
      <c r="DG73" s="217" t="s">
        <v>67</v>
      </c>
      <c r="DH73" s="219" t="s">
        <v>68</v>
      </c>
      <c r="DI73" s="125"/>
      <c r="DJ73" s="35" t="s">
        <v>132</v>
      </c>
      <c r="DK73" s="35" t="s">
        <v>130</v>
      </c>
      <c r="DL73" s="64" t="s">
        <v>162</v>
      </c>
      <c r="DM73" s="221" t="s">
        <v>111</v>
      </c>
      <c r="DN73" s="223" t="s">
        <v>4</v>
      </c>
      <c r="DO73" s="224"/>
      <c r="DP73" s="221" t="s">
        <v>125</v>
      </c>
      <c r="DQ73" s="217" t="s">
        <v>67</v>
      </c>
      <c r="DR73" s="219" t="s">
        <v>68</v>
      </c>
      <c r="DS73" s="128"/>
      <c r="DT73" s="35" t="s">
        <v>132</v>
      </c>
      <c r="DU73" s="35" t="s">
        <v>130</v>
      </c>
      <c r="DV73" s="64" t="s">
        <v>162</v>
      </c>
      <c r="DW73" s="221" t="s">
        <v>111</v>
      </c>
      <c r="DX73" s="223" t="s">
        <v>4</v>
      </c>
      <c r="DY73" s="224"/>
      <c r="DZ73" s="221" t="s">
        <v>125</v>
      </c>
    </row>
    <row r="74" spans="1:144" x14ac:dyDescent="0.3">
      <c r="A74" s="218"/>
      <c r="B74" s="220"/>
      <c r="C74" s="126"/>
      <c r="D74" s="35" t="s">
        <v>131</v>
      </c>
      <c r="E74" s="64" t="s">
        <v>133</v>
      </c>
      <c r="F74" s="64" t="s">
        <v>163</v>
      </c>
      <c r="G74" s="222"/>
      <c r="H74" s="41" t="s">
        <v>110</v>
      </c>
      <c r="I74" s="41" t="s">
        <v>110</v>
      </c>
      <c r="J74" s="222"/>
      <c r="K74" s="218"/>
      <c r="L74" s="220"/>
      <c r="M74" s="126"/>
      <c r="N74" s="35" t="s">
        <v>131</v>
      </c>
      <c r="O74" s="64" t="s">
        <v>133</v>
      </c>
      <c r="P74" s="64" t="s">
        <v>163</v>
      </c>
      <c r="Q74" s="222"/>
      <c r="R74" s="41" t="s">
        <v>110</v>
      </c>
      <c r="S74" s="41" t="s">
        <v>110</v>
      </c>
      <c r="T74" s="222"/>
      <c r="U74" s="218"/>
      <c r="V74" s="220"/>
      <c r="W74" s="126"/>
      <c r="X74" s="35" t="s">
        <v>131</v>
      </c>
      <c r="Y74" s="64" t="s">
        <v>133</v>
      </c>
      <c r="Z74" s="64" t="s">
        <v>163</v>
      </c>
      <c r="AA74" s="222"/>
      <c r="AB74" s="41" t="s">
        <v>110</v>
      </c>
      <c r="AC74" s="41" t="s">
        <v>110</v>
      </c>
      <c r="AD74" s="222"/>
      <c r="AE74" s="218"/>
      <c r="AF74" s="220"/>
      <c r="AG74" s="126"/>
      <c r="AH74" s="35" t="s">
        <v>131</v>
      </c>
      <c r="AI74" s="64" t="s">
        <v>133</v>
      </c>
      <c r="AJ74" s="64" t="s">
        <v>163</v>
      </c>
      <c r="AK74" s="222"/>
      <c r="AL74" s="41" t="s">
        <v>110</v>
      </c>
      <c r="AM74" s="41" t="s">
        <v>110</v>
      </c>
      <c r="AN74" s="222"/>
      <c r="AO74" s="218"/>
      <c r="AP74" s="220"/>
      <c r="AQ74" s="126"/>
      <c r="AR74" s="35" t="s">
        <v>131</v>
      </c>
      <c r="AS74" s="64" t="s">
        <v>133</v>
      </c>
      <c r="AT74" s="64" t="s">
        <v>163</v>
      </c>
      <c r="AU74" s="222"/>
      <c r="AV74" s="41" t="s">
        <v>110</v>
      </c>
      <c r="AW74" s="41" t="s">
        <v>110</v>
      </c>
      <c r="AX74" s="222"/>
      <c r="AY74" s="218"/>
      <c r="AZ74" s="220"/>
      <c r="BA74" s="126"/>
      <c r="BB74" s="35" t="s">
        <v>131</v>
      </c>
      <c r="BC74" s="64" t="s">
        <v>133</v>
      </c>
      <c r="BD74" s="64" t="s">
        <v>163</v>
      </c>
      <c r="BE74" s="222"/>
      <c r="BF74" s="41" t="s">
        <v>110</v>
      </c>
      <c r="BG74" s="41" t="s">
        <v>110</v>
      </c>
      <c r="BH74" s="222"/>
      <c r="BI74" s="218"/>
      <c r="BJ74" s="220"/>
      <c r="BK74" s="126"/>
      <c r="BL74" s="35" t="s">
        <v>131</v>
      </c>
      <c r="BM74" s="64" t="s">
        <v>133</v>
      </c>
      <c r="BN74" s="64" t="s">
        <v>163</v>
      </c>
      <c r="BO74" s="222"/>
      <c r="BP74" s="41" t="s">
        <v>110</v>
      </c>
      <c r="BQ74" s="41" t="s">
        <v>110</v>
      </c>
      <c r="BR74" s="222"/>
      <c r="BS74" s="218"/>
      <c r="BT74" s="220"/>
      <c r="BU74" s="126"/>
      <c r="BV74" s="35" t="s">
        <v>131</v>
      </c>
      <c r="BW74" s="64" t="s">
        <v>133</v>
      </c>
      <c r="BX74" s="64" t="s">
        <v>163</v>
      </c>
      <c r="BY74" s="222"/>
      <c r="BZ74" s="41" t="s">
        <v>110</v>
      </c>
      <c r="CA74" s="41" t="s">
        <v>110</v>
      </c>
      <c r="CB74" s="222"/>
      <c r="CC74" s="218"/>
      <c r="CD74" s="220"/>
      <c r="CE74" s="126"/>
      <c r="CF74" s="35" t="s">
        <v>131</v>
      </c>
      <c r="CG74" s="64" t="s">
        <v>133</v>
      </c>
      <c r="CH74" s="64" t="s">
        <v>163</v>
      </c>
      <c r="CI74" s="222"/>
      <c r="CJ74" s="41" t="s">
        <v>110</v>
      </c>
      <c r="CK74" s="41" t="s">
        <v>110</v>
      </c>
      <c r="CL74" s="222"/>
      <c r="CM74" s="218"/>
      <c r="CN74" s="220"/>
      <c r="CO74" s="126"/>
      <c r="CP74" s="35" t="s">
        <v>131</v>
      </c>
      <c r="CQ74" s="64" t="s">
        <v>133</v>
      </c>
      <c r="CR74" s="64" t="s">
        <v>163</v>
      </c>
      <c r="CS74" s="222"/>
      <c r="CT74" s="41" t="s">
        <v>110</v>
      </c>
      <c r="CU74" s="41" t="s">
        <v>110</v>
      </c>
      <c r="CV74" s="222"/>
      <c r="CW74" s="218"/>
      <c r="CX74" s="220"/>
      <c r="CY74" s="126"/>
      <c r="CZ74" s="35" t="s">
        <v>131</v>
      </c>
      <c r="DA74" s="64" t="s">
        <v>133</v>
      </c>
      <c r="DB74" s="64" t="s">
        <v>163</v>
      </c>
      <c r="DC74" s="222"/>
      <c r="DD74" s="41" t="s">
        <v>110</v>
      </c>
      <c r="DE74" s="41" t="s">
        <v>110</v>
      </c>
      <c r="DF74" s="222"/>
      <c r="DG74" s="218"/>
      <c r="DH74" s="220"/>
      <c r="DI74" s="126"/>
      <c r="DJ74" s="35" t="s">
        <v>131</v>
      </c>
      <c r="DK74" s="64" t="s">
        <v>133</v>
      </c>
      <c r="DL74" s="64" t="s">
        <v>163</v>
      </c>
      <c r="DM74" s="222"/>
      <c r="DN74" s="41" t="s">
        <v>110</v>
      </c>
      <c r="DO74" s="41" t="s">
        <v>110</v>
      </c>
      <c r="DP74" s="222"/>
      <c r="DQ74" s="218"/>
      <c r="DR74" s="220"/>
      <c r="DS74" s="128"/>
      <c r="DT74" s="35" t="s">
        <v>131</v>
      </c>
      <c r="DU74" s="64" t="s">
        <v>133</v>
      </c>
      <c r="DV74" s="64" t="s">
        <v>163</v>
      </c>
      <c r="DW74" s="222"/>
      <c r="DX74" s="41" t="s">
        <v>110</v>
      </c>
      <c r="DY74" s="41" t="s">
        <v>110</v>
      </c>
      <c r="DZ74" s="222"/>
    </row>
    <row r="75" spans="1:144" x14ac:dyDescent="0.3">
      <c r="A75" s="1">
        <v>1</v>
      </c>
      <c r="B75" s="2" t="s">
        <v>104</v>
      </c>
      <c r="C75" s="127"/>
      <c r="D75" s="79">
        <v>151164</v>
      </c>
      <c r="E75" s="92">
        <v>63525</v>
      </c>
      <c r="F75" s="79">
        <v>0</v>
      </c>
      <c r="G75" s="79">
        <v>102</v>
      </c>
      <c r="H75" s="79">
        <v>0</v>
      </c>
      <c r="I75" s="79">
        <v>0</v>
      </c>
      <c r="J75" s="85">
        <f>G75/D75</f>
        <v>6.7476383265856947E-4</v>
      </c>
      <c r="K75" s="1">
        <v>1</v>
      </c>
      <c r="L75" s="2" t="s">
        <v>104</v>
      </c>
      <c r="M75" s="127"/>
      <c r="N75" s="79">
        <v>151164</v>
      </c>
      <c r="O75" s="92">
        <v>63525</v>
      </c>
      <c r="P75" s="79"/>
      <c r="Q75" s="79">
        <v>98</v>
      </c>
      <c r="R75" s="79">
        <v>0</v>
      </c>
      <c r="S75" s="79">
        <v>0</v>
      </c>
      <c r="T75" s="85">
        <f>Q75/N75</f>
        <v>6.4830250588764516E-4</v>
      </c>
      <c r="U75" s="1">
        <v>1</v>
      </c>
      <c r="V75" s="2" t="s">
        <v>104</v>
      </c>
      <c r="W75" s="127">
        <v>0</v>
      </c>
      <c r="X75" s="79">
        <v>151164</v>
      </c>
      <c r="Y75" s="92">
        <v>63525</v>
      </c>
      <c r="Z75" s="79">
        <v>0</v>
      </c>
      <c r="AA75" s="79">
        <v>110</v>
      </c>
      <c r="AB75" s="79">
        <v>0</v>
      </c>
      <c r="AC75" s="79">
        <v>30</v>
      </c>
      <c r="AD75" s="85">
        <f>AA75/X75</f>
        <v>7.276864862004181E-4</v>
      </c>
      <c r="AE75" s="1">
        <v>1</v>
      </c>
      <c r="AF75" s="2" t="s">
        <v>104</v>
      </c>
      <c r="AG75" s="127"/>
      <c r="AH75" s="79">
        <v>150262</v>
      </c>
      <c r="AI75" s="92">
        <v>63525</v>
      </c>
      <c r="AJ75" s="79"/>
      <c r="AK75" s="79">
        <v>90</v>
      </c>
      <c r="AL75" s="79">
        <v>0</v>
      </c>
      <c r="AM75" s="79">
        <v>5</v>
      </c>
      <c r="AN75" s="85">
        <f>AK75/AH75</f>
        <v>5.989538273149565E-4</v>
      </c>
      <c r="AO75" s="1">
        <v>1</v>
      </c>
      <c r="AP75" s="2" t="s">
        <v>104</v>
      </c>
      <c r="AQ75" s="127"/>
      <c r="AR75" s="79">
        <v>150262</v>
      </c>
      <c r="AS75" s="92">
        <v>63525</v>
      </c>
      <c r="AT75" s="79">
        <v>0</v>
      </c>
      <c r="AU75" s="79">
        <v>110</v>
      </c>
      <c r="AV75" s="79">
        <v>0</v>
      </c>
      <c r="AW75" s="79">
        <v>0</v>
      </c>
      <c r="AX75" s="85">
        <f>AU75/AR75</f>
        <v>7.3205467782939135E-4</v>
      </c>
      <c r="AY75" s="1">
        <v>1</v>
      </c>
      <c r="AZ75" s="2" t="s">
        <v>104</v>
      </c>
      <c r="BA75" s="127"/>
      <c r="BB75" s="79">
        <v>150262</v>
      </c>
      <c r="BC75" s="92">
        <v>63525</v>
      </c>
      <c r="BD75" s="79">
        <v>0</v>
      </c>
      <c r="BE75" s="40">
        <v>110</v>
      </c>
      <c r="BF75" s="79"/>
      <c r="BG75" s="79">
        <v>30</v>
      </c>
      <c r="BH75" s="85">
        <f>BE75/BB75</f>
        <v>7.3205467782939135E-4</v>
      </c>
      <c r="BI75" s="1">
        <v>1</v>
      </c>
      <c r="BJ75" s="2" t="s">
        <v>104</v>
      </c>
      <c r="BK75" s="127"/>
      <c r="BL75" s="79">
        <v>150262</v>
      </c>
      <c r="BM75" s="92">
        <v>63525</v>
      </c>
      <c r="BN75" s="79"/>
      <c r="BO75" s="79">
        <v>35.520000000000003</v>
      </c>
      <c r="BP75" s="79"/>
      <c r="BQ75" s="79">
        <v>138</v>
      </c>
      <c r="BR75" s="79">
        <f t="shared" ref="BR75:BR83" si="65">BO75/BM75</f>
        <v>5.5914994096812286E-4</v>
      </c>
      <c r="BS75" s="1">
        <v>1</v>
      </c>
      <c r="BT75" s="2" t="s">
        <v>104</v>
      </c>
      <c r="BU75" s="127"/>
      <c r="BV75" s="79">
        <v>150262</v>
      </c>
      <c r="BW75" s="92">
        <v>63525</v>
      </c>
      <c r="BX75" s="79"/>
      <c r="BY75" s="40">
        <v>35.28</v>
      </c>
      <c r="BZ75" s="79"/>
      <c r="CA75" s="79">
        <v>0</v>
      </c>
      <c r="CB75" s="79">
        <f t="shared" ref="CB75:CB83" si="66">BY75/BW75</f>
        <v>5.5537190082644635E-4</v>
      </c>
      <c r="CC75" s="1">
        <v>1</v>
      </c>
      <c r="CD75" s="2" t="s">
        <v>104</v>
      </c>
      <c r="CE75" s="127"/>
      <c r="CF75" s="79">
        <v>150262</v>
      </c>
      <c r="CG75" s="92">
        <v>150262</v>
      </c>
      <c r="CH75" s="79"/>
      <c r="CI75" s="79">
        <v>34.32</v>
      </c>
      <c r="CJ75" s="79"/>
      <c r="CK75" s="79">
        <v>0</v>
      </c>
      <c r="CL75" s="79">
        <f t="shared" ref="CL75:CL83" si="67">CI75/CG75</f>
        <v>2.2840105948277009E-4</v>
      </c>
      <c r="CM75" s="1">
        <v>1</v>
      </c>
      <c r="CN75" s="2" t="s">
        <v>104</v>
      </c>
      <c r="CO75" s="127"/>
      <c r="CP75" s="79">
        <v>151720</v>
      </c>
      <c r="CQ75" s="92">
        <v>150262</v>
      </c>
      <c r="CR75" s="79"/>
      <c r="CS75" s="79">
        <v>36.200000000000003</v>
      </c>
      <c r="CT75" s="79"/>
      <c r="CU75" s="79">
        <v>65</v>
      </c>
      <c r="CV75" s="85">
        <f>CS75/CP75</f>
        <v>2.3859741629317165E-4</v>
      </c>
      <c r="CW75" s="1">
        <v>1</v>
      </c>
      <c r="CX75" s="2" t="s">
        <v>104</v>
      </c>
      <c r="CY75" s="127"/>
      <c r="CZ75" s="79">
        <v>151720</v>
      </c>
      <c r="DA75" s="92">
        <v>150262</v>
      </c>
      <c r="DB75" s="79"/>
      <c r="DC75" s="40">
        <v>36.200000000000003</v>
      </c>
      <c r="DD75" s="79"/>
      <c r="DE75" s="79">
        <v>39</v>
      </c>
      <c r="DF75" s="79">
        <f t="shared" ref="DF75:DF83" si="68">DC75/DA75</f>
        <v>2.4091253943112699E-4</v>
      </c>
      <c r="DG75" s="1">
        <v>1</v>
      </c>
      <c r="DH75" s="2" t="s">
        <v>104</v>
      </c>
      <c r="DI75" s="127"/>
      <c r="DJ75" s="79">
        <v>151720</v>
      </c>
      <c r="DK75" s="92">
        <v>150262</v>
      </c>
      <c r="DL75" s="79"/>
      <c r="DM75" s="40">
        <v>36.200000000000003</v>
      </c>
      <c r="DN75" s="79"/>
      <c r="DO75" s="79">
        <v>58</v>
      </c>
      <c r="DP75" s="79">
        <f t="shared" ref="DP75:DP83" si="69">DM75/DK75</f>
        <v>2.4091253943112699E-4</v>
      </c>
      <c r="DQ75" s="1">
        <v>1</v>
      </c>
      <c r="DR75" s="2" t="s">
        <v>104</v>
      </c>
      <c r="DS75" s="122">
        <f t="shared" si="53"/>
        <v>0</v>
      </c>
      <c r="DT75" s="149">
        <f>SUM(D75+N75+X75+AH75+AR75+BB75+BL75+BV75+CF75+CP75+CZ75+DJ75)/12</f>
        <v>150852</v>
      </c>
      <c r="DU75" s="149">
        <f>SUM(E75+O75+Y75+AI75+AS75+BC75+BM75+BW75+CG75+CQ75+DA75+DK75)/12</f>
        <v>92437.333333333328</v>
      </c>
      <c r="DV75" s="79">
        <f>DL75</f>
        <v>0</v>
      </c>
      <c r="DW75" s="79">
        <f t="shared" ref="DW75:DW83" si="70">SUM(G75+Q75+AA75+AK75+AU75+BE75+BO75+BY75+CI75+CS75+DC75+DM75)</f>
        <v>833.72000000000014</v>
      </c>
      <c r="DX75" s="79">
        <v>0</v>
      </c>
      <c r="DY75" s="79">
        <v>0</v>
      </c>
      <c r="DZ75" s="85">
        <f>DW75/DT75</f>
        <v>5.5267414419430975E-3</v>
      </c>
    </row>
    <row r="76" spans="1:144" x14ac:dyDescent="0.3">
      <c r="A76" s="1">
        <v>2</v>
      </c>
      <c r="B76" s="2" t="s">
        <v>105</v>
      </c>
      <c r="C76" s="127"/>
      <c r="D76" s="79">
        <v>16973</v>
      </c>
      <c r="E76" s="92">
        <v>2280</v>
      </c>
      <c r="F76" s="79">
        <v>0</v>
      </c>
      <c r="G76" s="79">
        <v>3002</v>
      </c>
      <c r="H76" s="79">
        <v>0</v>
      </c>
      <c r="I76" s="79">
        <v>16</v>
      </c>
      <c r="J76" s="85">
        <f t="shared" ref="J76:J83" si="71">G76/D76</f>
        <v>0.17686914511282625</v>
      </c>
      <c r="K76" s="1">
        <v>2</v>
      </c>
      <c r="L76" s="2" t="s">
        <v>105</v>
      </c>
      <c r="M76" s="127"/>
      <c r="N76" s="79">
        <v>16973</v>
      </c>
      <c r="O76" s="92">
        <v>2280</v>
      </c>
      <c r="P76" s="79"/>
      <c r="Q76" s="79">
        <v>3290</v>
      </c>
      <c r="R76" s="79">
        <v>0</v>
      </c>
      <c r="S76" s="79">
        <v>16</v>
      </c>
      <c r="T76" s="85">
        <f t="shared" ref="T76:T83" si="72">Q76/N76</f>
        <v>0.19383727095975961</v>
      </c>
      <c r="U76" s="1">
        <v>2</v>
      </c>
      <c r="V76" s="2" t="s">
        <v>105</v>
      </c>
      <c r="W76" s="127">
        <v>0</v>
      </c>
      <c r="X76" s="79">
        <v>16973</v>
      </c>
      <c r="Y76" s="92">
        <v>2280</v>
      </c>
      <c r="Z76" s="79">
        <v>0</v>
      </c>
      <c r="AA76" s="79">
        <v>3180</v>
      </c>
      <c r="AB76" s="79">
        <v>0</v>
      </c>
      <c r="AC76" s="79">
        <v>12</v>
      </c>
      <c r="AD76" s="85">
        <f>AA76/X76</f>
        <v>0.18735638955988923</v>
      </c>
      <c r="AE76" s="1">
        <v>2</v>
      </c>
      <c r="AF76" s="2" t="s">
        <v>105</v>
      </c>
      <c r="AG76" s="127"/>
      <c r="AH76" s="79">
        <v>17303</v>
      </c>
      <c r="AI76" s="92">
        <v>2280</v>
      </c>
      <c r="AJ76" s="79"/>
      <c r="AK76" s="79">
        <v>2960</v>
      </c>
      <c r="AL76" s="79">
        <v>0</v>
      </c>
      <c r="AM76" s="79">
        <v>0</v>
      </c>
      <c r="AN76" s="85">
        <f>AK76/AH76</f>
        <v>0.17106860082066694</v>
      </c>
      <c r="AO76" s="1">
        <v>2</v>
      </c>
      <c r="AP76" s="2" t="s">
        <v>105</v>
      </c>
      <c r="AQ76" s="127"/>
      <c r="AR76" s="79">
        <v>17303</v>
      </c>
      <c r="AS76" s="92">
        <v>2280</v>
      </c>
      <c r="AT76" s="79">
        <v>0</v>
      </c>
      <c r="AU76" s="79">
        <v>3180</v>
      </c>
      <c r="AV76" s="79">
        <v>0</v>
      </c>
      <c r="AW76" s="79">
        <v>8</v>
      </c>
      <c r="AX76" s="85">
        <f>AU76/AR76</f>
        <v>0.18378315898977057</v>
      </c>
      <c r="AY76" s="1">
        <v>2</v>
      </c>
      <c r="AZ76" s="2" t="s">
        <v>105</v>
      </c>
      <c r="BA76" s="127"/>
      <c r="BB76" s="79">
        <v>17303</v>
      </c>
      <c r="BC76" s="92">
        <v>2280</v>
      </c>
      <c r="BD76" s="79">
        <v>0</v>
      </c>
      <c r="BE76" s="40">
        <v>3155.4</v>
      </c>
      <c r="BF76" s="79"/>
      <c r="BG76" s="79">
        <v>120</v>
      </c>
      <c r="BH76" s="85">
        <f>BE76/BB76</f>
        <v>0.18236144021267989</v>
      </c>
      <c r="BI76" s="1">
        <v>2</v>
      </c>
      <c r="BJ76" s="2" t="s">
        <v>105</v>
      </c>
      <c r="BK76" s="127"/>
      <c r="BL76" s="79">
        <v>21809</v>
      </c>
      <c r="BM76" s="92">
        <v>2280</v>
      </c>
      <c r="BN76" s="79"/>
      <c r="BO76" s="79">
        <v>3977.1466703666665</v>
      </c>
      <c r="BP76" s="79"/>
      <c r="BQ76" s="79">
        <v>0</v>
      </c>
      <c r="BR76" s="79">
        <f t="shared" si="65"/>
        <v>1.7443625747222222</v>
      </c>
      <c r="BS76" s="1">
        <v>2</v>
      </c>
      <c r="BT76" s="2" t="s">
        <v>105</v>
      </c>
      <c r="BU76" s="127"/>
      <c r="BV76" s="79">
        <v>21809</v>
      </c>
      <c r="BW76" s="92">
        <v>2280</v>
      </c>
      <c r="BX76" s="79"/>
      <c r="BY76" s="40">
        <v>3977.1466703666665</v>
      </c>
      <c r="BZ76" s="79"/>
      <c r="CA76" s="79">
        <v>4</v>
      </c>
      <c r="CB76" s="79">
        <f t="shared" si="66"/>
        <v>1.7443625747222222</v>
      </c>
      <c r="CC76" s="1">
        <v>2</v>
      </c>
      <c r="CD76" s="2" t="s">
        <v>105</v>
      </c>
      <c r="CE76" s="127"/>
      <c r="CF76" s="79">
        <v>21809</v>
      </c>
      <c r="CG76" s="92">
        <v>2280</v>
      </c>
      <c r="CH76" s="79"/>
      <c r="CI76" s="79">
        <v>3977.1466703666665</v>
      </c>
      <c r="CJ76" s="79"/>
      <c r="CK76" s="79">
        <v>0</v>
      </c>
      <c r="CL76" s="79">
        <f t="shared" si="67"/>
        <v>1.7443625747222222</v>
      </c>
      <c r="CM76" s="1">
        <v>2</v>
      </c>
      <c r="CN76" s="2" t="s">
        <v>105</v>
      </c>
      <c r="CO76" s="127"/>
      <c r="CP76" s="79">
        <v>19260</v>
      </c>
      <c r="CQ76" s="92">
        <v>2280</v>
      </c>
      <c r="CR76" s="79"/>
      <c r="CS76" s="79">
        <v>3977.1466703666665</v>
      </c>
      <c r="CT76" s="79"/>
      <c r="CU76" s="79">
        <v>0</v>
      </c>
      <c r="CV76" s="85">
        <f>CS76/CP76</f>
        <v>0.20649775027864312</v>
      </c>
      <c r="CW76" s="1">
        <v>2</v>
      </c>
      <c r="CX76" s="2" t="s">
        <v>105</v>
      </c>
      <c r="CY76" s="127"/>
      <c r="CZ76" s="79">
        <v>19260</v>
      </c>
      <c r="DA76" s="92">
        <v>2280</v>
      </c>
      <c r="DB76" s="79"/>
      <c r="DC76" s="40">
        <v>3977.1466703666665</v>
      </c>
      <c r="DD76" s="79"/>
      <c r="DE76" s="79" t="s">
        <v>250</v>
      </c>
      <c r="DF76" s="79">
        <f t="shared" si="68"/>
        <v>1.7443625747222222</v>
      </c>
      <c r="DG76" s="1">
        <v>2</v>
      </c>
      <c r="DH76" s="2" t="s">
        <v>105</v>
      </c>
      <c r="DI76" s="127"/>
      <c r="DJ76" s="79">
        <v>19260</v>
      </c>
      <c r="DK76" s="92">
        <v>2280</v>
      </c>
      <c r="DL76" s="79"/>
      <c r="DM76" s="40">
        <v>3977.1466703666665</v>
      </c>
      <c r="DN76" s="79"/>
      <c r="DO76" s="79">
        <v>26</v>
      </c>
      <c r="DP76" s="79">
        <f t="shared" si="69"/>
        <v>1.7443625747222222</v>
      </c>
      <c r="DQ76" s="1">
        <v>2</v>
      </c>
      <c r="DR76" s="2" t="s">
        <v>105</v>
      </c>
      <c r="DS76" s="122">
        <f t="shared" si="53"/>
        <v>0</v>
      </c>
      <c r="DT76" s="149">
        <f t="shared" ref="DT76:DT83" si="73">SUM(D76+N76+X76+AH76+AR76+BB76+BL76+BV76+CF76+CP76+CZ76+DJ76)/12</f>
        <v>18836.25</v>
      </c>
      <c r="DU76" s="149">
        <f t="shared" ref="DU76:DU83" si="74">SUM(E76+O76+Y76+AI76+AS76+BC76+BM76+BW76+CG76+CQ76+DA76+DK76)/12</f>
        <v>2280</v>
      </c>
      <c r="DV76" s="79">
        <f t="shared" ref="DV76:DV83" si="75">DL76</f>
        <v>0</v>
      </c>
      <c r="DW76" s="79">
        <f t="shared" si="70"/>
        <v>42630.280022200001</v>
      </c>
      <c r="DX76" s="79">
        <v>0</v>
      </c>
      <c r="DY76" s="79">
        <v>0</v>
      </c>
      <c r="DZ76" s="85">
        <f>DW76/DT76</f>
        <v>2.2632041952193243</v>
      </c>
    </row>
    <row r="77" spans="1:144" x14ac:dyDescent="0.3">
      <c r="A77" s="1">
        <v>3</v>
      </c>
      <c r="B77" s="2" t="s">
        <v>106</v>
      </c>
      <c r="C77" s="127"/>
      <c r="D77" s="79">
        <v>154200</v>
      </c>
      <c r="E77" s="92">
        <v>53030</v>
      </c>
      <c r="F77" s="79">
        <v>0</v>
      </c>
      <c r="G77" s="79">
        <v>2.25</v>
      </c>
      <c r="H77" s="79">
        <v>0</v>
      </c>
      <c r="I77" s="79">
        <v>0</v>
      </c>
      <c r="J77" s="85">
        <f t="shared" si="71"/>
        <v>1.4591439688715953E-5</v>
      </c>
      <c r="K77" s="1">
        <v>3</v>
      </c>
      <c r="L77" s="2" t="s">
        <v>106</v>
      </c>
      <c r="M77" s="127"/>
      <c r="N77" s="79">
        <v>154200</v>
      </c>
      <c r="O77" s="92">
        <v>53030</v>
      </c>
      <c r="P77" s="79"/>
      <c r="Q77" s="79">
        <v>2.25</v>
      </c>
      <c r="R77" s="79">
        <v>0</v>
      </c>
      <c r="S77" s="79">
        <v>7</v>
      </c>
      <c r="T77" s="85">
        <f t="shared" si="72"/>
        <v>1.4591439688715953E-5</v>
      </c>
      <c r="U77" s="1">
        <v>3</v>
      </c>
      <c r="V77" s="2" t="s">
        <v>106</v>
      </c>
      <c r="W77" s="127">
        <v>0</v>
      </c>
      <c r="X77" s="79">
        <v>154200</v>
      </c>
      <c r="Y77" s="92">
        <v>53030</v>
      </c>
      <c r="Z77" s="79">
        <v>0</v>
      </c>
      <c r="AA77" s="79">
        <v>2.1</v>
      </c>
      <c r="AB77" s="79">
        <v>0</v>
      </c>
      <c r="AC77" s="79">
        <v>0</v>
      </c>
      <c r="AD77" s="85">
        <f t="shared" ref="AD77:AD83" si="76">AA77/X77</f>
        <v>1.3618677042801557E-5</v>
      </c>
      <c r="AE77" s="1">
        <v>3</v>
      </c>
      <c r="AF77" s="2" t="s">
        <v>106</v>
      </c>
      <c r="AG77" s="127"/>
      <c r="AH77" s="79">
        <v>147489</v>
      </c>
      <c r="AI77" s="92">
        <v>53030</v>
      </c>
      <c r="AJ77" s="79"/>
      <c r="AK77" s="79">
        <v>2.1</v>
      </c>
      <c r="AL77" s="79">
        <v>0</v>
      </c>
      <c r="AM77" s="79">
        <v>0</v>
      </c>
      <c r="AN77" s="85">
        <f t="shared" ref="AN77:AN83" si="77">AK77/AH77</f>
        <v>1.4238349978642475E-5</v>
      </c>
      <c r="AO77" s="1">
        <v>3</v>
      </c>
      <c r="AP77" s="2" t="s">
        <v>106</v>
      </c>
      <c r="AQ77" s="127"/>
      <c r="AR77" s="79">
        <v>147489</v>
      </c>
      <c r="AS77" s="92">
        <v>53030</v>
      </c>
      <c r="AT77" s="79">
        <v>0</v>
      </c>
      <c r="AU77" s="79">
        <v>2.1</v>
      </c>
      <c r="AV77" s="79">
        <v>0</v>
      </c>
      <c r="AW77" s="79">
        <v>0</v>
      </c>
      <c r="AX77" s="85">
        <f t="shared" ref="AX77:AX83" si="78">AU77/AR77</f>
        <v>1.4238349978642475E-5</v>
      </c>
      <c r="AY77" s="1">
        <v>3</v>
      </c>
      <c r="AZ77" s="2" t="s">
        <v>106</v>
      </c>
      <c r="BA77" s="127"/>
      <c r="BB77" s="79">
        <v>147489</v>
      </c>
      <c r="BC77" s="92">
        <v>53030</v>
      </c>
      <c r="BD77" s="79">
        <v>0</v>
      </c>
      <c r="BE77" s="40">
        <v>2.1</v>
      </c>
      <c r="BF77" s="79"/>
      <c r="BG77" s="79">
        <v>0</v>
      </c>
      <c r="BH77" s="85">
        <f t="shared" ref="BH77:BH83" si="79">BE77/BB77</f>
        <v>1.4238349978642475E-5</v>
      </c>
      <c r="BI77" s="1">
        <v>3</v>
      </c>
      <c r="BJ77" s="2" t="s">
        <v>106</v>
      </c>
      <c r="BK77" s="127"/>
      <c r="BL77" s="79">
        <v>147489</v>
      </c>
      <c r="BM77" s="92">
        <v>53030</v>
      </c>
      <c r="BN77" s="79"/>
      <c r="BO77" s="79">
        <v>81.544700000000006</v>
      </c>
      <c r="BP77" s="79"/>
      <c r="BQ77" s="79">
        <v>218</v>
      </c>
      <c r="BR77" s="79">
        <f t="shared" si="65"/>
        <v>1.5377088440505376E-3</v>
      </c>
      <c r="BS77" s="1">
        <v>3</v>
      </c>
      <c r="BT77" s="2" t="s">
        <v>106</v>
      </c>
      <c r="BU77" s="127"/>
      <c r="BV77" s="79">
        <v>147489</v>
      </c>
      <c r="BW77" s="92">
        <v>53030</v>
      </c>
      <c r="BX77" s="79"/>
      <c r="BY77" s="40">
        <v>81.544700000000006</v>
      </c>
      <c r="BZ77" s="79"/>
      <c r="CA77" s="79">
        <v>2.8</v>
      </c>
      <c r="CB77" s="79">
        <f t="shared" si="66"/>
        <v>1.5377088440505376E-3</v>
      </c>
      <c r="CC77" s="1">
        <v>3</v>
      </c>
      <c r="CD77" s="2" t="s">
        <v>106</v>
      </c>
      <c r="CE77" s="127"/>
      <c r="CF77" s="79">
        <v>147489</v>
      </c>
      <c r="CG77" s="92">
        <v>53030</v>
      </c>
      <c r="CH77" s="79"/>
      <c r="CI77" s="79">
        <v>81.544700000000006</v>
      </c>
      <c r="CJ77" s="79"/>
      <c r="CK77" s="79">
        <v>0</v>
      </c>
      <c r="CL77" s="79">
        <f t="shared" si="67"/>
        <v>1.5377088440505376E-3</v>
      </c>
      <c r="CM77" s="1">
        <v>3</v>
      </c>
      <c r="CN77" s="2" t="s">
        <v>106</v>
      </c>
      <c r="CO77" s="127"/>
      <c r="CP77" s="79">
        <v>153800</v>
      </c>
      <c r="CQ77" s="92">
        <v>53030</v>
      </c>
      <c r="CR77" s="79"/>
      <c r="CS77" s="79">
        <v>81.544700000000006</v>
      </c>
      <c r="CT77" s="79"/>
      <c r="CU77" s="79">
        <v>167</v>
      </c>
      <c r="CV77" s="85">
        <f t="shared" ref="CV77:CV83" si="80">CS77/CP77</f>
        <v>5.3019960988296496E-4</v>
      </c>
      <c r="CW77" s="1">
        <v>3</v>
      </c>
      <c r="CX77" s="2" t="s">
        <v>106</v>
      </c>
      <c r="CY77" s="127"/>
      <c r="CZ77" s="79">
        <v>153800</v>
      </c>
      <c r="DA77" s="92">
        <v>53030</v>
      </c>
      <c r="DB77" s="79"/>
      <c r="DC77" s="40">
        <v>81.544700000000006</v>
      </c>
      <c r="DD77" s="79"/>
      <c r="DE77" s="79">
        <v>25</v>
      </c>
      <c r="DF77" s="79">
        <f t="shared" si="68"/>
        <v>1.5377088440505376E-3</v>
      </c>
      <c r="DG77" s="1">
        <v>3</v>
      </c>
      <c r="DH77" s="2" t="s">
        <v>106</v>
      </c>
      <c r="DI77" s="127"/>
      <c r="DJ77" s="79">
        <v>153800</v>
      </c>
      <c r="DK77" s="92">
        <v>53030</v>
      </c>
      <c r="DL77" s="79"/>
      <c r="DM77" s="40">
        <v>81.544700000000006</v>
      </c>
      <c r="DN77" s="79"/>
      <c r="DO77" s="79">
        <v>60</v>
      </c>
      <c r="DP77" s="79">
        <f t="shared" si="69"/>
        <v>1.5377088440505376E-3</v>
      </c>
      <c r="DQ77" s="1">
        <v>3</v>
      </c>
      <c r="DR77" s="2" t="s">
        <v>106</v>
      </c>
      <c r="DS77" s="122">
        <f t="shared" si="53"/>
        <v>0</v>
      </c>
      <c r="DT77" s="149">
        <f t="shared" si="73"/>
        <v>150744.5</v>
      </c>
      <c r="DU77" s="149">
        <f t="shared" si="74"/>
        <v>53030</v>
      </c>
      <c r="DV77" s="79">
        <f t="shared" si="75"/>
        <v>0</v>
      </c>
      <c r="DW77" s="79">
        <f t="shared" si="70"/>
        <v>502.16820000000007</v>
      </c>
      <c r="DX77" s="79">
        <v>0</v>
      </c>
      <c r="DY77" s="79">
        <v>0</v>
      </c>
      <c r="DZ77" s="85">
        <f t="shared" ref="DZ77:DZ83" si="81">DW77/DT77</f>
        <v>3.3312538765925132E-3</v>
      </c>
    </row>
    <row r="78" spans="1:144" s="30" customFormat="1" x14ac:dyDescent="0.3">
      <c r="A78" s="1">
        <v>4</v>
      </c>
      <c r="B78" s="2" t="s">
        <v>107</v>
      </c>
      <c r="C78" s="127"/>
      <c r="D78" s="79">
        <v>7150</v>
      </c>
      <c r="E78" s="92">
        <v>204</v>
      </c>
      <c r="F78" s="79">
        <v>0</v>
      </c>
      <c r="G78" s="79">
        <v>0</v>
      </c>
      <c r="H78" s="79">
        <v>0</v>
      </c>
      <c r="I78" s="79">
        <v>0</v>
      </c>
      <c r="J78" s="85">
        <f t="shared" si="71"/>
        <v>0</v>
      </c>
      <c r="K78" s="1">
        <v>4</v>
      </c>
      <c r="L78" s="2" t="s">
        <v>107</v>
      </c>
      <c r="M78" s="127"/>
      <c r="N78" s="79">
        <v>7150</v>
      </c>
      <c r="O78" s="92">
        <v>204</v>
      </c>
      <c r="P78" s="79"/>
      <c r="Q78" s="79">
        <v>0</v>
      </c>
      <c r="R78" s="79">
        <v>0</v>
      </c>
      <c r="S78" s="79">
        <v>0</v>
      </c>
      <c r="T78" s="85">
        <f t="shared" si="72"/>
        <v>0</v>
      </c>
      <c r="U78" s="1">
        <v>4</v>
      </c>
      <c r="V78" s="2" t="s">
        <v>107</v>
      </c>
      <c r="W78" s="127">
        <v>0</v>
      </c>
      <c r="X78" s="79">
        <v>7150</v>
      </c>
      <c r="Y78" s="92">
        <v>204</v>
      </c>
      <c r="Z78" s="79">
        <v>0</v>
      </c>
      <c r="AA78" s="79">
        <v>0</v>
      </c>
      <c r="AB78" s="79">
        <v>0</v>
      </c>
      <c r="AC78" s="79">
        <v>0</v>
      </c>
      <c r="AD78" s="85">
        <f t="shared" si="76"/>
        <v>0</v>
      </c>
      <c r="AE78" s="1">
        <v>4</v>
      </c>
      <c r="AF78" s="2" t="s">
        <v>107</v>
      </c>
      <c r="AG78" s="127"/>
      <c r="AH78" s="79">
        <v>6622</v>
      </c>
      <c r="AI78" s="92">
        <v>204</v>
      </c>
      <c r="AJ78" s="79"/>
      <c r="AK78" s="79">
        <v>0</v>
      </c>
      <c r="AL78" s="79"/>
      <c r="AM78" s="79">
        <v>0</v>
      </c>
      <c r="AN78" s="85">
        <f t="shared" si="77"/>
        <v>0</v>
      </c>
      <c r="AO78" s="1">
        <v>4</v>
      </c>
      <c r="AP78" s="2" t="s">
        <v>107</v>
      </c>
      <c r="AQ78" s="127"/>
      <c r="AR78" s="79">
        <v>6622</v>
      </c>
      <c r="AS78" s="92">
        <v>204</v>
      </c>
      <c r="AT78" s="79">
        <v>0</v>
      </c>
      <c r="AU78" s="79">
        <v>0</v>
      </c>
      <c r="AV78" s="79">
        <v>0</v>
      </c>
      <c r="AW78" s="79">
        <v>0</v>
      </c>
      <c r="AX78" s="85">
        <f t="shared" si="78"/>
        <v>0</v>
      </c>
      <c r="AY78" s="1">
        <v>4</v>
      </c>
      <c r="AZ78" s="2" t="s">
        <v>107</v>
      </c>
      <c r="BA78" s="127"/>
      <c r="BB78" s="79">
        <v>6622</v>
      </c>
      <c r="BC78" s="92">
        <v>204</v>
      </c>
      <c r="BD78" s="79">
        <v>0</v>
      </c>
      <c r="BE78" s="40">
        <v>0</v>
      </c>
      <c r="BF78" s="79"/>
      <c r="BG78" s="79">
        <v>0</v>
      </c>
      <c r="BH78" s="85">
        <f t="shared" si="79"/>
        <v>0</v>
      </c>
      <c r="BI78" s="1">
        <v>4</v>
      </c>
      <c r="BJ78" s="2" t="s">
        <v>107</v>
      </c>
      <c r="BK78" s="127"/>
      <c r="BL78" s="79">
        <v>6622</v>
      </c>
      <c r="BM78" s="92">
        <v>204</v>
      </c>
      <c r="BN78" s="79"/>
      <c r="BO78" s="79">
        <v>8.3000000000000004E-2</v>
      </c>
      <c r="BP78" s="79"/>
      <c r="BQ78" s="79">
        <v>2.8</v>
      </c>
      <c r="BR78" s="79">
        <f t="shared" si="65"/>
        <v>4.0686274509803923E-4</v>
      </c>
      <c r="BS78" s="1">
        <v>4</v>
      </c>
      <c r="BT78" s="2" t="s">
        <v>107</v>
      </c>
      <c r="BU78" s="127"/>
      <c r="BV78" s="79">
        <v>6622</v>
      </c>
      <c r="BW78" s="92">
        <v>204</v>
      </c>
      <c r="BX78" s="79"/>
      <c r="BY78" s="40">
        <v>8.3000000000000004E-2</v>
      </c>
      <c r="BZ78" s="79"/>
      <c r="CA78" s="79">
        <v>0</v>
      </c>
      <c r="CB78" s="79">
        <f t="shared" si="66"/>
        <v>4.0686274509803923E-4</v>
      </c>
      <c r="CC78" s="1">
        <v>4</v>
      </c>
      <c r="CD78" s="2" t="s">
        <v>107</v>
      </c>
      <c r="CE78" s="127"/>
      <c r="CF78" s="79">
        <v>6622</v>
      </c>
      <c r="CG78" s="92">
        <v>204</v>
      </c>
      <c r="CH78" s="79"/>
      <c r="CI78" s="79">
        <v>8.3000000000000004E-2</v>
      </c>
      <c r="CJ78" s="79"/>
      <c r="CK78" s="79">
        <v>0</v>
      </c>
      <c r="CL78" s="79">
        <f t="shared" si="67"/>
        <v>4.0686274509803923E-4</v>
      </c>
      <c r="CM78" s="1">
        <v>4</v>
      </c>
      <c r="CN78" s="2" t="s">
        <v>107</v>
      </c>
      <c r="CO78" s="127"/>
      <c r="CP78" s="79">
        <v>8610</v>
      </c>
      <c r="CQ78" s="92">
        <v>204</v>
      </c>
      <c r="CR78" s="79"/>
      <c r="CS78" s="79">
        <v>8.3000000000000004E-2</v>
      </c>
      <c r="CT78" s="79"/>
      <c r="CU78" s="79">
        <v>0</v>
      </c>
      <c r="CV78" s="85">
        <f t="shared" si="80"/>
        <v>9.6399535423925679E-6</v>
      </c>
      <c r="CW78" s="1">
        <v>4</v>
      </c>
      <c r="CX78" s="2" t="s">
        <v>107</v>
      </c>
      <c r="CY78" s="127"/>
      <c r="CZ78" s="79">
        <v>8610</v>
      </c>
      <c r="DA78" s="92">
        <v>204</v>
      </c>
      <c r="DB78" s="79"/>
      <c r="DC78" s="40">
        <v>8.3000000000000004E-2</v>
      </c>
      <c r="DD78" s="79"/>
      <c r="DE78" s="79" t="s">
        <v>250</v>
      </c>
      <c r="DF78" s="79">
        <f t="shared" si="68"/>
        <v>4.0686274509803923E-4</v>
      </c>
      <c r="DG78" s="1">
        <v>4</v>
      </c>
      <c r="DH78" s="2" t="s">
        <v>107</v>
      </c>
      <c r="DI78" s="127"/>
      <c r="DJ78" s="79">
        <v>8610</v>
      </c>
      <c r="DK78" s="92">
        <v>204</v>
      </c>
      <c r="DL78" s="79"/>
      <c r="DM78" s="40">
        <v>8.3000000000000004E-2</v>
      </c>
      <c r="DN78" s="79"/>
      <c r="DO78" s="79">
        <v>0</v>
      </c>
      <c r="DP78" s="79">
        <f t="shared" si="69"/>
        <v>4.0686274509803923E-4</v>
      </c>
      <c r="DQ78" s="1">
        <v>4</v>
      </c>
      <c r="DR78" s="2" t="s">
        <v>107</v>
      </c>
      <c r="DS78" s="122">
        <f t="shared" si="53"/>
        <v>0</v>
      </c>
      <c r="DT78" s="149">
        <f t="shared" si="73"/>
        <v>7251</v>
      </c>
      <c r="DU78" s="149">
        <f t="shared" si="74"/>
        <v>204</v>
      </c>
      <c r="DV78" s="79">
        <f t="shared" si="75"/>
        <v>0</v>
      </c>
      <c r="DW78" s="79">
        <f t="shared" si="70"/>
        <v>0.49800000000000005</v>
      </c>
      <c r="DX78" s="79">
        <v>0</v>
      </c>
      <c r="DY78" s="79">
        <v>0</v>
      </c>
      <c r="DZ78" s="85">
        <f t="shared" si="81"/>
        <v>6.8680182043856023E-5</v>
      </c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</row>
    <row r="79" spans="1:144" s="30" customFormat="1" x14ac:dyDescent="0.3">
      <c r="A79" s="1">
        <v>5</v>
      </c>
      <c r="B79" s="2" t="s">
        <v>108</v>
      </c>
      <c r="C79" s="127"/>
      <c r="D79" s="79">
        <v>9386</v>
      </c>
      <c r="E79" s="92">
        <v>87</v>
      </c>
      <c r="F79" s="79">
        <v>0</v>
      </c>
      <c r="G79" s="79">
        <v>0</v>
      </c>
      <c r="H79" s="79">
        <v>0</v>
      </c>
      <c r="I79" s="79">
        <v>460</v>
      </c>
      <c r="J79" s="85">
        <f t="shared" si="71"/>
        <v>0</v>
      </c>
      <c r="K79" s="1">
        <v>5</v>
      </c>
      <c r="L79" s="2" t="s">
        <v>108</v>
      </c>
      <c r="M79" s="127"/>
      <c r="N79" s="79">
        <v>9386</v>
      </c>
      <c r="O79" s="92">
        <v>87</v>
      </c>
      <c r="P79" s="79"/>
      <c r="Q79" s="79">
        <v>0</v>
      </c>
      <c r="R79" s="79">
        <v>0</v>
      </c>
      <c r="S79" s="79">
        <v>0</v>
      </c>
      <c r="T79" s="85">
        <f t="shared" si="72"/>
        <v>0</v>
      </c>
      <c r="U79" s="1">
        <v>5</v>
      </c>
      <c r="V79" s="2" t="s">
        <v>108</v>
      </c>
      <c r="W79" s="127">
        <v>0</v>
      </c>
      <c r="X79" s="79">
        <v>9386</v>
      </c>
      <c r="Y79" s="92">
        <v>87</v>
      </c>
      <c r="Z79" s="79">
        <v>0</v>
      </c>
      <c r="AA79" s="79">
        <v>0</v>
      </c>
      <c r="AB79" s="79">
        <v>0</v>
      </c>
      <c r="AC79" s="79">
        <v>200</v>
      </c>
      <c r="AD79" s="85">
        <f t="shared" si="76"/>
        <v>0</v>
      </c>
      <c r="AE79" s="1">
        <v>5</v>
      </c>
      <c r="AF79" s="2" t="s">
        <v>108</v>
      </c>
      <c r="AG79" s="127"/>
      <c r="AH79" s="79">
        <v>98610</v>
      </c>
      <c r="AI79" s="92">
        <v>87</v>
      </c>
      <c r="AJ79" s="79"/>
      <c r="AK79" s="79">
        <v>0</v>
      </c>
      <c r="AL79" s="79">
        <v>0</v>
      </c>
      <c r="AM79" s="79">
        <v>195</v>
      </c>
      <c r="AN79" s="85">
        <f t="shared" si="77"/>
        <v>0</v>
      </c>
      <c r="AO79" s="1">
        <v>5</v>
      </c>
      <c r="AP79" s="2" t="s">
        <v>108</v>
      </c>
      <c r="AQ79" s="127"/>
      <c r="AR79" s="79">
        <v>9861</v>
      </c>
      <c r="AS79" s="92">
        <v>87</v>
      </c>
      <c r="AT79" s="79">
        <v>0</v>
      </c>
      <c r="AU79" s="79">
        <v>0</v>
      </c>
      <c r="AV79" s="79">
        <v>0</v>
      </c>
      <c r="AW79" s="79">
        <v>0</v>
      </c>
      <c r="AX79" s="85">
        <f t="shared" si="78"/>
        <v>0</v>
      </c>
      <c r="AY79" s="1">
        <v>5</v>
      </c>
      <c r="AZ79" s="2" t="s">
        <v>108</v>
      </c>
      <c r="BA79" s="127"/>
      <c r="BB79" s="79">
        <v>98610</v>
      </c>
      <c r="BC79" s="92">
        <v>87</v>
      </c>
      <c r="BD79" s="79">
        <v>0</v>
      </c>
      <c r="BE79" s="40">
        <v>0</v>
      </c>
      <c r="BF79" s="79"/>
      <c r="BG79" s="79">
        <v>200</v>
      </c>
      <c r="BH79" s="85">
        <f t="shared" si="79"/>
        <v>0</v>
      </c>
      <c r="BI79" s="1">
        <v>5</v>
      </c>
      <c r="BJ79" s="2" t="s">
        <v>108</v>
      </c>
      <c r="BK79" s="127"/>
      <c r="BL79" s="79">
        <v>10541</v>
      </c>
      <c r="BM79" s="92">
        <v>87</v>
      </c>
      <c r="BN79" s="79"/>
      <c r="BO79" s="79">
        <v>0</v>
      </c>
      <c r="BP79" s="79"/>
      <c r="BQ79" s="79">
        <v>65</v>
      </c>
      <c r="BR79" s="79">
        <f t="shared" si="65"/>
        <v>0</v>
      </c>
      <c r="BS79" s="1">
        <v>5</v>
      </c>
      <c r="BT79" s="2" t="s">
        <v>108</v>
      </c>
      <c r="BU79" s="127"/>
      <c r="BV79" s="79">
        <v>10541</v>
      </c>
      <c r="BW79" s="92">
        <v>87</v>
      </c>
      <c r="BX79" s="79"/>
      <c r="BY79" s="40">
        <v>0</v>
      </c>
      <c r="BZ79" s="79"/>
      <c r="CA79" s="79">
        <v>0</v>
      </c>
      <c r="CB79" s="79">
        <f t="shared" si="66"/>
        <v>0</v>
      </c>
      <c r="CC79" s="1">
        <v>5</v>
      </c>
      <c r="CD79" s="2" t="s">
        <v>108</v>
      </c>
      <c r="CE79" s="127"/>
      <c r="CF79" s="79">
        <v>10541</v>
      </c>
      <c r="CG79" s="92">
        <v>87</v>
      </c>
      <c r="CH79" s="79"/>
      <c r="CI79" s="79">
        <v>0</v>
      </c>
      <c r="CJ79" s="79"/>
      <c r="CK79" s="79">
        <v>0</v>
      </c>
      <c r="CL79" s="79">
        <f t="shared" si="67"/>
        <v>0</v>
      </c>
      <c r="CM79" s="1">
        <v>5</v>
      </c>
      <c r="CN79" s="2" t="s">
        <v>108</v>
      </c>
      <c r="CO79" s="127"/>
      <c r="CP79" s="79">
        <v>9620</v>
      </c>
      <c r="CQ79" s="92">
        <v>87</v>
      </c>
      <c r="CR79" s="79"/>
      <c r="CS79" s="79">
        <v>0</v>
      </c>
      <c r="CT79" s="79"/>
      <c r="CU79" s="79">
        <v>0</v>
      </c>
      <c r="CV79" s="85">
        <f t="shared" si="80"/>
        <v>0</v>
      </c>
      <c r="CW79" s="1">
        <v>5</v>
      </c>
      <c r="CX79" s="2" t="s">
        <v>108</v>
      </c>
      <c r="CY79" s="127"/>
      <c r="CZ79" s="79">
        <v>9620</v>
      </c>
      <c r="DA79" s="92">
        <v>87</v>
      </c>
      <c r="DB79" s="79"/>
      <c r="DC79" s="40">
        <v>0</v>
      </c>
      <c r="DD79" s="79"/>
      <c r="DE79" s="79">
        <v>145</v>
      </c>
      <c r="DF79" s="79">
        <f t="shared" si="68"/>
        <v>0</v>
      </c>
      <c r="DG79" s="1">
        <v>5</v>
      </c>
      <c r="DH79" s="2" t="s">
        <v>108</v>
      </c>
      <c r="DI79" s="127"/>
      <c r="DJ79" s="79">
        <v>9620</v>
      </c>
      <c r="DK79" s="92">
        <v>87</v>
      </c>
      <c r="DL79" s="79"/>
      <c r="DM79" s="40">
        <v>0</v>
      </c>
      <c r="DN79" s="79"/>
      <c r="DO79" s="79">
        <v>145</v>
      </c>
      <c r="DP79" s="79">
        <f t="shared" si="69"/>
        <v>0</v>
      </c>
      <c r="DQ79" s="1">
        <v>5</v>
      </c>
      <c r="DR79" s="2" t="s">
        <v>108</v>
      </c>
      <c r="DS79" s="122">
        <f t="shared" si="53"/>
        <v>0</v>
      </c>
      <c r="DT79" s="149">
        <f t="shared" si="73"/>
        <v>24643.5</v>
      </c>
      <c r="DU79" s="149">
        <f t="shared" si="74"/>
        <v>87</v>
      </c>
      <c r="DV79" s="79">
        <f t="shared" si="75"/>
        <v>0</v>
      </c>
      <c r="DW79" s="79">
        <f t="shared" si="70"/>
        <v>0</v>
      </c>
      <c r="DX79" s="79">
        <v>0</v>
      </c>
      <c r="DY79" s="79">
        <v>0</v>
      </c>
      <c r="DZ79" s="85">
        <f t="shared" si="81"/>
        <v>0</v>
      </c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</row>
    <row r="80" spans="1:144" x14ac:dyDescent="0.3">
      <c r="A80" s="1">
        <v>6</v>
      </c>
      <c r="B80" s="2" t="s">
        <v>109</v>
      </c>
      <c r="C80" s="127"/>
      <c r="D80" s="79">
        <v>4022800</v>
      </c>
      <c r="E80" s="92">
        <v>1085</v>
      </c>
      <c r="F80" s="79">
        <v>0</v>
      </c>
      <c r="G80" s="79">
        <v>1240</v>
      </c>
      <c r="H80" s="79">
        <v>0</v>
      </c>
      <c r="I80" s="79">
        <v>10</v>
      </c>
      <c r="J80" s="85">
        <f t="shared" si="71"/>
        <v>3.0824301481555138E-4</v>
      </c>
      <c r="K80" s="1">
        <v>6</v>
      </c>
      <c r="L80" s="2" t="s">
        <v>109</v>
      </c>
      <c r="M80" s="127"/>
      <c r="N80" s="79">
        <v>4022800</v>
      </c>
      <c r="O80" s="92">
        <v>1085</v>
      </c>
      <c r="P80" s="79"/>
      <c r="Q80" s="79">
        <v>1160</v>
      </c>
      <c r="R80" s="79">
        <v>0</v>
      </c>
      <c r="S80" s="79">
        <v>7.1</v>
      </c>
      <c r="T80" s="85">
        <f t="shared" si="72"/>
        <v>2.8835636869841899E-4</v>
      </c>
      <c r="U80" s="1">
        <v>6</v>
      </c>
      <c r="V80" s="2" t="s">
        <v>109</v>
      </c>
      <c r="W80" s="127">
        <v>0</v>
      </c>
      <c r="X80" s="79">
        <v>4022800</v>
      </c>
      <c r="Y80" s="92">
        <v>1085</v>
      </c>
      <c r="Z80" s="79">
        <v>0</v>
      </c>
      <c r="AA80" s="79">
        <v>1920</v>
      </c>
      <c r="AB80" s="79">
        <v>0</v>
      </c>
      <c r="AC80" s="79">
        <v>6.1</v>
      </c>
      <c r="AD80" s="85">
        <f>AA80/X80</f>
        <v>4.772795068111763E-4</v>
      </c>
      <c r="AE80" s="1">
        <v>6</v>
      </c>
      <c r="AF80" s="2" t="s">
        <v>109</v>
      </c>
      <c r="AG80" s="127"/>
      <c r="AH80" s="79">
        <v>2528</v>
      </c>
      <c r="AI80" s="92">
        <v>1085</v>
      </c>
      <c r="AJ80" s="79"/>
      <c r="AK80" s="79">
        <v>1400</v>
      </c>
      <c r="AL80" s="79">
        <v>0</v>
      </c>
      <c r="AM80" s="79">
        <v>1.6</v>
      </c>
      <c r="AN80" s="85">
        <f t="shared" si="77"/>
        <v>0.55379746835443033</v>
      </c>
      <c r="AO80" s="1">
        <v>6</v>
      </c>
      <c r="AP80" s="2" t="s">
        <v>109</v>
      </c>
      <c r="AQ80" s="127"/>
      <c r="AR80" s="79">
        <v>2528000</v>
      </c>
      <c r="AS80" s="92">
        <v>1085</v>
      </c>
      <c r="AT80" s="79">
        <v>0</v>
      </c>
      <c r="AU80" s="79">
        <v>1820</v>
      </c>
      <c r="AV80" s="79">
        <v>0</v>
      </c>
      <c r="AW80" s="79">
        <v>22</v>
      </c>
      <c r="AX80" s="85">
        <f t="shared" si="78"/>
        <v>7.1993670886075949E-4</v>
      </c>
      <c r="AY80" s="1">
        <v>6</v>
      </c>
      <c r="AZ80" s="2" t="s">
        <v>109</v>
      </c>
      <c r="BA80" s="127"/>
      <c r="BB80" s="79">
        <v>2528</v>
      </c>
      <c r="BC80" s="92">
        <v>1085</v>
      </c>
      <c r="BD80" s="79">
        <v>0</v>
      </c>
      <c r="BE80" s="40">
        <v>1620</v>
      </c>
      <c r="BF80" s="79"/>
      <c r="BG80" s="79">
        <v>6.1</v>
      </c>
      <c r="BH80" s="85">
        <f t="shared" si="79"/>
        <v>0.64082278481012656</v>
      </c>
      <c r="BI80" s="1">
        <v>6</v>
      </c>
      <c r="BJ80" s="2" t="s">
        <v>109</v>
      </c>
      <c r="BK80" s="127"/>
      <c r="BL80" s="79">
        <v>2528000</v>
      </c>
      <c r="BM80" s="92">
        <v>1085</v>
      </c>
      <c r="BN80" s="79"/>
      <c r="BO80" s="79">
        <v>390.04</v>
      </c>
      <c r="BP80" s="79"/>
      <c r="BQ80" s="79">
        <v>2.12</v>
      </c>
      <c r="BR80" s="79">
        <f t="shared" si="65"/>
        <v>0.35948387096774198</v>
      </c>
      <c r="BS80" s="1">
        <v>6</v>
      </c>
      <c r="BT80" s="2" t="s">
        <v>109</v>
      </c>
      <c r="BU80" s="127"/>
      <c r="BV80" s="79">
        <v>2528000</v>
      </c>
      <c r="BW80" s="92">
        <v>1085</v>
      </c>
      <c r="BX80" s="79"/>
      <c r="BY80" s="40">
        <v>810.65599999999995</v>
      </c>
      <c r="BZ80" s="79"/>
      <c r="CA80" s="79">
        <v>2.4</v>
      </c>
      <c r="CB80" s="79">
        <f t="shared" si="66"/>
        <v>0.74714838709677411</v>
      </c>
      <c r="CC80" s="1">
        <v>6</v>
      </c>
      <c r="CD80" s="2" t="s">
        <v>109</v>
      </c>
      <c r="CE80" s="127"/>
      <c r="CF80" s="79">
        <v>2528000</v>
      </c>
      <c r="CG80" s="92">
        <v>1085</v>
      </c>
      <c r="CH80" s="79"/>
      <c r="CI80" s="79">
        <v>212.31</v>
      </c>
      <c r="CJ80" s="79"/>
      <c r="CK80" s="79">
        <v>3.02</v>
      </c>
      <c r="CL80" s="79">
        <f t="shared" si="67"/>
        <v>0.19567741935483871</v>
      </c>
      <c r="CM80" s="1">
        <v>6</v>
      </c>
      <c r="CN80" s="2" t="s">
        <v>109</v>
      </c>
      <c r="CO80" s="127"/>
      <c r="CP80" s="79">
        <v>3820600</v>
      </c>
      <c r="CQ80" s="92">
        <v>1085</v>
      </c>
      <c r="CR80" s="79"/>
      <c r="CS80" s="79">
        <v>212.31</v>
      </c>
      <c r="CT80" s="79"/>
      <c r="CU80" s="79">
        <v>1.04</v>
      </c>
      <c r="CV80" s="85">
        <f t="shared" si="80"/>
        <v>5.5569805789666548E-5</v>
      </c>
      <c r="CW80" s="1">
        <v>6</v>
      </c>
      <c r="CX80" s="2" t="s">
        <v>109</v>
      </c>
      <c r="CY80" s="127"/>
      <c r="CZ80" s="79">
        <v>3820600</v>
      </c>
      <c r="DA80" s="92">
        <v>1085</v>
      </c>
      <c r="DB80" s="79"/>
      <c r="DC80" s="40">
        <v>212.31</v>
      </c>
      <c r="DD80" s="79"/>
      <c r="DE80" s="79">
        <v>1</v>
      </c>
      <c r="DF80" s="79">
        <f t="shared" si="68"/>
        <v>0.19567741935483871</v>
      </c>
      <c r="DG80" s="1">
        <v>6</v>
      </c>
      <c r="DH80" s="2" t="s">
        <v>109</v>
      </c>
      <c r="DI80" s="127"/>
      <c r="DJ80" s="79">
        <v>3820600</v>
      </c>
      <c r="DK80" s="92">
        <v>1085</v>
      </c>
      <c r="DL80" s="79"/>
      <c r="DM80" s="40">
        <v>212.31</v>
      </c>
      <c r="DN80" s="79"/>
      <c r="DO80" s="79">
        <v>25.85</v>
      </c>
      <c r="DP80" s="79">
        <f t="shared" si="69"/>
        <v>0.19567741935483871</v>
      </c>
      <c r="DQ80" s="1">
        <v>6</v>
      </c>
      <c r="DR80" s="2" t="s">
        <v>109</v>
      </c>
      <c r="DS80" s="122">
        <f t="shared" si="53"/>
        <v>0</v>
      </c>
      <c r="DT80" s="149">
        <f t="shared" si="73"/>
        <v>2803938</v>
      </c>
      <c r="DU80" s="149">
        <f t="shared" si="74"/>
        <v>1085</v>
      </c>
      <c r="DV80" s="79">
        <f t="shared" si="75"/>
        <v>0</v>
      </c>
      <c r="DW80" s="79">
        <f t="shared" si="70"/>
        <v>11209.935999999998</v>
      </c>
      <c r="DX80" s="79">
        <v>0</v>
      </c>
      <c r="DY80" s="79">
        <v>0</v>
      </c>
      <c r="DZ80" s="85">
        <f t="shared" si="81"/>
        <v>3.9979257743930135E-3</v>
      </c>
    </row>
    <row r="81" spans="1:144" x14ac:dyDescent="0.3">
      <c r="A81" s="1">
        <v>7</v>
      </c>
      <c r="B81" s="2" t="s">
        <v>164</v>
      </c>
      <c r="C81" s="127"/>
      <c r="D81" s="79">
        <v>147600</v>
      </c>
      <c r="E81" s="92">
        <v>4594</v>
      </c>
      <c r="F81" s="79">
        <v>0</v>
      </c>
      <c r="G81" s="79">
        <v>882.59</v>
      </c>
      <c r="H81" s="79">
        <v>0</v>
      </c>
      <c r="I81" s="79">
        <v>56.2</v>
      </c>
      <c r="J81" s="85">
        <f t="shared" si="71"/>
        <v>5.9796070460704613E-3</v>
      </c>
      <c r="K81" s="1">
        <v>7</v>
      </c>
      <c r="L81" s="2" t="s">
        <v>164</v>
      </c>
      <c r="M81" s="127"/>
      <c r="N81" s="79">
        <v>147600</v>
      </c>
      <c r="O81" s="92">
        <v>4594</v>
      </c>
      <c r="P81" s="79"/>
      <c r="Q81" s="79">
        <v>810.21</v>
      </c>
      <c r="R81" s="79">
        <v>0</v>
      </c>
      <c r="S81" s="79">
        <v>44</v>
      </c>
      <c r="T81" s="85">
        <f t="shared" si="72"/>
        <v>5.4892276422764232E-3</v>
      </c>
      <c r="U81" s="1">
        <v>7</v>
      </c>
      <c r="V81" s="2" t="s">
        <v>164</v>
      </c>
      <c r="W81" s="127">
        <v>0</v>
      </c>
      <c r="X81" s="79">
        <v>1476000</v>
      </c>
      <c r="Y81" s="92">
        <v>4594</v>
      </c>
      <c r="Z81" s="79">
        <v>0</v>
      </c>
      <c r="AA81" s="79">
        <v>812.21</v>
      </c>
      <c r="AB81" s="79">
        <v>0</v>
      </c>
      <c r="AC81" s="79">
        <v>38.5</v>
      </c>
      <c r="AD81" s="85">
        <f t="shared" si="76"/>
        <v>5.5027777777777779E-4</v>
      </c>
      <c r="AE81" s="1">
        <v>7</v>
      </c>
      <c r="AF81" s="2" t="s">
        <v>164</v>
      </c>
      <c r="AG81" s="127"/>
      <c r="AH81" s="79">
        <v>1309000</v>
      </c>
      <c r="AI81" s="92">
        <v>4594</v>
      </c>
      <c r="AJ81" s="79"/>
      <c r="AK81" s="79">
        <v>11722938</v>
      </c>
      <c r="AL81" s="79">
        <v>0</v>
      </c>
      <c r="AM81" s="79">
        <v>3.3</v>
      </c>
      <c r="AN81" s="85">
        <f t="shared" si="77"/>
        <v>8.9556440030557685</v>
      </c>
      <c r="AO81" s="1">
        <v>7</v>
      </c>
      <c r="AP81" s="2" t="s">
        <v>164</v>
      </c>
      <c r="AQ81" s="127"/>
      <c r="AR81" s="79">
        <v>1309000</v>
      </c>
      <c r="AS81" s="92">
        <v>4594</v>
      </c>
      <c r="AT81" s="79">
        <v>0</v>
      </c>
      <c r="AU81" s="79">
        <v>812.21</v>
      </c>
      <c r="AV81" s="79">
        <v>0</v>
      </c>
      <c r="AW81" s="79">
        <v>60.9</v>
      </c>
      <c r="AX81" s="85">
        <f t="shared" si="78"/>
        <v>6.2048128342245996E-4</v>
      </c>
      <c r="AY81" s="1">
        <v>7</v>
      </c>
      <c r="AZ81" s="2" t="s">
        <v>164</v>
      </c>
      <c r="BA81" s="127"/>
      <c r="BB81" s="79">
        <v>1309000</v>
      </c>
      <c r="BC81" s="92">
        <v>4594</v>
      </c>
      <c r="BD81" s="79">
        <v>0</v>
      </c>
      <c r="BE81" s="40">
        <v>812.21</v>
      </c>
      <c r="BF81" s="79"/>
      <c r="BG81" s="79">
        <v>38.5</v>
      </c>
      <c r="BH81" s="85">
        <f t="shared" si="79"/>
        <v>6.2048128342245996E-4</v>
      </c>
      <c r="BI81" s="1">
        <v>7</v>
      </c>
      <c r="BJ81" s="2" t="s">
        <v>164</v>
      </c>
      <c r="BK81" s="127"/>
      <c r="BL81" s="79">
        <v>1309000</v>
      </c>
      <c r="BM81" s="92">
        <v>4594</v>
      </c>
      <c r="BN81" s="79"/>
      <c r="BO81" s="79">
        <v>782.72745833333329</v>
      </c>
      <c r="BP81" s="79"/>
      <c r="BQ81" s="79">
        <v>2.8</v>
      </c>
      <c r="BR81" s="79">
        <f t="shared" si="65"/>
        <v>0.17038037839210562</v>
      </c>
      <c r="BS81" s="1">
        <v>7</v>
      </c>
      <c r="BT81" s="2" t="s">
        <v>164</v>
      </c>
      <c r="BU81" s="127"/>
      <c r="BV81" s="79">
        <v>1309000</v>
      </c>
      <c r="BW81" s="92">
        <v>4594</v>
      </c>
      <c r="BX81" s="79"/>
      <c r="BY81" s="40">
        <v>782.72745833333329</v>
      </c>
      <c r="BZ81" s="79"/>
      <c r="CA81" s="79">
        <v>44.48</v>
      </c>
      <c r="CB81" s="79">
        <f t="shared" si="66"/>
        <v>0.17038037839210562</v>
      </c>
      <c r="CC81" s="1">
        <v>7</v>
      </c>
      <c r="CD81" s="2" t="s">
        <v>164</v>
      </c>
      <c r="CE81" s="127"/>
      <c r="CF81" s="79">
        <v>1309000</v>
      </c>
      <c r="CG81" s="92">
        <v>4594</v>
      </c>
      <c r="CH81" s="79"/>
      <c r="CI81" s="79">
        <v>782.72745833333329</v>
      </c>
      <c r="CJ81" s="79"/>
      <c r="CK81" s="79">
        <v>77.540000000000006</v>
      </c>
      <c r="CL81" s="79">
        <f t="shared" si="67"/>
        <v>0.17038037839210562</v>
      </c>
      <c r="CM81" s="1">
        <v>7</v>
      </c>
      <c r="CN81" s="2" t="s">
        <v>164</v>
      </c>
      <c r="CO81" s="127"/>
      <c r="CP81" s="79">
        <v>196000</v>
      </c>
      <c r="CQ81" s="92">
        <v>4594</v>
      </c>
      <c r="CR81" s="79"/>
      <c r="CS81" s="79">
        <v>782.72745833333329</v>
      </c>
      <c r="CT81" s="79"/>
      <c r="CU81" s="79">
        <v>116.63</v>
      </c>
      <c r="CV81" s="85">
        <f t="shared" si="80"/>
        <v>3.9935074404761906E-3</v>
      </c>
      <c r="CW81" s="1">
        <v>7</v>
      </c>
      <c r="CX81" s="2" t="s">
        <v>164</v>
      </c>
      <c r="CY81" s="127"/>
      <c r="CZ81" s="79">
        <v>196000</v>
      </c>
      <c r="DA81" s="92">
        <v>4594</v>
      </c>
      <c r="DB81" s="79"/>
      <c r="DC81" s="40">
        <v>782.72745833333329</v>
      </c>
      <c r="DD81" s="79"/>
      <c r="DE81" s="79">
        <v>90.63</v>
      </c>
      <c r="DF81" s="79">
        <f t="shared" si="68"/>
        <v>0.17038037839210562</v>
      </c>
      <c r="DG81" s="1">
        <v>7</v>
      </c>
      <c r="DH81" s="2" t="s">
        <v>164</v>
      </c>
      <c r="DI81" s="127"/>
      <c r="DJ81" s="79">
        <v>196000</v>
      </c>
      <c r="DK81" s="92">
        <v>4594</v>
      </c>
      <c r="DL81" s="79"/>
      <c r="DM81" s="40">
        <v>782.72745833333329</v>
      </c>
      <c r="DN81" s="79"/>
      <c r="DO81" s="79">
        <v>68.430000000000007</v>
      </c>
      <c r="DP81" s="79">
        <f t="shared" si="69"/>
        <v>0.17038037839210562</v>
      </c>
      <c r="DQ81" s="1">
        <v>7</v>
      </c>
      <c r="DR81" s="2" t="s">
        <v>164</v>
      </c>
      <c r="DS81" s="122">
        <f t="shared" si="53"/>
        <v>0</v>
      </c>
      <c r="DT81" s="149">
        <f t="shared" si="73"/>
        <v>851100</v>
      </c>
      <c r="DU81" s="149">
        <f t="shared" si="74"/>
        <v>4594</v>
      </c>
      <c r="DV81" s="79">
        <f t="shared" si="75"/>
        <v>0</v>
      </c>
      <c r="DW81" s="79">
        <f>SUM(G81+Q81+AA81+AK81+AU81+BE81+BO81+BY81+CI81+CS81+DC81+DM81)</f>
        <v>11731763.794750003</v>
      </c>
      <c r="DX81" s="79">
        <v>0</v>
      </c>
      <c r="DY81" s="79">
        <v>0</v>
      </c>
      <c r="DZ81" s="85">
        <f t="shared" si="81"/>
        <v>13.784236628774531</v>
      </c>
    </row>
    <row r="82" spans="1:144" x14ac:dyDescent="0.3">
      <c r="A82" s="1">
        <v>8</v>
      </c>
      <c r="B82" s="2" t="s">
        <v>205</v>
      </c>
      <c r="C82" s="127"/>
      <c r="D82" s="79">
        <v>17076</v>
      </c>
      <c r="E82" s="92">
        <v>4321</v>
      </c>
      <c r="F82" s="79">
        <v>0</v>
      </c>
      <c r="G82" s="79">
        <v>14429</v>
      </c>
      <c r="H82" s="79">
        <v>0</v>
      </c>
      <c r="I82" s="79">
        <v>2357.3000000000002</v>
      </c>
      <c r="J82" s="85">
        <f t="shared" si="71"/>
        <v>0.84498711642070745</v>
      </c>
      <c r="K82" s="1">
        <v>8</v>
      </c>
      <c r="L82" s="2" t="s">
        <v>205</v>
      </c>
      <c r="M82" s="127"/>
      <c r="N82" s="79">
        <v>17076</v>
      </c>
      <c r="O82" s="92">
        <v>4321</v>
      </c>
      <c r="P82" s="79"/>
      <c r="Q82" s="79">
        <v>13910</v>
      </c>
      <c r="R82" s="79">
        <v>0</v>
      </c>
      <c r="S82" s="79">
        <v>1687</v>
      </c>
      <c r="T82" s="85">
        <f t="shared" si="72"/>
        <v>0.81459358163504336</v>
      </c>
      <c r="U82" s="1">
        <v>8</v>
      </c>
      <c r="V82" s="2" t="s">
        <v>205</v>
      </c>
      <c r="W82" s="127">
        <v>0</v>
      </c>
      <c r="X82" s="79">
        <v>17076200</v>
      </c>
      <c r="Y82" s="92">
        <v>4321</v>
      </c>
      <c r="Z82" s="79">
        <v>0</v>
      </c>
      <c r="AA82" s="79">
        <v>12810</v>
      </c>
      <c r="AB82" s="79">
        <v>0</v>
      </c>
      <c r="AC82" s="79">
        <v>2013</v>
      </c>
      <c r="AD82" s="85">
        <f t="shared" si="76"/>
        <v>7.5016689895878472E-4</v>
      </c>
      <c r="AE82" s="1">
        <v>8</v>
      </c>
      <c r="AF82" s="2" t="s">
        <v>205</v>
      </c>
      <c r="AG82" s="127"/>
      <c r="AH82" s="79">
        <v>13873300</v>
      </c>
      <c r="AI82" s="92">
        <v>4321</v>
      </c>
      <c r="AJ82" s="79"/>
      <c r="AK82" s="79">
        <v>12810</v>
      </c>
      <c r="AL82" s="79">
        <v>0</v>
      </c>
      <c r="AM82" s="79">
        <v>2527</v>
      </c>
      <c r="AN82" s="85">
        <f t="shared" si="77"/>
        <v>9.2335637519551947E-4</v>
      </c>
      <c r="AO82" s="1">
        <v>8</v>
      </c>
      <c r="AP82" s="2" t="s">
        <v>205</v>
      </c>
      <c r="AQ82" s="127"/>
      <c r="AR82" s="79">
        <v>13873300</v>
      </c>
      <c r="AS82" s="92">
        <v>4321</v>
      </c>
      <c r="AT82" s="79">
        <v>0</v>
      </c>
      <c r="AU82" s="79">
        <v>10810</v>
      </c>
      <c r="AV82" s="79">
        <v>0</v>
      </c>
      <c r="AW82" s="79">
        <v>2200</v>
      </c>
      <c r="AX82" s="85">
        <f t="shared" si="78"/>
        <v>7.7919456798310421E-4</v>
      </c>
      <c r="AY82" s="1">
        <v>8</v>
      </c>
      <c r="AZ82" s="2" t="s">
        <v>205</v>
      </c>
      <c r="BA82" s="127"/>
      <c r="BB82" s="79">
        <v>13873300</v>
      </c>
      <c r="BC82" s="92">
        <v>4321</v>
      </c>
      <c r="BD82" s="79">
        <v>0</v>
      </c>
      <c r="BE82" s="40">
        <v>91280</v>
      </c>
      <c r="BF82" s="79"/>
      <c r="BG82" s="79">
        <v>2012.9</v>
      </c>
      <c r="BH82" s="85">
        <f t="shared" si="79"/>
        <v>6.5795448811746303E-3</v>
      </c>
      <c r="BI82" s="1">
        <v>8</v>
      </c>
      <c r="BJ82" s="2" t="s">
        <v>205</v>
      </c>
      <c r="BK82" s="127"/>
      <c r="BL82" s="79">
        <v>18036200</v>
      </c>
      <c r="BM82" s="92">
        <v>4321</v>
      </c>
      <c r="BN82" s="79"/>
      <c r="BO82" s="79">
        <v>11045.04</v>
      </c>
      <c r="BP82" s="79"/>
      <c r="BQ82" s="79">
        <v>62300</v>
      </c>
      <c r="BR82" s="79">
        <f t="shared" si="65"/>
        <v>2.5561305253413562</v>
      </c>
      <c r="BS82" s="1">
        <v>8</v>
      </c>
      <c r="BT82" s="2" t="s">
        <v>205</v>
      </c>
      <c r="BU82" s="127"/>
      <c r="BV82" s="79">
        <v>18036200</v>
      </c>
      <c r="BW82" s="92">
        <v>4321</v>
      </c>
      <c r="BX82" s="79"/>
      <c r="BY82" s="40">
        <v>10875.622940000001</v>
      </c>
      <c r="BZ82" s="79"/>
      <c r="CA82" s="79">
        <v>2164.5</v>
      </c>
      <c r="CB82" s="79">
        <f t="shared" si="66"/>
        <v>2.5169226891923167</v>
      </c>
      <c r="CC82" s="1">
        <v>8</v>
      </c>
      <c r="CD82" s="2" t="s">
        <v>205</v>
      </c>
      <c r="CE82" s="127"/>
      <c r="CF82" s="79">
        <v>18036200</v>
      </c>
      <c r="CG82" s="92">
        <v>4321</v>
      </c>
      <c r="CH82" s="79"/>
      <c r="CI82" s="79">
        <v>11025.627339999999</v>
      </c>
      <c r="CJ82" s="79"/>
      <c r="CK82" s="79">
        <v>2173.6</v>
      </c>
      <c r="CL82" s="79">
        <f t="shared" si="67"/>
        <v>2.5516378940060167</v>
      </c>
      <c r="CM82" s="1">
        <v>8</v>
      </c>
      <c r="CN82" s="2" t="s">
        <v>205</v>
      </c>
      <c r="CO82" s="127"/>
      <c r="CP82" s="79">
        <v>18036200</v>
      </c>
      <c r="CQ82" s="92">
        <v>4321</v>
      </c>
      <c r="CR82" s="79"/>
      <c r="CS82" s="79">
        <v>12080.61</v>
      </c>
      <c r="CT82" s="79"/>
      <c r="CU82" s="79">
        <v>2454.5700000000002</v>
      </c>
      <c r="CV82" s="85">
        <f t="shared" si="80"/>
        <v>6.697979618766703E-4</v>
      </c>
      <c r="CW82" s="1">
        <v>8</v>
      </c>
      <c r="CX82" s="2" t="s">
        <v>205</v>
      </c>
      <c r="CY82" s="127"/>
      <c r="CZ82" s="79">
        <v>18036200</v>
      </c>
      <c r="DA82" s="92">
        <v>4321</v>
      </c>
      <c r="DB82" s="79"/>
      <c r="DC82" s="40">
        <v>12080.61</v>
      </c>
      <c r="DD82" s="79"/>
      <c r="DE82" s="79">
        <v>2374.4</v>
      </c>
      <c r="DF82" s="79">
        <f t="shared" si="68"/>
        <v>2.7957903263133534</v>
      </c>
      <c r="DG82" s="1">
        <v>8</v>
      </c>
      <c r="DH82" s="2" t="s">
        <v>205</v>
      </c>
      <c r="DI82" s="127"/>
      <c r="DJ82" s="79">
        <v>18036200</v>
      </c>
      <c r="DK82" s="92">
        <v>4321</v>
      </c>
      <c r="DL82" s="79"/>
      <c r="DM82" s="40">
        <v>12080.61</v>
      </c>
      <c r="DN82" s="79"/>
      <c r="DO82" s="79">
        <v>2382.77</v>
      </c>
      <c r="DP82" s="79">
        <f t="shared" si="69"/>
        <v>2.7957903263133534</v>
      </c>
      <c r="DQ82" s="1">
        <v>8</v>
      </c>
      <c r="DR82" s="2" t="s">
        <v>205</v>
      </c>
      <c r="DS82" s="122">
        <f t="shared" si="53"/>
        <v>0</v>
      </c>
      <c r="DT82" s="149">
        <f t="shared" si="73"/>
        <v>13912287.666666666</v>
      </c>
      <c r="DU82" s="149">
        <f t="shared" si="74"/>
        <v>4321</v>
      </c>
      <c r="DV82" s="79">
        <f t="shared" si="75"/>
        <v>0</v>
      </c>
      <c r="DW82" s="79">
        <f t="shared" si="70"/>
        <v>225237.12027999997</v>
      </c>
      <c r="DX82" s="79">
        <v>0</v>
      </c>
      <c r="DY82" s="79">
        <v>0</v>
      </c>
      <c r="DZ82" s="85">
        <f t="shared" si="81"/>
        <v>1.6189797514010576E-2</v>
      </c>
    </row>
    <row r="83" spans="1:144" x14ac:dyDescent="0.3">
      <c r="A83" s="1">
        <v>9</v>
      </c>
      <c r="B83" s="2" t="s">
        <v>206</v>
      </c>
      <c r="C83" s="127"/>
      <c r="D83" s="79">
        <v>2675400</v>
      </c>
      <c r="E83" s="92">
        <v>54969</v>
      </c>
      <c r="F83" s="79">
        <v>0</v>
      </c>
      <c r="G83" s="79">
        <v>170</v>
      </c>
      <c r="H83" s="79">
        <v>0</v>
      </c>
      <c r="I83" s="79">
        <v>68.099999999999994</v>
      </c>
      <c r="J83" s="85">
        <f t="shared" si="71"/>
        <v>6.3541900276594152E-5</v>
      </c>
      <c r="K83" s="1">
        <v>9</v>
      </c>
      <c r="L83" s="2" t="s">
        <v>206</v>
      </c>
      <c r="M83" s="127"/>
      <c r="N83" s="79">
        <v>2675400</v>
      </c>
      <c r="O83" s="92">
        <v>54969</v>
      </c>
      <c r="P83" s="79"/>
      <c r="Q83" s="79">
        <v>160</v>
      </c>
      <c r="R83" s="79">
        <v>0</v>
      </c>
      <c r="S83" s="79">
        <v>68.25</v>
      </c>
      <c r="T83" s="85">
        <f t="shared" si="72"/>
        <v>5.9804141436794499E-5</v>
      </c>
      <c r="U83" s="1">
        <v>9</v>
      </c>
      <c r="V83" s="2" t="s">
        <v>206</v>
      </c>
      <c r="W83" s="127">
        <v>0</v>
      </c>
      <c r="X83" s="79">
        <v>2675400</v>
      </c>
      <c r="Y83" s="92">
        <v>54969</v>
      </c>
      <c r="Z83" s="79">
        <v>0</v>
      </c>
      <c r="AA83" s="79">
        <v>108</v>
      </c>
      <c r="AB83" s="79">
        <v>0</v>
      </c>
      <c r="AC83" s="79">
        <v>0</v>
      </c>
      <c r="AD83" s="85">
        <f t="shared" si="76"/>
        <v>4.0367795469836284E-5</v>
      </c>
      <c r="AE83" s="1">
        <v>9</v>
      </c>
      <c r="AF83" s="2" t="s">
        <v>206</v>
      </c>
      <c r="AG83" s="127"/>
      <c r="AH83" s="79">
        <v>2410700</v>
      </c>
      <c r="AI83" s="92">
        <v>54969</v>
      </c>
      <c r="AJ83" s="79"/>
      <c r="AK83" s="79">
        <v>90</v>
      </c>
      <c r="AL83" s="79">
        <v>0</v>
      </c>
      <c r="AM83" s="79">
        <v>12.25</v>
      </c>
      <c r="AN83" s="85">
        <f t="shared" si="77"/>
        <v>3.7333554569212265E-5</v>
      </c>
      <c r="AO83" s="1">
        <v>9</v>
      </c>
      <c r="AP83" s="2" t="s">
        <v>206</v>
      </c>
      <c r="AQ83" s="127"/>
      <c r="AR83" s="79">
        <v>2410700</v>
      </c>
      <c r="AS83" s="92">
        <v>54969</v>
      </c>
      <c r="AT83" s="79">
        <v>0</v>
      </c>
      <c r="AU83" s="79">
        <v>108</v>
      </c>
      <c r="AV83" s="79">
        <v>0</v>
      </c>
      <c r="AW83" s="79">
        <v>0</v>
      </c>
      <c r="AX83" s="85">
        <f t="shared" si="78"/>
        <v>4.4800265483054714E-5</v>
      </c>
      <c r="AY83" s="1">
        <v>9</v>
      </c>
      <c r="AZ83" s="2" t="s">
        <v>206</v>
      </c>
      <c r="BA83" s="127"/>
      <c r="BB83" s="79">
        <v>2410700</v>
      </c>
      <c r="BC83" s="92">
        <v>54969</v>
      </c>
      <c r="BD83" s="79">
        <v>0</v>
      </c>
      <c r="BE83" s="40">
        <v>115.221</v>
      </c>
      <c r="BF83" s="79"/>
      <c r="BG83" s="79">
        <v>0</v>
      </c>
      <c r="BH83" s="85">
        <f t="shared" si="79"/>
        <v>4.7795661011324512E-5</v>
      </c>
      <c r="BI83" s="1">
        <v>9</v>
      </c>
      <c r="BJ83" s="2" t="s">
        <v>206</v>
      </c>
      <c r="BK83" s="127"/>
      <c r="BL83" s="79">
        <v>2340700</v>
      </c>
      <c r="BM83" s="92">
        <v>54969</v>
      </c>
      <c r="BN83" s="79"/>
      <c r="BO83" s="79">
        <v>111.86595416666667</v>
      </c>
      <c r="BP83" s="79"/>
      <c r="BQ83" s="79">
        <v>14.375</v>
      </c>
      <c r="BR83" s="79">
        <f t="shared" si="65"/>
        <v>2.0350734808103964E-3</v>
      </c>
      <c r="BS83" s="1">
        <v>9</v>
      </c>
      <c r="BT83" s="2" t="s">
        <v>206</v>
      </c>
      <c r="BU83" s="127"/>
      <c r="BV83" s="79">
        <v>2340700</v>
      </c>
      <c r="BW83" s="92">
        <v>54969</v>
      </c>
      <c r="BX83" s="79"/>
      <c r="BY83" s="40">
        <v>111.86595416666667</v>
      </c>
      <c r="BZ83" s="79"/>
      <c r="CA83" s="79">
        <v>16.920000000000002</v>
      </c>
      <c r="CB83" s="79">
        <f t="shared" si="66"/>
        <v>2.0350734808103964E-3</v>
      </c>
      <c r="CC83" s="1">
        <v>9</v>
      </c>
      <c r="CD83" s="2" t="s">
        <v>206</v>
      </c>
      <c r="CE83" s="127"/>
      <c r="CF83" s="79">
        <v>2340700</v>
      </c>
      <c r="CG83" s="92">
        <v>54969</v>
      </c>
      <c r="CH83" s="79"/>
      <c r="CI83" s="79">
        <v>111.86595416666667</v>
      </c>
      <c r="CJ83" s="79"/>
      <c r="CK83" s="79">
        <v>31.905000000000001</v>
      </c>
      <c r="CL83" s="79">
        <f t="shared" si="67"/>
        <v>2.0350734808103964E-3</v>
      </c>
      <c r="CM83" s="1">
        <v>9</v>
      </c>
      <c r="CN83" s="2" t="s">
        <v>206</v>
      </c>
      <c r="CO83" s="127"/>
      <c r="CP83" s="79">
        <v>19060000</v>
      </c>
      <c r="CQ83" s="92">
        <v>54969</v>
      </c>
      <c r="CR83" s="79"/>
      <c r="CS83" s="79">
        <v>112.5</v>
      </c>
      <c r="CT83" s="79"/>
      <c r="CU83" s="79">
        <v>96.97</v>
      </c>
      <c r="CV83" s="85">
        <f t="shared" si="80"/>
        <v>5.9024134312696747E-6</v>
      </c>
      <c r="CW83" s="1">
        <v>9</v>
      </c>
      <c r="CX83" s="2" t="s">
        <v>206</v>
      </c>
      <c r="CY83" s="127"/>
      <c r="CZ83" s="79">
        <v>19060000</v>
      </c>
      <c r="DA83" s="92">
        <v>54969</v>
      </c>
      <c r="DB83" s="79"/>
      <c r="DC83" s="40">
        <v>112.5</v>
      </c>
      <c r="DD83" s="79"/>
      <c r="DE83" s="79">
        <v>33.729999999999997</v>
      </c>
      <c r="DF83" s="79">
        <f t="shared" si="68"/>
        <v>2.0466080881951644E-3</v>
      </c>
      <c r="DG83" s="1">
        <v>9</v>
      </c>
      <c r="DH83" s="2" t="s">
        <v>206</v>
      </c>
      <c r="DI83" s="127"/>
      <c r="DJ83" s="79">
        <v>19060000</v>
      </c>
      <c r="DK83" s="92">
        <v>54969</v>
      </c>
      <c r="DL83" s="79"/>
      <c r="DM83" s="40">
        <v>112.5</v>
      </c>
      <c r="DN83" s="79"/>
      <c r="DO83" s="79">
        <v>0.39</v>
      </c>
      <c r="DP83" s="79">
        <f t="shared" si="69"/>
        <v>2.0466080881951644E-3</v>
      </c>
      <c r="DQ83" s="1">
        <v>9</v>
      </c>
      <c r="DR83" s="2" t="s">
        <v>206</v>
      </c>
      <c r="DS83" s="122">
        <f t="shared" si="53"/>
        <v>0</v>
      </c>
      <c r="DT83" s="149">
        <f t="shared" si="73"/>
        <v>6621700</v>
      </c>
      <c r="DU83" s="149">
        <f t="shared" si="74"/>
        <v>54969</v>
      </c>
      <c r="DV83" s="79">
        <f t="shared" si="75"/>
        <v>0</v>
      </c>
      <c r="DW83" s="79">
        <f t="shared" si="70"/>
        <v>1424.3188625</v>
      </c>
      <c r="DX83" s="79">
        <v>0</v>
      </c>
      <c r="DY83" s="79">
        <v>0</v>
      </c>
      <c r="DZ83" s="85">
        <f t="shared" si="81"/>
        <v>2.1509866990349909E-4</v>
      </c>
    </row>
    <row r="84" spans="1:144" ht="31.5" customHeight="1" x14ac:dyDescent="0.3">
      <c r="A84" s="211" t="s">
        <v>3</v>
      </c>
      <c r="B84" s="213" t="s">
        <v>2</v>
      </c>
      <c r="C84" s="121" t="s">
        <v>217</v>
      </c>
      <c r="D84" s="82" t="s">
        <v>198</v>
      </c>
      <c r="E84" s="82" t="s">
        <v>0</v>
      </c>
      <c r="F84" s="63" t="s">
        <v>5</v>
      </c>
      <c r="G84" s="9" t="s">
        <v>1</v>
      </c>
      <c r="H84" s="215" t="s">
        <v>4</v>
      </c>
      <c r="I84" s="216"/>
      <c r="J84" s="82" t="s">
        <v>125</v>
      </c>
      <c r="K84" s="211" t="s">
        <v>3</v>
      </c>
      <c r="L84" s="213" t="s">
        <v>2</v>
      </c>
      <c r="M84" s="121" t="s">
        <v>217</v>
      </c>
      <c r="N84" s="82" t="s">
        <v>198</v>
      </c>
      <c r="O84" s="82" t="s">
        <v>0</v>
      </c>
      <c r="P84" s="63" t="s">
        <v>5</v>
      </c>
      <c r="Q84" s="9" t="s">
        <v>1</v>
      </c>
      <c r="R84" s="215" t="s">
        <v>4</v>
      </c>
      <c r="S84" s="216"/>
      <c r="T84" s="82" t="s">
        <v>125</v>
      </c>
      <c r="U84" s="211" t="s">
        <v>3</v>
      </c>
      <c r="V84" s="213" t="s">
        <v>2</v>
      </c>
      <c r="W84" s="121" t="s">
        <v>217</v>
      </c>
      <c r="X84" s="82" t="s">
        <v>198</v>
      </c>
      <c r="Y84" s="82" t="s">
        <v>0</v>
      </c>
      <c r="Z84" s="63" t="s">
        <v>5</v>
      </c>
      <c r="AA84" s="9" t="s">
        <v>1</v>
      </c>
      <c r="AB84" s="215" t="s">
        <v>4</v>
      </c>
      <c r="AC84" s="216"/>
      <c r="AD84" s="82" t="s">
        <v>125</v>
      </c>
      <c r="AE84" s="211" t="s">
        <v>3</v>
      </c>
      <c r="AF84" s="213" t="s">
        <v>2</v>
      </c>
      <c r="AG84" s="121" t="s">
        <v>217</v>
      </c>
      <c r="AH84" s="82" t="s">
        <v>198</v>
      </c>
      <c r="AI84" s="82" t="s">
        <v>0</v>
      </c>
      <c r="AJ84" s="63" t="s">
        <v>5</v>
      </c>
      <c r="AK84" s="9" t="s">
        <v>1</v>
      </c>
      <c r="AL84" s="215" t="s">
        <v>4</v>
      </c>
      <c r="AM84" s="216"/>
      <c r="AN84" s="82" t="s">
        <v>125</v>
      </c>
      <c r="AO84" s="211" t="s">
        <v>3</v>
      </c>
      <c r="AP84" s="213" t="s">
        <v>2</v>
      </c>
      <c r="AQ84" s="121" t="s">
        <v>217</v>
      </c>
      <c r="AR84" s="82" t="s">
        <v>198</v>
      </c>
      <c r="AS84" s="82" t="s">
        <v>0</v>
      </c>
      <c r="AT84" s="63" t="s">
        <v>5</v>
      </c>
      <c r="AU84" s="9" t="s">
        <v>1</v>
      </c>
      <c r="AV84" s="215" t="s">
        <v>4</v>
      </c>
      <c r="AW84" s="216"/>
      <c r="AX84" s="82" t="s">
        <v>125</v>
      </c>
      <c r="AY84" s="211" t="s">
        <v>3</v>
      </c>
      <c r="AZ84" s="213" t="s">
        <v>2</v>
      </c>
      <c r="BA84" s="121" t="s">
        <v>217</v>
      </c>
      <c r="BB84" s="82" t="s">
        <v>198</v>
      </c>
      <c r="BC84" s="82" t="s">
        <v>0</v>
      </c>
      <c r="BD84" s="63" t="s">
        <v>5</v>
      </c>
      <c r="BE84" s="9" t="s">
        <v>1</v>
      </c>
      <c r="BF84" s="215" t="s">
        <v>4</v>
      </c>
      <c r="BG84" s="216"/>
      <c r="BH84" s="82" t="s">
        <v>125</v>
      </c>
      <c r="BI84" s="211" t="s">
        <v>3</v>
      </c>
      <c r="BJ84" s="213" t="s">
        <v>2</v>
      </c>
      <c r="BK84" s="121" t="s">
        <v>217</v>
      </c>
      <c r="BL84" s="82" t="s">
        <v>198</v>
      </c>
      <c r="BM84" s="82" t="s">
        <v>0</v>
      </c>
      <c r="BN84" s="63" t="s">
        <v>5</v>
      </c>
      <c r="BO84" s="9" t="s">
        <v>1</v>
      </c>
      <c r="BP84" s="215" t="s">
        <v>4</v>
      </c>
      <c r="BQ84" s="216"/>
      <c r="BR84" s="82" t="s">
        <v>125</v>
      </c>
      <c r="BS84" s="211" t="s">
        <v>3</v>
      </c>
      <c r="BT84" s="213" t="s">
        <v>2</v>
      </c>
      <c r="BU84" s="121" t="s">
        <v>217</v>
      </c>
      <c r="BV84" s="82" t="s">
        <v>198</v>
      </c>
      <c r="BW84" s="82" t="s">
        <v>0</v>
      </c>
      <c r="BX84" s="63" t="s">
        <v>5</v>
      </c>
      <c r="BY84" s="9" t="s">
        <v>1</v>
      </c>
      <c r="BZ84" s="215" t="s">
        <v>4</v>
      </c>
      <c r="CA84" s="216"/>
      <c r="CB84" s="82" t="s">
        <v>125</v>
      </c>
      <c r="CC84" s="211" t="s">
        <v>3</v>
      </c>
      <c r="CD84" s="213" t="s">
        <v>2</v>
      </c>
      <c r="CE84" s="121" t="s">
        <v>217</v>
      </c>
      <c r="CF84" s="82" t="s">
        <v>198</v>
      </c>
      <c r="CG84" s="82" t="s">
        <v>0</v>
      </c>
      <c r="CH84" s="63" t="s">
        <v>5</v>
      </c>
      <c r="CI84" s="9" t="s">
        <v>1</v>
      </c>
      <c r="CJ84" s="215" t="s">
        <v>4</v>
      </c>
      <c r="CK84" s="216"/>
      <c r="CL84" s="82" t="s">
        <v>125</v>
      </c>
      <c r="CM84" s="211" t="s">
        <v>3</v>
      </c>
      <c r="CN84" s="213" t="s">
        <v>2</v>
      </c>
      <c r="CO84" s="121" t="s">
        <v>217</v>
      </c>
      <c r="CP84" s="82" t="s">
        <v>198</v>
      </c>
      <c r="CQ84" s="82" t="s">
        <v>0</v>
      </c>
      <c r="CR84" s="63" t="s">
        <v>5</v>
      </c>
      <c r="CS84" s="9" t="s">
        <v>1</v>
      </c>
      <c r="CT84" s="215" t="s">
        <v>4</v>
      </c>
      <c r="CU84" s="216"/>
      <c r="CV84" s="82" t="s">
        <v>125</v>
      </c>
      <c r="CW84" s="211" t="s">
        <v>3</v>
      </c>
      <c r="CX84" s="213" t="s">
        <v>2</v>
      </c>
      <c r="CY84" s="121" t="s">
        <v>217</v>
      </c>
      <c r="CZ84" s="82" t="s">
        <v>198</v>
      </c>
      <c r="DA84" s="82" t="s">
        <v>0</v>
      </c>
      <c r="DB84" s="63" t="s">
        <v>5</v>
      </c>
      <c r="DC84" s="9" t="s">
        <v>1</v>
      </c>
      <c r="DD84" s="215" t="s">
        <v>4</v>
      </c>
      <c r="DE84" s="216"/>
      <c r="DF84" s="82" t="s">
        <v>125</v>
      </c>
      <c r="DG84" s="211" t="s">
        <v>3</v>
      </c>
      <c r="DH84" s="213" t="s">
        <v>2</v>
      </c>
      <c r="DI84" s="121" t="s">
        <v>217</v>
      </c>
      <c r="DJ84" s="82" t="s">
        <v>198</v>
      </c>
      <c r="DK84" s="82" t="s">
        <v>0</v>
      </c>
      <c r="DL84" s="63" t="s">
        <v>5</v>
      </c>
      <c r="DM84" s="9" t="s">
        <v>1</v>
      </c>
      <c r="DN84" s="215" t="s">
        <v>4</v>
      </c>
      <c r="DO84" s="216"/>
      <c r="DP84" s="82" t="s">
        <v>125</v>
      </c>
      <c r="DQ84" s="211" t="s">
        <v>3</v>
      </c>
      <c r="DR84" s="213" t="s">
        <v>2</v>
      </c>
      <c r="DS84" s="121" t="s">
        <v>217</v>
      </c>
      <c r="DT84" s="82" t="s">
        <v>198</v>
      </c>
      <c r="DU84" s="82" t="s">
        <v>0</v>
      </c>
      <c r="DV84" s="63" t="s">
        <v>5</v>
      </c>
      <c r="DW84" s="9" t="s">
        <v>1</v>
      </c>
      <c r="DX84" s="215" t="s">
        <v>4</v>
      </c>
      <c r="DY84" s="216"/>
      <c r="DZ84" s="82" t="s">
        <v>125</v>
      </c>
    </row>
    <row r="85" spans="1:144" ht="15.75" customHeight="1" x14ac:dyDescent="0.3">
      <c r="A85" s="212"/>
      <c r="B85" s="214"/>
      <c r="C85" s="82" t="s">
        <v>7</v>
      </c>
      <c r="D85" s="82" t="s">
        <v>7</v>
      </c>
      <c r="E85" s="82" t="s">
        <v>7</v>
      </c>
      <c r="F85" s="63" t="s">
        <v>10</v>
      </c>
      <c r="G85" s="9" t="s">
        <v>6</v>
      </c>
      <c r="H85" s="63" t="s">
        <v>8</v>
      </c>
      <c r="I85" s="63" t="s">
        <v>9</v>
      </c>
      <c r="J85" s="93" t="s">
        <v>128</v>
      </c>
      <c r="K85" s="212"/>
      <c r="L85" s="214"/>
      <c r="M85" s="82" t="s">
        <v>7</v>
      </c>
      <c r="N85" s="82" t="s">
        <v>7</v>
      </c>
      <c r="O85" s="82" t="s">
        <v>7</v>
      </c>
      <c r="P85" s="63" t="s">
        <v>10</v>
      </c>
      <c r="Q85" s="9" t="s">
        <v>6</v>
      </c>
      <c r="R85" s="63" t="s">
        <v>8</v>
      </c>
      <c r="S85" s="63" t="s">
        <v>9</v>
      </c>
      <c r="T85" s="93" t="s">
        <v>128</v>
      </c>
      <c r="U85" s="212"/>
      <c r="V85" s="214"/>
      <c r="W85" s="82" t="s">
        <v>7</v>
      </c>
      <c r="X85" s="82" t="s">
        <v>7</v>
      </c>
      <c r="Y85" s="82" t="s">
        <v>7</v>
      </c>
      <c r="Z85" s="63" t="s">
        <v>10</v>
      </c>
      <c r="AA85" s="9" t="s">
        <v>6</v>
      </c>
      <c r="AB85" s="63" t="s">
        <v>8</v>
      </c>
      <c r="AC85" s="63" t="s">
        <v>9</v>
      </c>
      <c r="AD85" s="93" t="s">
        <v>128</v>
      </c>
      <c r="AE85" s="212"/>
      <c r="AF85" s="214"/>
      <c r="AG85" s="82" t="s">
        <v>7</v>
      </c>
      <c r="AH85" s="82" t="s">
        <v>7</v>
      </c>
      <c r="AI85" s="82" t="s">
        <v>7</v>
      </c>
      <c r="AJ85" s="63" t="s">
        <v>10</v>
      </c>
      <c r="AK85" s="9" t="s">
        <v>6</v>
      </c>
      <c r="AL85" s="63" t="s">
        <v>8</v>
      </c>
      <c r="AM85" s="63" t="s">
        <v>9</v>
      </c>
      <c r="AN85" s="93" t="s">
        <v>128</v>
      </c>
      <c r="AO85" s="212"/>
      <c r="AP85" s="214"/>
      <c r="AQ85" s="82" t="s">
        <v>7</v>
      </c>
      <c r="AR85" s="82" t="s">
        <v>7</v>
      </c>
      <c r="AS85" s="82" t="s">
        <v>7</v>
      </c>
      <c r="AT85" s="63" t="s">
        <v>10</v>
      </c>
      <c r="AU85" s="9" t="s">
        <v>6</v>
      </c>
      <c r="AV85" s="63" t="s">
        <v>8</v>
      </c>
      <c r="AW85" s="63" t="s">
        <v>9</v>
      </c>
      <c r="AX85" s="93" t="s">
        <v>128</v>
      </c>
      <c r="AY85" s="212"/>
      <c r="AZ85" s="214"/>
      <c r="BA85" s="82" t="s">
        <v>7</v>
      </c>
      <c r="BB85" s="82" t="s">
        <v>7</v>
      </c>
      <c r="BC85" s="82" t="s">
        <v>7</v>
      </c>
      <c r="BD85" s="63" t="s">
        <v>10</v>
      </c>
      <c r="BE85" s="9" t="s">
        <v>6</v>
      </c>
      <c r="BF85" s="63" t="s">
        <v>8</v>
      </c>
      <c r="BG85" s="63" t="s">
        <v>9</v>
      </c>
      <c r="BH85" s="93" t="s">
        <v>128</v>
      </c>
      <c r="BI85" s="212"/>
      <c r="BJ85" s="214"/>
      <c r="BK85" s="82" t="s">
        <v>7</v>
      </c>
      <c r="BL85" s="82" t="s">
        <v>7</v>
      </c>
      <c r="BM85" s="82" t="s">
        <v>7</v>
      </c>
      <c r="BN85" s="63" t="s">
        <v>10</v>
      </c>
      <c r="BO85" s="9" t="s">
        <v>6</v>
      </c>
      <c r="BP85" s="63" t="s">
        <v>8</v>
      </c>
      <c r="BQ85" s="63" t="s">
        <v>9</v>
      </c>
      <c r="BR85" s="93" t="s">
        <v>128</v>
      </c>
      <c r="BS85" s="212"/>
      <c r="BT85" s="214"/>
      <c r="BU85" s="82" t="s">
        <v>7</v>
      </c>
      <c r="BV85" s="82" t="s">
        <v>7</v>
      </c>
      <c r="BW85" s="82" t="s">
        <v>7</v>
      </c>
      <c r="BX85" s="63" t="s">
        <v>10</v>
      </c>
      <c r="BY85" s="9" t="s">
        <v>6</v>
      </c>
      <c r="BZ85" s="63" t="s">
        <v>8</v>
      </c>
      <c r="CA85" s="63" t="s">
        <v>9</v>
      </c>
      <c r="CB85" s="93" t="s">
        <v>128</v>
      </c>
      <c r="CC85" s="212"/>
      <c r="CD85" s="214"/>
      <c r="CE85" s="82" t="s">
        <v>7</v>
      </c>
      <c r="CF85" s="82" t="s">
        <v>7</v>
      </c>
      <c r="CG85" s="82" t="s">
        <v>7</v>
      </c>
      <c r="CH85" s="63" t="s">
        <v>10</v>
      </c>
      <c r="CI85" s="9" t="s">
        <v>6</v>
      </c>
      <c r="CJ85" s="63" t="s">
        <v>8</v>
      </c>
      <c r="CK85" s="63" t="s">
        <v>9</v>
      </c>
      <c r="CL85" s="93" t="s">
        <v>128</v>
      </c>
      <c r="CM85" s="212"/>
      <c r="CN85" s="214"/>
      <c r="CO85" s="82" t="s">
        <v>7</v>
      </c>
      <c r="CP85" s="82" t="s">
        <v>7</v>
      </c>
      <c r="CQ85" s="82" t="s">
        <v>7</v>
      </c>
      <c r="CR85" s="63" t="s">
        <v>10</v>
      </c>
      <c r="CS85" s="9" t="s">
        <v>6</v>
      </c>
      <c r="CT85" s="63" t="s">
        <v>8</v>
      </c>
      <c r="CU85" s="63" t="s">
        <v>9</v>
      </c>
      <c r="CV85" s="93" t="s">
        <v>128</v>
      </c>
      <c r="CW85" s="212"/>
      <c r="CX85" s="214"/>
      <c r="CY85" s="82" t="s">
        <v>7</v>
      </c>
      <c r="CZ85" s="82" t="s">
        <v>7</v>
      </c>
      <c r="DA85" s="82" t="s">
        <v>7</v>
      </c>
      <c r="DB85" s="63" t="s">
        <v>10</v>
      </c>
      <c r="DC85" s="9" t="s">
        <v>6</v>
      </c>
      <c r="DD85" s="63" t="s">
        <v>8</v>
      </c>
      <c r="DE85" s="63" t="s">
        <v>9</v>
      </c>
      <c r="DF85" s="93" t="s">
        <v>128</v>
      </c>
      <c r="DG85" s="212"/>
      <c r="DH85" s="214"/>
      <c r="DI85" s="82" t="s">
        <v>7</v>
      </c>
      <c r="DJ85" s="82" t="s">
        <v>7</v>
      </c>
      <c r="DK85" s="82" t="s">
        <v>7</v>
      </c>
      <c r="DL85" s="63" t="s">
        <v>10</v>
      </c>
      <c r="DM85" s="9" t="s">
        <v>6</v>
      </c>
      <c r="DN85" s="63" t="s">
        <v>8</v>
      </c>
      <c r="DO85" s="63" t="s">
        <v>9</v>
      </c>
      <c r="DP85" s="93" t="s">
        <v>128</v>
      </c>
      <c r="DQ85" s="212"/>
      <c r="DR85" s="214"/>
      <c r="DS85" s="82" t="s">
        <v>7</v>
      </c>
      <c r="DT85" s="82" t="s">
        <v>7</v>
      </c>
      <c r="DU85" s="82" t="s">
        <v>7</v>
      </c>
      <c r="DV85" s="63" t="s">
        <v>10</v>
      </c>
      <c r="DW85" s="9" t="s">
        <v>6</v>
      </c>
      <c r="DX85" s="63" t="s">
        <v>8</v>
      </c>
      <c r="DY85" s="63" t="s">
        <v>9</v>
      </c>
      <c r="DZ85" s="93" t="s">
        <v>128</v>
      </c>
    </row>
    <row r="86" spans="1:144" s="19" customFormat="1" ht="9.75" customHeight="1" x14ac:dyDescent="0.2">
      <c r="A86" s="99">
        <v>1</v>
      </c>
      <c r="B86" s="100">
        <v>2</v>
      </c>
      <c r="C86" s="100"/>
      <c r="D86" s="99">
        <v>3</v>
      </c>
      <c r="E86" s="99">
        <v>4</v>
      </c>
      <c r="F86" s="99">
        <v>5</v>
      </c>
      <c r="G86" s="99"/>
      <c r="H86" s="99">
        <v>6</v>
      </c>
      <c r="I86" s="99">
        <v>7</v>
      </c>
      <c r="J86" s="99">
        <v>8</v>
      </c>
      <c r="K86" s="99">
        <v>1</v>
      </c>
      <c r="L86" s="100">
        <v>2</v>
      </c>
      <c r="M86" s="100"/>
      <c r="N86" s="99">
        <v>3</v>
      </c>
      <c r="O86" s="99">
        <v>4</v>
      </c>
      <c r="P86" s="99">
        <v>5</v>
      </c>
      <c r="Q86" s="99"/>
      <c r="R86" s="99">
        <v>6</v>
      </c>
      <c r="S86" s="99">
        <v>7</v>
      </c>
      <c r="T86" s="99">
        <v>8</v>
      </c>
      <c r="U86" s="99">
        <v>1</v>
      </c>
      <c r="V86" s="100">
        <v>2</v>
      </c>
      <c r="W86" s="100"/>
      <c r="X86" s="99">
        <v>3</v>
      </c>
      <c r="Y86" s="99">
        <v>4</v>
      </c>
      <c r="Z86" s="99">
        <v>5</v>
      </c>
      <c r="AA86" s="99"/>
      <c r="AB86" s="99">
        <v>6</v>
      </c>
      <c r="AC86" s="99">
        <v>7</v>
      </c>
      <c r="AD86" s="99">
        <v>8</v>
      </c>
      <c r="AE86" s="99">
        <v>1</v>
      </c>
      <c r="AF86" s="100">
        <v>2</v>
      </c>
      <c r="AG86" s="100"/>
      <c r="AH86" s="99">
        <v>3</v>
      </c>
      <c r="AI86" s="99">
        <v>4</v>
      </c>
      <c r="AJ86" s="99">
        <v>5</v>
      </c>
      <c r="AK86" s="99"/>
      <c r="AL86" s="99">
        <v>6</v>
      </c>
      <c r="AM86" s="99">
        <v>7</v>
      </c>
      <c r="AN86" s="99">
        <v>8</v>
      </c>
      <c r="AO86" s="99">
        <v>1</v>
      </c>
      <c r="AP86" s="100">
        <v>2</v>
      </c>
      <c r="AQ86" s="100"/>
      <c r="AR86" s="99">
        <v>3</v>
      </c>
      <c r="AS86" s="99">
        <v>4</v>
      </c>
      <c r="AT86" s="99">
        <v>5</v>
      </c>
      <c r="AU86" s="99"/>
      <c r="AV86" s="99">
        <v>6</v>
      </c>
      <c r="AW86" s="99">
        <v>7</v>
      </c>
      <c r="AX86" s="99">
        <v>8</v>
      </c>
      <c r="AY86" s="99">
        <v>1</v>
      </c>
      <c r="AZ86" s="100">
        <v>2</v>
      </c>
      <c r="BA86" s="100"/>
      <c r="BB86" s="99">
        <v>3</v>
      </c>
      <c r="BC86" s="99">
        <v>4</v>
      </c>
      <c r="BD86" s="99">
        <v>5</v>
      </c>
      <c r="BE86" s="195"/>
      <c r="BF86" s="99">
        <v>6</v>
      </c>
      <c r="BG86" s="99">
        <v>7</v>
      </c>
      <c r="BH86" s="99">
        <v>8</v>
      </c>
      <c r="BI86" s="99">
        <v>1</v>
      </c>
      <c r="BJ86" s="100">
        <v>2</v>
      </c>
      <c r="BK86" s="100"/>
      <c r="BL86" s="99">
        <v>3</v>
      </c>
      <c r="BM86" s="99">
        <v>4</v>
      </c>
      <c r="BN86" s="99">
        <v>5</v>
      </c>
      <c r="BO86" s="99"/>
      <c r="BP86" s="99">
        <v>6</v>
      </c>
      <c r="BQ86" s="99">
        <v>7</v>
      </c>
      <c r="BR86" s="99">
        <v>8</v>
      </c>
      <c r="BS86" s="99">
        <v>1</v>
      </c>
      <c r="BT86" s="100">
        <v>2</v>
      </c>
      <c r="BU86" s="100"/>
      <c r="BV86" s="99">
        <v>3</v>
      </c>
      <c r="BW86" s="99">
        <v>4</v>
      </c>
      <c r="BX86" s="99">
        <v>5</v>
      </c>
      <c r="BY86" s="195"/>
      <c r="BZ86" s="99">
        <v>6</v>
      </c>
      <c r="CA86" s="99">
        <v>7</v>
      </c>
      <c r="CB86" s="99">
        <v>8</v>
      </c>
      <c r="CC86" s="99">
        <v>1</v>
      </c>
      <c r="CD86" s="100">
        <v>2</v>
      </c>
      <c r="CE86" s="100"/>
      <c r="CF86" s="99">
        <v>3</v>
      </c>
      <c r="CG86" s="99">
        <v>4</v>
      </c>
      <c r="CH86" s="99">
        <v>5</v>
      </c>
      <c r="CI86" s="99"/>
      <c r="CJ86" s="99">
        <v>6</v>
      </c>
      <c r="CK86" s="99">
        <v>7</v>
      </c>
      <c r="CL86" s="99">
        <v>8</v>
      </c>
      <c r="CM86" s="99">
        <v>1</v>
      </c>
      <c r="CN86" s="100">
        <v>2</v>
      </c>
      <c r="CO86" s="100"/>
      <c r="CP86" s="99">
        <v>3</v>
      </c>
      <c r="CQ86" s="99">
        <v>4</v>
      </c>
      <c r="CR86" s="99">
        <v>5</v>
      </c>
      <c r="CS86" s="99"/>
      <c r="CT86" s="99">
        <v>6</v>
      </c>
      <c r="CU86" s="99">
        <v>7</v>
      </c>
      <c r="CV86" s="99">
        <v>8</v>
      </c>
      <c r="CW86" s="99">
        <v>1</v>
      </c>
      <c r="CX86" s="100">
        <v>2</v>
      </c>
      <c r="CY86" s="100"/>
      <c r="CZ86" s="99">
        <v>3</v>
      </c>
      <c r="DA86" s="99">
        <v>4</v>
      </c>
      <c r="DB86" s="99">
        <v>5</v>
      </c>
      <c r="DC86" s="195"/>
      <c r="DD86" s="99">
        <v>6</v>
      </c>
      <c r="DE86" s="99">
        <v>7</v>
      </c>
      <c r="DF86" s="99">
        <v>8</v>
      </c>
      <c r="DG86" s="99">
        <v>1</v>
      </c>
      <c r="DH86" s="100">
        <v>2</v>
      </c>
      <c r="DI86" s="100"/>
      <c r="DJ86" s="99">
        <v>3</v>
      </c>
      <c r="DK86" s="99">
        <v>4</v>
      </c>
      <c r="DL86" s="99">
        <v>5</v>
      </c>
      <c r="DM86" s="195"/>
      <c r="DN86" s="99">
        <v>6</v>
      </c>
      <c r="DO86" s="99">
        <v>7</v>
      </c>
      <c r="DP86" s="99">
        <v>8</v>
      </c>
      <c r="DQ86" s="99">
        <v>1</v>
      </c>
      <c r="DR86" s="100">
        <v>2</v>
      </c>
      <c r="DS86" s="100"/>
      <c r="DT86" s="99">
        <v>3</v>
      </c>
      <c r="DU86" s="99">
        <v>4</v>
      </c>
      <c r="DV86" s="99">
        <v>5</v>
      </c>
      <c r="DW86" s="99"/>
      <c r="DX86" s="99">
        <v>6</v>
      </c>
      <c r="DY86" s="99">
        <v>7</v>
      </c>
      <c r="DZ86" s="99">
        <v>8</v>
      </c>
    </row>
    <row r="87" spans="1:144" x14ac:dyDescent="0.3">
      <c r="A87" s="43" t="s">
        <v>72</v>
      </c>
      <c r="B87" s="69" t="s">
        <v>73</v>
      </c>
      <c r="C87" s="69"/>
      <c r="D87" s="79"/>
      <c r="E87" s="92"/>
      <c r="F87" s="92"/>
      <c r="G87" s="92"/>
      <c r="H87" s="79"/>
      <c r="I87" s="79"/>
      <c r="J87" s="79"/>
      <c r="K87" s="43" t="s">
        <v>72</v>
      </c>
      <c r="L87" s="69" t="s">
        <v>73</v>
      </c>
      <c r="M87" s="130"/>
      <c r="N87" s="79"/>
      <c r="O87" s="92"/>
      <c r="P87" s="92"/>
      <c r="Q87" s="92"/>
      <c r="R87" s="79"/>
      <c r="S87" s="79"/>
      <c r="T87" s="79"/>
      <c r="U87" s="43" t="s">
        <v>72</v>
      </c>
      <c r="V87" s="69" t="s">
        <v>73</v>
      </c>
      <c r="W87" s="130"/>
      <c r="X87" s="79"/>
      <c r="Y87" s="92"/>
      <c r="Z87" s="92"/>
      <c r="AA87" s="92"/>
      <c r="AB87" s="79">
        <v>0</v>
      </c>
      <c r="AC87" s="79">
        <v>0</v>
      </c>
      <c r="AD87" s="79"/>
      <c r="AE87" s="43" t="s">
        <v>72</v>
      </c>
      <c r="AF87" s="69" t="s">
        <v>73</v>
      </c>
      <c r="AG87" s="130"/>
      <c r="AH87" s="79"/>
      <c r="AI87" s="92"/>
      <c r="AJ87" s="92"/>
      <c r="AK87" s="92"/>
      <c r="AL87" s="79"/>
      <c r="AM87" s="79"/>
      <c r="AN87" s="79"/>
      <c r="AO87" s="43" t="s">
        <v>72</v>
      </c>
      <c r="AP87" s="69" t="s">
        <v>73</v>
      </c>
      <c r="AQ87" s="130"/>
      <c r="AR87" s="79"/>
      <c r="AS87" s="92"/>
      <c r="AT87" s="92"/>
      <c r="AU87" s="92"/>
      <c r="AV87" s="79"/>
      <c r="AW87" s="79"/>
      <c r="AX87" s="79"/>
      <c r="AY87" s="43" t="s">
        <v>72</v>
      </c>
      <c r="AZ87" s="69" t="s">
        <v>73</v>
      </c>
      <c r="BA87" s="130"/>
      <c r="BB87" s="79"/>
      <c r="BC87" s="92"/>
      <c r="BD87" s="92"/>
      <c r="BE87" s="197"/>
      <c r="BF87" s="79"/>
      <c r="BG87" s="79"/>
      <c r="BH87" s="79"/>
      <c r="BI87" s="43" t="s">
        <v>72</v>
      </c>
      <c r="BJ87" s="69" t="s">
        <v>73</v>
      </c>
      <c r="BK87" s="130"/>
      <c r="BL87" s="79"/>
      <c r="BM87" s="92"/>
      <c r="BN87" s="92"/>
      <c r="BO87" s="92"/>
      <c r="BP87" s="79"/>
      <c r="BQ87" s="79"/>
      <c r="BR87" s="79"/>
      <c r="BS87" s="43" t="s">
        <v>72</v>
      </c>
      <c r="BT87" s="69" t="s">
        <v>73</v>
      </c>
      <c r="BU87" s="130"/>
      <c r="BV87" s="79"/>
      <c r="BW87" s="92"/>
      <c r="BX87" s="92"/>
      <c r="BY87" s="197"/>
      <c r="BZ87" s="79"/>
      <c r="CA87" s="79"/>
      <c r="CB87" s="79"/>
      <c r="CC87" s="43" t="s">
        <v>72</v>
      </c>
      <c r="CD87" s="69" t="s">
        <v>73</v>
      </c>
      <c r="CE87" s="130"/>
      <c r="CF87" s="79"/>
      <c r="CG87" s="92"/>
      <c r="CH87" s="92"/>
      <c r="CI87" s="92"/>
      <c r="CJ87" s="79"/>
      <c r="CK87" s="79"/>
      <c r="CL87" s="79"/>
      <c r="CM87" s="43" t="s">
        <v>72</v>
      </c>
      <c r="CN87" s="69" t="s">
        <v>73</v>
      </c>
      <c r="CO87" s="130"/>
      <c r="CP87" s="79"/>
      <c r="CQ87" s="92"/>
      <c r="CR87" s="92"/>
      <c r="CS87" s="92"/>
      <c r="CT87" s="79"/>
      <c r="CU87" s="79"/>
      <c r="CV87" s="79"/>
      <c r="CW87" s="43" t="s">
        <v>72</v>
      </c>
      <c r="CX87" s="69" t="s">
        <v>73</v>
      </c>
      <c r="CY87" s="130"/>
      <c r="CZ87" s="79"/>
      <c r="DA87" s="92"/>
      <c r="DB87" s="92"/>
      <c r="DC87" s="197"/>
      <c r="DD87" s="79"/>
      <c r="DE87" s="79"/>
      <c r="DF87" s="79"/>
      <c r="DG87" s="43" t="s">
        <v>72</v>
      </c>
      <c r="DH87" s="69" t="s">
        <v>73</v>
      </c>
      <c r="DI87" s="130"/>
      <c r="DJ87" s="79"/>
      <c r="DK87" s="92"/>
      <c r="DL87" s="92"/>
      <c r="DM87" s="197"/>
      <c r="DN87" s="79"/>
      <c r="DO87" s="79"/>
      <c r="DP87" s="79"/>
      <c r="DQ87" s="43" t="s">
        <v>72</v>
      </c>
      <c r="DR87" s="69" t="s">
        <v>73</v>
      </c>
      <c r="DS87" s="130"/>
      <c r="DT87" s="79"/>
      <c r="DU87" s="92"/>
      <c r="DV87" s="92"/>
      <c r="DW87" s="92"/>
      <c r="DX87" s="79"/>
      <c r="DY87" s="79"/>
      <c r="DZ87" s="79"/>
    </row>
    <row r="88" spans="1:144" x14ac:dyDescent="0.3">
      <c r="A88" s="36"/>
      <c r="B88" s="31" t="s">
        <v>74</v>
      </c>
      <c r="C88" s="31"/>
      <c r="D88" s="26"/>
      <c r="E88" s="28"/>
      <c r="F88" s="28"/>
      <c r="G88" s="28">
        <f>SUM(G89:G97)</f>
        <v>36.199999999999996</v>
      </c>
      <c r="H88" s="26"/>
      <c r="I88" s="26"/>
      <c r="J88" s="26"/>
      <c r="K88" s="36"/>
      <c r="L88" s="31" t="s">
        <v>74</v>
      </c>
      <c r="M88" s="128"/>
      <c r="N88" s="26">
        <v>225</v>
      </c>
      <c r="O88" s="28"/>
      <c r="P88" s="28"/>
      <c r="Q88" s="28">
        <f>SUM(Q89:Q97)</f>
        <v>30.7</v>
      </c>
      <c r="R88" s="26"/>
      <c r="S88" s="26"/>
      <c r="T88" s="26"/>
      <c r="U88" s="36"/>
      <c r="V88" s="31" t="s">
        <v>74</v>
      </c>
      <c r="W88" s="128"/>
      <c r="X88" s="26"/>
      <c r="Y88" s="28"/>
      <c r="Z88" s="28"/>
      <c r="AA88" s="28">
        <f>SUM(AA89:AA97)</f>
        <v>22.8</v>
      </c>
      <c r="AB88" s="26"/>
      <c r="AC88" s="26"/>
      <c r="AD88" s="26"/>
      <c r="AE88" s="36"/>
      <c r="AF88" s="31" t="s">
        <v>74</v>
      </c>
      <c r="AG88" s="128"/>
      <c r="AH88" s="26">
        <v>225</v>
      </c>
      <c r="AI88" s="192"/>
      <c r="AJ88" s="28"/>
      <c r="AK88" s="28">
        <f>SUM(AK89:AK97)</f>
        <v>29.4</v>
      </c>
      <c r="AL88" s="26"/>
      <c r="AM88" s="26"/>
      <c r="AN88" s="26"/>
      <c r="AO88" s="36"/>
      <c r="AP88" s="31" t="s">
        <v>74</v>
      </c>
      <c r="AQ88" s="128"/>
      <c r="AR88" s="26">
        <v>225</v>
      </c>
      <c r="AS88" s="28"/>
      <c r="AT88" s="28"/>
      <c r="AU88" s="77">
        <f>SUM(AU89:AU97)</f>
        <v>10.7</v>
      </c>
      <c r="AV88" s="26"/>
      <c r="AW88" s="26"/>
      <c r="AX88" s="26"/>
      <c r="AY88" s="36"/>
      <c r="AZ88" s="31" t="s">
        <v>74</v>
      </c>
      <c r="BA88" s="128"/>
      <c r="BB88" s="26">
        <v>225</v>
      </c>
      <c r="BC88" s="28"/>
      <c r="BD88" s="28"/>
      <c r="BE88" s="202">
        <f>SUM(BE89:BE97)</f>
        <v>10.5</v>
      </c>
      <c r="BF88" s="26"/>
      <c r="BG88" s="26"/>
      <c r="BH88" s="26"/>
      <c r="BI88" s="36"/>
      <c r="BJ88" s="31" t="s">
        <v>74</v>
      </c>
      <c r="BK88" s="128"/>
      <c r="BL88" s="192"/>
      <c r="BM88" s="28"/>
      <c r="BN88" s="28"/>
      <c r="BO88" s="28"/>
      <c r="BP88" s="26"/>
      <c r="BQ88" s="26"/>
      <c r="BR88" s="26" t="e">
        <f t="shared" ref="BR88:BR118" si="82">BO88/BM88</f>
        <v>#DIV/0!</v>
      </c>
      <c r="BS88" s="36"/>
      <c r="BT88" s="31" t="s">
        <v>74</v>
      </c>
      <c r="BU88" s="128"/>
      <c r="BV88" s="26"/>
      <c r="BW88" s="28"/>
      <c r="BX88" s="28"/>
      <c r="BY88" s="202">
        <f>SUM(BY89:BY97)</f>
        <v>13.1</v>
      </c>
      <c r="BZ88" s="26"/>
      <c r="CA88" s="26"/>
      <c r="CB88" s="26" t="e">
        <f t="shared" ref="CB88:CB118" si="83">BY88/BW88</f>
        <v>#DIV/0!</v>
      </c>
      <c r="CC88" s="36"/>
      <c r="CD88" s="31" t="s">
        <v>74</v>
      </c>
      <c r="CE88" s="128"/>
      <c r="CF88" s="128">
        <v>225</v>
      </c>
      <c r="CG88" s="28"/>
      <c r="CH88" s="28"/>
      <c r="CI88" s="77">
        <f>SUM(CI89:CI97)</f>
        <v>15.6</v>
      </c>
      <c r="CJ88" s="26"/>
      <c r="CK88" s="26"/>
      <c r="CL88" s="26" t="e">
        <f t="shared" ref="CL88:CL118" si="84">CI88/CG88</f>
        <v>#DIV/0!</v>
      </c>
      <c r="CM88" s="36"/>
      <c r="CN88" s="31" t="s">
        <v>74</v>
      </c>
      <c r="CO88" s="128"/>
      <c r="CP88" s="26">
        <v>225</v>
      </c>
      <c r="CQ88" s="28"/>
      <c r="CR88" s="28"/>
      <c r="CS88" s="194">
        <f>SUM(CS89:CS97)</f>
        <v>18.299999999999997</v>
      </c>
      <c r="CT88" s="26"/>
      <c r="CU88" s="26"/>
      <c r="CV88" s="26"/>
      <c r="CW88" s="36"/>
      <c r="CX88" s="31" t="s">
        <v>74</v>
      </c>
      <c r="CY88" s="128"/>
      <c r="CZ88" s="26">
        <v>225</v>
      </c>
      <c r="DA88" s="28"/>
      <c r="DB88" s="28"/>
      <c r="DC88" s="199">
        <f>SUM(DC89:DC97)</f>
        <v>22.5</v>
      </c>
      <c r="DD88" s="26"/>
      <c r="DE88" s="26"/>
      <c r="DF88" s="26" t="e">
        <f t="shared" ref="DF88:DF118" si="85">DC88/DA88</f>
        <v>#DIV/0!</v>
      </c>
      <c r="DG88" s="36"/>
      <c r="DH88" s="31" t="s">
        <v>74</v>
      </c>
      <c r="DI88" s="128"/>
      <c r="DJ88" s="26">
        <v>225</v>
      </c>
      <c r="DK88" s="28"/>
      <c r="DL88" s="28"/>
      <c r="DM88" s="199">
        <f>SUM(DM89:DM97)</f>
        <v>25.5</v>
      </c>
      <c r="DN88" s="26"/>
      <c r="DO88" s="26"/>
      <c r="DP88" s="26" t="e">
        <f t="shared" ref="DP88:DP118" si="86">DM88/DK88</f>
        <v>#DIV/0!</v>
      </c>
      <c r="DQ88" s="36"/>
      <c r="DR88" s="31" t="s">
        <v>74</v>
      </c>
      <c r="DS88" s="128"/>
      <c r="DT88" s="26"/>
      <c r="DU88" s="28"/>
      <c r="DV88" s="28"/>
      <c r="DW88" s="28"/>
      <c r="DX88" s="26"/>
      <c r="DY88" s="26"/>
      <c r="DZ88" s="26"/>
    </row>
    <row r="89" spans="1:144" x14ac:dyDescent="0.3">
      <c r="A89" s="1">
        <v>1</v>
      </c>
      <c r="B89" s="1" t="s">
        <v>75</v>
      </c>
      <c r="C89" s="6"/>
      <c r="D89" s="149">
        <v>225</v>
      </c>
      <c r="E89" s="149">
        <v>225</v>
      </c>
      <c r="F89" s="79"/>
      <c r="G89" s="188">
        <v>1.1000000000000001</v>
      </c>
      <c r="H89" s="79"/>
      <c r="I89" s="79"/>
      <c r="J89" s="85">
        <f>G89/E89</f>
        <v>4.8888888888888897E-3</v>
      </c>
      <c r="K89" s="1">
        <v>1</v>
      </c>
      <c r="L89" s="1" t="s">
        <v>75</v>
      </c>
      <c r="M89" s="6"/>
      <c r="N89" s="149">
        <v>225</v>
      </c>
      <c r="O89" s="149">
        <v>225</v>
      </c>
      <c r="P89" s="79"/>
      <c r="Q89" s="79">
        <v>1.4</v>
      </c>
      <c r="R89" s="79"/>
      <c r="S89" s="79"/>
      <c r="T89" s="85">
        <v>0</v>
      </c>
      <c r="U89" s="1">
        <v>1</v>
      </c>
      <c r="V89" s="1" t="s">
        <v>75</v>
      </c>
      <c r="W89" s="6">
        <v>0</v>
      </c>
      <c r="X89" s="149">
        <v>225</v>
      </c>
      <c r="Y89" s="149">
        <v>225</v>
      </c>
      <c r="Z89" s="79">
        <v>0</v>
      </c>
      <c r="AA89" s="79">
        <v>1.1000000000000001</v>
      </c>
      <c r="AB89" s="79">
        <v>0</v>
      </c>
      <c r="AC89" s="79">
        <v>0</v>
      </c>
      <c r="AD89" s="85">
        <f>AA89/Y89</f>
        <v>4.8888888888888897E-3</v>
      </c>
      <c r="AE89" s="1">
        <v>1</v>
      </c>
      <c r="AF89" s="1" t="s">
        <v>75</v>
      </c>
      <c r="AG89" s="6"/>
      <c r="AH89" s="149">
        <v>225</v>
      </c>
      <c r="AI89" s="149">
        <v>225</v>
      </c>
      <c r="AJ89" s="79"/>
      <c r="AK89" s="188">
        <v>0.6</v>
      </c>
      <c r="AL89" s="79"/>
      <c r="AM89" s="79"/>
      <c r="AN89" s="191">
        <f>AK89/AI89</f>
        <v>2.6666666666666666E-3</v>
      </c>
      <c r="AO89" s="1">
        <v>1</v>
      </c>
      <c r="AP89" s="1" t="s">
        <v>75</v>
      </c>
      <c r="AQ89" s="6"/>
      <c r="AR89" s="149">
        <v>225</v>
      </c>
      <c r="AS89" s="149">
        <v>225</v>
      </c>
      <c r="AT89" s="79"/>
      <c r="AU89" s="79">
        <v>0.5</v>
      </c>
      <c r="AV89" s="79"/>
      <c r="AW89" s="79"/>
      <c r="AX89" s="85">
        <f t="shared" ref="AX89:AX96" si="87">AU89/AS89</f>
        <v>2.2222222222222222E-3</v>
      </c>
      <c r="AY89" s="1">
        <v>1</v>
      </c>
      <c r="AZ89" s="1" t="s">
        <v>75</v>
      </c>
      <c r="BA89" s="6"/>
      <c r="BB89" s="149">
        <v>225</v>
      </c>
      <c r="BC89" s="149">
        <v>225</v>
      </c>
      <c r="BD89" s="79"/>
      <c r="BE89" s="40">
        <v>0.5</v>
      </c>
      <c r="BF89" s="79"/>
      <c r="BG89" s="79"/>
      <c r="BH89" s="85">
        <f t="shared" ref="BH89:BH96" si="88">BE89/BC89</f>
        <v>2.2222222222222222E-3</v>
      </c>
      <c r="BI89" s="1">
        <v>1</v>
      </c>
      <c r="BJ89" s="1" t="s">
        <v>75</v>
      </c>
      <c r="BK89" s="149"/>
      <c r="BL89" s="149">
        <v>225</v>
      </c>
      <c r="BM89" s="149">
        <v>225</v>
      </c>
      <c r="BN89" s="79"/>
      <c r="BO89" s="79">
        <v>0.5</v>
      </c>
      <c r="BP89" s="79"/>
      <c r="BQ89" s="79"/>
      <c r="BR89" s="79">
        <f t="shared" si="82"/>
        <v>2.2222222222222222E-3</v>
      </c>
      <c r="BS89" s="1">
        <v>1</v>
      </c>
      <c r="BT89" s="1" t="s">
        <v>75</v>
      </c>
      <c r="BU89" s="6"/>
      <c r="BV89" s="149">
        <v>225</v>
      </c>
      <c r="BW89" s="149">
        <v>225</v>
      </c>
      <c r="BX89" s="79"/>
      <c r="BY89" s="40">
        <v>0.6</v>
      </c>
      <c r="BZ89" s="79"/>
      <c r="CA89" s="79"/>
      <c r="CB89" s="79">
        <f t="shared" si="83"/>
        <v>2.6666666666666666E-3</v>
      </c>
      <c r="CC89" s="1">
        <v>1</v>
      </c>
      <c r="CD89" s="1" t="s">
        <v>75</v>
      </c>
      <c r="CE89" s="6"/>
      <c r="CF89" s="149">
        <v>225</v>
      </c>
      <c r="CG89" s="149">
        <v>225</v>
      </c>
      <c r="CH89" s="79"/>
      <c r="CI89" s="79">
        <v>0.7</v>
      </c>
      <c r="CJ89" s="79"/>
      <c r="CK89" s="79"/>
      <c r="CL89" s="79">
        <f t="shared" si="84"/>
        <v>3.1111111111111109E-3</v>
      </c>
      <c r="CM89" s="1">
        <v>1</v>
      </c>
      <c r="CN89" s="1" t="s">
        <v>75</v>
      </c>
      <c r="CO89" s="6"/>
      <c r="CP89" s="149">
        <v>225</v>
      </c>
      <c r="CQ89" s="149">
        <v>225</v>
      </c>
      <c r="CR89" s="79"/>
      <c r="CS89" s="79">
        <v>1.2</v>
      </c>
      <c r="CT89" s="79"/>
      <c r="CU89" s="79"/>
      <c r="CV89" s="85">
        <f t="shared" ref="CV89:CV96" si="89">CS89/CQ89</f>
        <v>5.3333333333333332E-3</v>
      </c>
      <c r="CW89" s="1">
        <v>1</v>
      </c>
      <c r="CX89" s="1" t="s">
        <v>75</v>
      </c>
      <c r="CY89" s="6"/>
      <c r="CZ89" s="149">
        <v>225</v>
      </c>
      <c r="DA89" s="149">
        <v>225</v>
      </c>
      <c r="DB89" s="79"/>
      <c r="DC89" s="40">
        <v>2</v>
      </c>
      <c r="DD89" s="79"/>
      <c r="DE89" s="79"/>
      <c r="DF89" s="79">
        <f t="shared" si="85"/>
        <v>8.8888888888888889E-3</v>
      </c>
      <c r="DG89" s="1">
        <v>1</v>
      </c>
      <c r="DH89" s="1" t="s">
        <v>75</v>
      </c>
      <c r="DI89" s="6"/>
      <c r="DJ89" s="149">
        <v>225</v>
      </c>
      <c r="DK89" s="149">
        <v>225</v>
      </c>
      <c r="DL89" s="79"/>
      <c r="DM89" s="40">
        <v>2.4</v>
      </c>
      <c r="DN89" s="79"/>
      <c r="DO89" s="79"/>
      <c r="DP89" s="79">
        <f t="shared" si="86"/>
        <v>1.0666666666666666E-2</v>
      </c>
      <c r="DQ89" s="1">
        <v>1</v>
      </c>
      <c r="DR89" s="1" t="s">
        <v>75</v>
      </c>
      <c r="DS89" s="122">
        <f t="shared" ref="DS89:DS118" si="90">SUM(C89+M89+W89+AG89+AQ89+BA89+BK89+BU89+CE89+CO89+CY89+DI89)</f>
        <v>0</v>
      </c>
      <c r="DT89" s="79">
        <f>SUM(D89+N89+X89+AH89+AR89+BB89+BL89+BV89+CF89+CP89+CZ89+DJ89)</f>
        <v>2700</v>
      </c>
      <c r="DU89" s="79">
        <f>SUM(E89+O89+Y89+AI89+AS89+BC89+BM89+BW89+CG89+CQ89+DA89+DK89)</f>
        <v>2700</v>
      </c>
      <c r="DV89" s="79">
        <v>0</v>
      </c>
      <c r="DW89" s="79">
        <f>SUM(G89+Q89+AA89+AK89+AU89+BE89+BO89+BY89+CI89+CS89+DC89+DM89)</f>
        <v>12.6</v>
      </c>
      <c r="DX89" s="79">
        <f>SUM(H89+R89+AB89+AV89+BF89+BP89+BZ89+CJ89+CT89+DD89+DN89+AL89)</f>
        <v>0</v>
      </c>
      <c r="DY89" s="79">
        <f>SUM(I89+S89+AC89+AM89+AW89+BG89+BQ89+CA89+CK89+CU89+DE89+DO89)</f>
        <v>0</v>
      </c>
      <c r="DZ89" s="85">
        <f t="shared" ref="DZ89:DZ96" si="91">DW89/DU89</f>
        <v>4.6666666666666662E-3</v>
      </c>
    </row>
    <row r="90" spans="1:144" x14ac:dyDescent="0.3">
      <c r="A90" s="1">
        <v>2</v>
      </c>
      <c r="B90" s="1" t="s">
        <v>76</v>
      </c>
      <c r="C90" s="6"/>
      <c r="D90" s="149">
        <v>225</v>
      </c>
      <c r="E90" s="149">
        <v>225</v>
      </c>
      <c r="F90" s="79"/>
      <c r="G90" s="188">
        <v>1.4</v>
      </c>
      <c r="H90" s="79"/>
      <c r="I90" s="79"/>
      <c r="J90" s="85">
        <f t="shared" ref="J90:J118" si="92">G90/E90</f>
        <v>6.2222222222222219E-3</v>
      </c>
      <c r="K90" s="1">
        <v>2</v>
      </c>
      <c r="L90" s="1" t="s">
        <v>76</v>
      </c>
      <c r="M90" s="6"/>
      <c r="N90" s="149">
        <v>225</v>
      </c>
      <c r="O90" s="149">
        <v>225</v>
      </c>
      <c r="P90" s="79"/>
      <c r="Q90" s="79">
        <v>1.6</v>
      </c>
      <c r="R90" s="79"/>
      <c r="S90" s="79"/>
      <c r="T90" s="85">
        <v>0</v>
      </c>
      <c r="U90" s="1">
        <v>2</v>
      </c>
      <c r="V90" s="1" t="s">
        <v>76</v>
      </c>
      <c r="W90" s="6">
        <v>0</v>
      </c>
      <c r="X90" s="149">
        <v>225</v>
      </c>
      <c r="Y90" s="149">
        <v>225</v>
      </c>
      <c r="Z90" s="79">
        <v>0</v>
      </c>
      <c r="AA90" s="79">
        <v>1.2</v>
      </c>
      <c r="AB90" s="79">
        <v>0</v>
      </c>
      <c r="AC90" s="79">
        <v>0</v>
      </c>
      <c r="AD90" s="85">
        <f t="shared" ref="AD90:AD96" si="93">AA90/Y90</f>
        <v>5.3333333333333332E-3</v>
      </c>
      <c r="AE90" s="1">
        <v>2</v>
      </c>
      <c r="AF90" s="1" t="s">
        <v>76</v>
      </c>
      <c r="AG90" s="6"/>
      <c r="AH90" s="149">
        <v>225</v>
      </c>
      <c r="AI90" s="149">
        <v>225</v>
      </c>
      <c r="AJ90" s="79"/>
      <c r="AK90" s="188">
        <v>0.7</v>
      </c>
      <c r="AL90" s="79"/>
      <c r="AM90" s="79"/>
      <c r="AN90" s="85">
        <f t="shared" ref="AN90:AN96" si="94">AK90/AI90</f>
        <v>3.1111111111111109E-3</v>
      </c>
      <c r="AO90" s="1">
        <v>2</v>
      </c>
      <c r="AP90" s="1" t="s">
        <v>76</v>
      </c>
      <c r="AQ90" s="6"/>
      <c r="AR90" s="149">
        <v>225</v>
      </c>
      <c r="AS90" s="149">
        <v>225</v>
      </c>
      <c r="AT90" s="79"/>
      <c r="AU90" s="79">
        <v>0.6</v>
      </c>
      <c r="AV90" s="79"/>
      <c r="AW90" s="79"/>
      <c r="AX90" s="85">
        <f t="shared" si="87"/>
        <v>2.6666666666666666E-3</v>
      </c>
      <c r="AY90" s="1">
        <v>2</v>
      </c>
      <c r="AZ90" s="1" t="s">
        <v>76</v>
      </c>
      <c r="BA90" s="6"/>
      <c r="BB90" s="149">
        <v>225</v>
      </c>
      <c r="BC90" s="149">
        <v>225</v>
      </c>
      <c r="BD90" s="79"/>
      <c r="BE90" s="40">
        <v>0.7</v>
      </c>
      <c r="BF90" s="79"/>
      <c r="BG90" s="79"/>
      <c r="BH90" s="85">
        <f t="shared" si="88"/>
        <v>3.1111111111111109E-3</v>
      </c>
      <c r="BI90" s="1">
        <v>2</v>
      </c>
      <c r="BJ90" s="1" t="s">
        <v>76</v>
      </c>
      <c r="BK90" s="149"/>
      <c r="BL90" s="149">
        <v>225</v>
      </c>
      <c r="BM90" s="149">
        <v>225</v>
      </c>
      <c r="BN90" s="79"/>
      <c r="BO90" s="79">
        <v>0.7</v>
      </c>
      <c r="BP90" s="79"/>
      <c r="BQ90" s="79"/>
      <c r="BR90" s="79">
        <f t="shared" si="82"/>
        <v>3.1111111111111109E-3</v>
      </c>
      <c r="BS90" s="1">
        <v>2</v>
      </c>
      <c r="BT90" s="1" t="s">
        <v>76</v>
      </c>
      <c r="BU90" s="6"/>
      <c r="BV90" s="149">
        <v>225</v>
      </c>
      <c r="BW90" s="149">
        <v>225</v>
      </c>
      <c r="BX90" s="79"/>
      <c r="BY90" s="40">
        <v>0.8</v>
      </c>
      <c r="BZ90" s="79"/>
      <c r="CA90" s="79"/>
      <c r="CB90" s="79">
        <f t="shared" si="83"/>
        <v>3.5555555555555557E-3</v>
      </c>
      <c r="CC90" s="1">
        <v>2</v>
      </c>
      <c r="CD90" s="1" t="s">
        <v>76</v>
      </c>
      <c r="CE90" s="6"/>
      <c r="CF90" s="149">
        <v>225</v>
      </c>
      <c r="CG90" s="149">
        <v>225</v>
      </c>
      <c r="CH90" s="79"/>
      <c r="CI90" s="79">
        <v>0.9</v>
      </c>
      <c r="CJ90" s="79"/>
      <c r="CK90" s="79"/>
      <c r="CL90" s="79">
        <f t="shared" si="84"/>
        <v>4.0000000000000001E-3</v>
      </c>
      <c r="CM90" s="1">
        <v>2</v>
      </c>
      <c r="CN90" s="1" t="s">
        <v>76</v>
      </c>
      <c r="CO90" s="6"/>
      <c r="CP90" s="149">
        <v>225</v>
      </c>
      <c r="CQ90" s="149">
        <v>225</v>
      </c>
      <c r="CR90" s="79"/>
      <c r="CS90" s="79">
        <v>1</v>
      </c>
      <c r="CT90" s="79"/>
      <c r="CU90" s="79"/>
      <c r="CV90" s="85">
        <f t="shared" si="89"/>
        <v>4.4444444444444444E-3</v>
      </c>
      <c r="CW90" s="1">
        <v>2</v>
      </c>
      <c r="CX90" s="1" t="s">
        <v>76</v>
      </c>
      <c r="CY90" s="6"/>
      <c r="CZ90" s="149">
        <v>225</v>
      </c>
      <c r="DA90" s="149">
        <v>225</v>
      </c>
      <c r="DB90" s="79"/>
      <c r="DC90" s="40">
        <v>0.8</v>
      </c>
      <c r="DD90" s="79"/>
      <c r="DE90" s="79"/>
      <c r="DF90" s="79">
        <f t="shared" si="85"/>
        <v>3.5555555555555557E-3</v>
      </c>
      <c r="DG90" s="1">
        <v>2</v>
      </c>
      <c r="DH90" s="1" t="s">
        <v>76</v>
      </c>
      <c r="DI90" s="6"/>
      <c r="DJ90" s="149">
        <v>225</v>
      </c>
      <c r="DK90" s="149">
        <v>225</v>
      </c>
      <c r="DL90" s="79"/>
      <c r="DM90" s="40">
        <v>1.1000000000000001</v>
      </c>
      <c r="DN90" s="79"/>
      <c r="DO90" s="79"/>
      <c r="DP90" s="79">
        <f t="shared" si="86"/>
        <v>4.8888888888888897E-3</v>
      </c>
      <c r="DQ90" s="1">
        <v>2</v>
      </c>
      <c r="DR90" s="1" t="s">
        <v>76</v>
      </c>
      <c r="DS90" s="122">
        <f t="shared" si="90"/>
        <v>0</v>
      </c>
      <c r="DT90" s="79">
        <f t="shared" ref="DT90:DT118" si="95">SUM(D90+N90+X90+AH90+AR90+BB90+BL90+BV90+CF90+CP90+CZ90+DJ90)</f>
        <v>2700</v>
      </c>
      <c r="DU90" s="79">
        <f t="shared" ref="DU90:DU95" si="96">SUM(E90+O90+Y90+AI90+AS90+BC90+BM90+BW90+CG90+CQ90+DA90+DK90)</f>
        <v>2700</v>
      </c>
      <c r="DV90" s="79">
        <v>0</v>
      </c>
      <c r="DW90" s="79">
        <f t="shared" ref="DW90:DW118" si="97">SUM(G90+Q90+AA90+AK90+AU90+BE90+BO90+BY90+CI90+CS90+DC90+DM90)</f>
        <v>11.5</v>
      </c>
      <c r="DX90" s="79">
        <f t="shared" ref="DX90:DX118" si="98">SUM(H90+R90+AB90+AV90+BF90+BP90+BZ90+CJ90+CT90+DD90+DN90+AL90)</f>
        <v>0</v>
      </c>
      <c r="DY90" s="79">
        <f t="shared" ref="DY90:DY118" si="99">SUM(I90+S90+AC90+AM90+AW90+BG90+BQ90+CA90+CK90+CU90+DE90+DO90)</f>
        <v>0</v>
      </c>
      <c r="DZ90" s="85">
        <f t="shared" si="91"/>
        <v>4.2592592592592595E-3</v>
      </c>
    </row>
    <row r="91" spans="1:144" x14ac:dyDescent="0.3">
      <c r="A91" s="1">
        <v>3</v>
      </c>
      <c r="B91" s="1" t="s">
        <v>77</v>
      </c>
      <c r="C91" s="6"/>
      <c r="D91" s="149">
        <v>225</v>
      </c>
      <c r="E91" s="149">
        <v>225</v>
      </c>
      <c r="F91" s="79"/>
      <c r="G91" s="189">
        <v>9.5</v>
      </c>
      <c r="H91" s="79"/>
      <c r="I91" s="79"/>
      <c r="J91" s="85">
        <f t="shared" si="92"/>
        <v>4.2222222222222223E-2</v>
      </c>
      <c r="K91" s="1">
        <v>3</v>
      </c>
      <c r="L91" s="1" t="s">
        <v>77</v>
      </c>
      <c r="M91" s="6"/>
      <c r="N91" s="149">
        <v>225</v>
      </c>
      <c r="O91" s="149">
        <v>225</v>
      </c>
      <c r="P91" s="79"/>
      <c r="Q91" s="79">
        <v>7.9</v>
      </c>
      <c r="R91" s="79"/>
      <c r="S91" s="79"/>
      <c r="T91" s="85">
        <v>0</v>
      </c>
      <c r="U91" s="1">
        <v>3</v>
      </c>
      <c r="V91" s="1" t="s">
        <v>77</v>
      </c>
      <c r="W91" s="6">
        <v>0</v>
      </c>
      <c r="X91" s="149">
        <v>225</v>
      </c>
      <c r="Y91" s="149">
        <v>225</v>
      </c>
      <c r="Z91" s="79">
        <v>0</v>
      </c>
      <c r="AA91" s="79">
        <v>5.9</v>
      </c>
      <c r="AB91" s="79">
        <v>0</v>
      </c>
      <c r="AC91" s="79">
        <v>0</v>
      </c>
      <c r="AD91" s="85">
        <f t="shared" si="93"/>
        <v>2.6222222222222223E-2</v>
      </c>
      <c r="AE91" s="1">
        <v>3</v>
      </c>
      <c r="AF91" s="1" t="s">
        <v>77</v>
      </c>
      <c r="AG91" s="6"/>
      <c r="AH91" s="149">
        <v>225</v>
      </c>
      <c r="AI91" s="149">
        <v>225</v>
      </c>
      <c r="AJ91" s="79"/>
      <c r="AK91" s="189">
        <v>20.9</v>
      </c>
      <c r="AL91" s="79"/>
      <c r="AM91" s="79"/>
      <c r="AN91" s="85">
        <f t="shared" si="94"/>
        <v>9.2888888888888882E-2</v>
      </c>
      <c r="AO91" s="1">
        <v>3</v>
      </c>
      <c r="AP91" s="1" t="s">
        <v>77</v>
      </c>
      <c r="AQ91" s="6"/>
      <c r="AR91" s="149">
        <v>225</v>
      </c>
      <c r="AS91" s="149">
        <v>225</v>
      </c>
      <c r="AT91" s="79"/>
      <c r="AU91" s="79">
        <v>2.7</v>
      </c>
      <c r="AV91" s="79"/>
      <c r="AW91" s="79"/>
      <c r="AX91" s="85">
        <f t="shared" si="87"/>
        <v>1.2E-2</v>
      </c>
      <c r="AY91" s="1">
        <v>3</v>
      </c>
      <c r="AZ91" s="1" t="s">
        <v>77</v>
      </c>
      <c r="BA91" s="6"/>
      <c r="BB91" s="149">
        <v>225</v>
      </c>
      <c r="BC91" s="149">
        <v>225</v>
      </c>
      <c r="BD91" s="79"/>
      <c r="BE91" s="40">
        <v>2.6</v>
      </c>
      <c r="BF91" s="79"/>
      <c r="BG91" s="79"/>
      <c r="BH91" s="85">
        <f t="shared" si="88"/>
        <v>1.1555555555555557E-2</v>
      </c>
      <c r="BI91" s="1">
        <v>3</v>
      </c>
      <c r="BJ91" s="1" t="s">
        <v>77</v>
      </c>
      <c r="BK91" s="149"/>
      <c r="BL91" s="149">
        <v>225</v>
      </c>
      <c r="BM91" s="149">
        <v>225</v>
      </c>
      <c r="BN91" s="79"/>
      <c r="BO91" s="79">
        <v>3.3</v>
      </c>
      <c r="BP91" s="79"/>
      <c r="BQ91" s="79"/>
      <c r="BR91" s="79">
        <f t="shared" si="82"/>
        <v>1.4666666666666666E-2</v>
      </c>
      <c r="BS91" s="1">
        <v>3</v>
      </c>
      <c r="BT91" s="1" t="s">
        <v>77</v>
      </c>
      <c r="BU91" s="6"/>
      <c r="BV91" s="149">
        <v>225</v>
      </c>
      <c r="BW91" s="149">
        <v>225</v>
      </c>
      <c r="BX91" s="79"/>
      <c r="BY91" s="40">
        <v>3.5</v>
      </c>
      <c r="BZ91" s="79"/>
      <c r="CA91" s="79"/>
      <c r="CB91" s="79">
        <f t="shared" si="83"/>
        <v>1.5555555555555555E-2</v>
      </c>
      <c r="CC91" s="1">
        <v>3</v>
      </c>
      <c r="CD91" s="1" t="s">
        <v>77</v>
      </c>
      <c r="CE91" s="6"/>
      <c r="CF91" s="149">
        <v>225</v>
      </c>
      <c r="CG91" s="149">
        <v>225</v>
      </c>
      <c r="CH91" s="79"/>
      <c r="CI91" s="79">
        <v>4.0999999999999996</v>
      </c>
      <c r="CJ91" s="79"/>
      <c r="CK91" s="79"/>
      <c r="CL91" s="79">
        <f t="shared" si="84"/>
        <v>1.822222222222222E-2</v>
      </c>
      <c r="CM91" s="1">
        <v>3</v>
      </c>
      <c r="CN91" s="1" t="s">
        <v>77</v>
      </c>
      <c r="CO91" s="6"/>
      <c r="CP91" s="149">
        <v>225</v>
      </c>
      <c r="CQ91" s="149">
        <v>225</v>
      </c>
      <c r="CR91" s="79"/>
      <c r="CS91" s="79">
        <v>4.5999999999999996</v>
      </c>
      <c r="CT91" s="79"/>
      <c r="CU91" s="79"/>
      <c r="CV91" s="85">
        <f t="shared" si="89"/>
        <v>2.0444444444444442E-2</v>
      </c>
      <c r="CW91" s="1">
        <v>3</v>
      </c>
      <c r="CX91" s="1" t="s">
        <v>77</v>
      </c>
      <c r="CY91" s="6"/>
      <c r="CZ91" s="149">
        <v>225</v>
      </c>
      <c r="DA91" s="149">
        <v>225</v>
      </c>
      <c r="DB91" s="79"/>
      <c r="DC91" s="40">
        <v>5.6</v>
      </c>
      <c r="DD91" s="79"/>
      <c r="DE91" s="79"/>
      <c r="DF91" s="79">
        <f t="shared" si="85"/>
        <v>2.4888888888888887E-2</v>
      </c>
      <c r="DG91" s="1">
        <v>3</v>
      </c>
      <c r="DH91" s="1" t="s">
        <v>77</v>
      </c>
      <c r="DI91" s="6"/>
      <c r="DJ91" s="149">
        <v>225</v>
      </c>
      <c r="DK91" s="149">
        <v>225</v>
      </c>
      <c r="DL91" s="79"/>
      <c r="DM91" s="40">
        <v>6.4</v>
      </c>
      <c r="DN91" s="79"/>
      <c r="DO91" s="79"/>
      <c r="DP91" s="79">
        <f t="shared" si="86"/>
        <v>2.8444444444444446E-2</v>
      </c>
      <c r="DQ91" s="1">
        <v>3</v>
      </c>
      <c r="DR91" s="1" t="s">
        <v>77</v>
      </c>
      <c r="DS91" s="122">
        <f t="shared" si="90"/>
        <v>0</v>
      </c>
      <c r="DT91" s="79">
        <f t="shared" si="95"/>
        <v>2700</v>
      </c>
      <c r="DU91" s="79">
        <f t="shared" si="96"/>
        <v>2700</v>
      </c>
      <c r="DV91" s="79">
        <v>0</v>
      </c>
      <c r="DW91" s="79">
        <f t="shared" si="97"/>
        <v>77</v>
      </c>
      <c r="DX91" s="79">
        <f t="shared" si="98"/>
        <v>0</v>
      </c>
      <c r="DY91" s="79">
        <f t="shared" si="99"/>
        <v>0</v>
      </c>
      <c r="DZ91" s="85">
        <f t="shared" si="91"/>
        <v>2.8518518518518519E-2</v>
      </c>
    </row>
    <row r="92" spans="1:144" x14ac:dyDescent="0.3">
      <c r="A92" s="1">
        <v>4</v>
      </c>
      <c r="B92" s="1" t="s">
        <v>78</v>
      </c>
      <c r="C92" s="6"/>
      <c r="D92" s="149">
        <v>225</v>
      </c>
      <c r="E92" s="149">
        <v>225</v>
      </c>
      <c r="F92" s="79"/>
      <c r="G92" s="188">
        <v>1.6</v>
      </c>
      <c r="H92" s="79"/>
      <c r="I92" s="79"/>
      <c r="J92" s="85">
        <f t="shared" si="92"/>
        <v>7.1111111111111115E-3</v>
      </c>
      <c r="K92" s="1">
        <v>4</v>
      </c>
      <c r="L92" s="1" t="s">
        <v>78</v>
      </c>
      <c r="M92" s="6"/>
      <c r="N92" s="149">
        <v>225</v>
      </c>
      <c r="O92" s="149">
        <v>225</v>
      </c>
      <c r="P92" s="79"/>
      <c r="Q92" s="79">
        <v>1.5</v>
      </c>
      <c r="R92" s="79"/>
      <c r="S92" s="79"/>
      <c r="T92" s="85">
        <v>0</v>
      </c>
      <c r="U92" s="1">
        <v>4</v>
      </c>
      <c r="V92" s="1" t="s">
        <v>78</v>
      </c>
      <c r="W92" s="6">
        <v>0</v>
      </c>
      <c r="X92" s="149">
        <v>225</v>
      </c>
      <c r="Y92" s="149">
        <v>225</v>
      </c>
      <c r="Z92" s="79">
        <v>0</v>
      </c>
      <c r="AA92" s="79">
        <v>1.1000000000000001</v>
      </c>
      <c r="AB92" s="79">
        <v>0</v>
      </c>
      <c r="AC92" s="79">
        <v>0</v>
      </c>
      <c r="AD92" s="85">
        <f t="shared" si="93"/>
        <v>4.8888888888888897E-3</v>
      </c>
      <c r="AE92" s="1">
        <v>4</v>
      </c>
      <c r="AF92" s="1" t="s">
        <v>78</v>
      </c>
      <c r="AG92" s="6"/>
      <c r="AH92" s="149">
        <v>225</v>
      </c>
      <c r="AI92" s="149">
        <v>225</v>
      </c>
      <c r="AJ92" s="79"/>
      <c r="AK92" s="188">
        <v>0.7</v>
      </c>
      <c r="AL92" s="79"/>
      <c r="AM92" s="79"/>
      <c r="AN92" s="85">
        <f t="shared" si="94"/>
        <v>3.1111111111111109E-3</v>
      </c>
      <c r="AO92" s="1">
        <v>4</v>
      </c>
      <c r="AP92" s="1" t="s">
        <v>78</v>
      </c>
      <c r="AQ92" s="6"/>
      <c r="AR92" s="149">
        <v>225</v>
      </c>
      <c r="AS92" s="149">
        <v>225</v>
      </c>
      <c r="AT92" s="79"/>
      <c r="AU92" s="79">
        <v>0.7</v>
      </c>
      <c r="AV92" s="79"/>
      <c r="AW92" s="79"/>
      <c r="AX92" s="85">
        <f t="shared" si="87"/>
        <v>3.1111111111111109E-3</v>
      </c>
      <c r="AY92" s="1">
        <v>4</v>
      </c>
      <c r="AZ92" s="1" t="s">
        <v>78</v>
      </c>
      <c r="BA92" s="6"/>
      <c r="BB92" s="149">
        <v>225</v>
      </c>
      <c r="BC92" s="149">
        <v>225</v>
      </c>
      <c r="BD92" s="79"/>
      <c r="BE92" s="40">
        <v>0.6</v>
      </c>
      <c r="BF92" s="79"/>
      <c r="BG92" s="79"/>
      <c r="BH92" s="85">
        <f t="shared" si="88"/>
        <v>2.6666666666666666E-3</v>
      </c>
      <c r="BI92" s="1">
        <v>4</v>
      </c>
      <c r="BJ92" s="1" t="s">
        <v>78</v>
      </c>
      <c r="BK92" s="149"/>
      <c r="BL92" s="149">
        <v>225</v>
      </c>
      <c r="BM92" s="149">
        <v>225</v>
      </c>
      <c r="BN92" s="79"/>
      <c r="BO92" s="79">
        <v>0.7</v>
      </c>
      <c r="BP92" s="79"/>
      <c r="BQ92" s="79"/>
      <c r="BR92" s="79">
        <f t="shared" si="82"/>
        <v>3.1111111111111109E-3</v>
      </c>
      <c r="BS92" s="1">
        <v>4</v>
      </c>
      <c r="BT92" s="1" t="s">
        <v>78</v>
      </c>
      <c r="BU92" s="6"/>
      <c r="BV92" s="149">
        <v>225</v>
      </c>
      <c r="BW92" s="149">
        <v>225</v>
      </c>
      <c r="BX92" s="79"/>
      <c r="BY92" s="40">
        <v>0.7</v>
      </c>
      <c r="BZ92" s="79"/>
      <c r="CA92" s="79"/>
      <c r="CB92" s="79">
        <f t="shared" si="83"/>
        <v>3.1111111111111109E-3</v>
      </c>
      <c r="CC92" s="1">
        <v>4</v>
      </c>
      <c r="CD92" s="1" t="s">
        <v>78</v>
      </c>
      <c r="CE92" s="6"/>
      <c r="CF92" s="149">
        <v>225</v>
      </c>
      <c r="CG92" s="149">
        <v>225</v>
      </c>
      <c r="CH92" s="79"/>
      <c r="CI92" s="79">
        <v>0.9</v>
      </c>
      <c r="CJ92" s="79"/>
      <c r="CK92" s="79"/>
      <c r="CL92" s="79">
        <f t="shared" si="84"/>
        <v>4.0000000000000001E-3</v>
      </c>
      <c r="CM92" s="1">
        <v>4</v>
      </c>
      <c r="CN92" s="1" t="s">
        <v>78</v>
      </c>
      <c r="CO92" s="6"/>
      <c r="CP92" s="149">
        <v>225</v>
      </c>
      <c r="CQ92" s="149">
        <v>225</v>
      </c>
      <c r="CR92" s="79"/>
      <c r="CS92" s="79">
        <v>1</v>
      </c>
      <c r="CT92" s="79"/>
      <c r="CU92" s="79"/>
      <c r="CV92" s="85">
        <f t="shared" si="89"/>
        <v>4.4444444444444444E-3</v>
      </c>
      <c r="CW92" s="1">
        <v>4</v>
      </c>
      <c r="CX92" s="1" t="s">
        <v>78</v>
      </c>
      <c r="CY92" s="6"/>
      <c r="CZ92" s="149">
        <v>225</v>
      </c>
      <c r="DA92" s="149">
        <v>225</v>
      </c>
      <c r="DB92" s="79"/>
      <c r="DC92" s="40">
        <v>1.3</v>
      </c>
      <c r="DD92" s="79"/>
      <c r="DE92" s="79"/>
      <c r="DF92" s="79">
        <f t="shared" si="85"/>
        <v>5.7777777777777784E-3</v>
      </c>
      <c r="DG92" s="1">
        <v>4</v>
      </c>
      <c r="DH92" s="1" t="s">
        <v>78</v>
      </c>
      <c r="DI92" s="6"/>
      <c r="DJ92" s="149">
        <v>225</v>
      </c>
      <c r="DK92" s="149">
        <v>225</v>
      </c>
      <c r="DL92" s="79"/>
      <c r="DM92" s="40">
        <v>1.5</v>
      </c>
      <c r="DN92" s="79"/>
      <c r="DO92" s="79"/>
      <c r="DP92" s="79">
        <f t="shared" si="86"/>
        <v>6.6666666666666671E-3</v>
      </c>
      <c r="DQ92" s="1">
        <v>4</v>
      </c>
      <c r="DR92" s="1" t="s">
        <v>78</v>
      </c>
      <c r="DS92" s="122">
        <f t="shared" si="90"/>
        <v>0</v>
      </c>
      <c r="DT92" s="79">
        <f t="shared" si="95"/>
        <v>2700</v>
      </c>
      <c r="DU92" s="79">
        <f t="shared" si="96"/>
        <v>2700</v>
      </c>
      <c r="DV92" s="79">
        <v>0</v>
      </c>
      <c r="DW92" s="79">
        <f t="shared" si="97"/>
        <v>12.3</v>
      </c>
      <c r="DX92" s="79">
        <f t="shared" si="98"/>
        <v>0</v>
      </c>
      <c r="DY92" s="79">
        <f t="shared" si="99"/>
        <v>0</v>
      </c>
      <c r="DZ92" s="85">
        <f t="shared" si="91"/>
        <v>4.5555555555555557E-3</v>
      </c>
    </row>
    <row r="93" spans="1:144" x14ac:dyDescent="0.3">
      <c r="A93" s="1">
        <v>5</v>
      </c>
      <c r="B93" s="1" t="s">
        <v>79</v>
      </c>
      <c r="C93" s="6"/>
      <c r="D93" s="149">
        <v>225</v>
      </c>
      <c r="E93" s="149">
        <v>225</v>
      </c>
      <c r="F93" s="79"/>
      <c r="G93" s="188">
        <v>2.6</v>
      </c>
      <c r="H93" s="79"/>
      <c r="I93" s="79"/>
      <c r="J93" s="85">
        <f t="shared" si="92"/>
        <v>1.1555555555555557E-2</v>
      </c>
      <c r="K93" s="1">
        <v>5</v>
      </c>
      <c r="L93" s="1" t="s">
        <v>79</v>
      </c>
      <c r="M93" s="6"/>
      <c r="N93" s="149">
        <v>225</v>
      </c>
      <c r="O93" s="149">
        <v>225</v>
      </c>
      <c r="P93" s="79"/>
      <c r="Q93" s="79">
        <v>1.5</v>
      </c>
      <c r="R93" s="79"/>
      <c r="S93" s="79"/>
      <c r="T93" s="85">
        <v>0</v>
      </c>
      <c r="U93" s="1">
        <v>5</v>
      </c>
      <c r="V93" s="1" t="s">
        <v>79</v>
      </c>
      <c r="W93" s="6">
        <v>0</v>
      </c>
      <c r="X93" s="149">
        <v>225</v>
      </c>
      <c r="Y93" s="149">
        <v>225</v>
      </c>
      <c r="Z93" s="79">
        <v>0</v>
      </c>
      <c r="AA93" s="79">
        <v>1.3</v>
      </c>
      <c r="AB93" s="79">
        <v>0</v>
      </c>
      <c r="AC93" s="79">
        <v>0</v>
      </c>
      <c r="AD93" s="85">
        <f t="shared" si="93"/>
        <v>5.7777777777777784E-3</v>
      </c>
      <c r="AE93" s="1">
        <v>5</v>
      </c>
      <c r="AF93" s="1" t="s">
        <v>79</v>
      </c>
      <c r="AG93" s="6"/>
      <c r="AH93" s="149">
        <v>225</v>
      </c>
      <c r="AI93" s="149">
        <v>225</v>
      </c>
      <c r="AJ93" s="79"/>
      <c r="AK93" s="188">
        <v>0.5</v>
      </c>
      <c r="AL93" s="79"/>
      <c r="AM93" s="79"/>
      <c r="AN93" s="85">
        <f t="shared" si="94"/>
        <v>2.2222222222222222E-3</v>
      </c>
      <c r="AO93" s="1">
        <v>5</v>
      </c>
      <c r="AP93" s="1" t="s">
        <v>79</v>
      </c>
      <c r="AQ93" s="6"/>
      <c r="AR93" s="149">
        <v>225</v>
      </c>
      <c r="AS93" s="149">
        <v>225</v>
      </c>
      <c r="AT93" s="79"/>
      <c r="AU93" s="79">
        <v>0.5</v>
      </c>
      <c r="AV93" s="79"/>
      <c r="AW93" s="79"/>
      <c r="AX93" s="85">
        <f t="shared" si="87"/>
        <v>2.2222222222222222E-3</v>
      </c>
      <c r="AY93" s="1">
        <v>5</v>
      </c>
      <c r="AZ93" s="1" t="s">
        <v>79</v>
      </c>
      <c r="BA93" s="6"/>
      <c r="BB93" s="149">
        <v>225</v>
      </c>
      <c r="BC93" s="149">
        <v>225</v>
      </c>
      <c r="BD93" s="79"/>
      <c r="BE93" s="40">
        <v>0.5</v>
      </c>
      <c r="BF93" s="79"/>
      <c r="BG93" s="79"/>
      <c r="BH93" s="85">
        <f t="shared" si="88"/>
        <v>2.2222222222222222E-3</v>
      </c>
      <c r="BI93" s="1">
        <v>5</v>
      </c>
      <c r="BJ93" s="1" t="s">
        <v>79</v>
      </c>
      <c r="BK93" s="149"/>
      <c r="BL93" s="149">
        <v>225</v>
      </c>
      <c r="BM93" s="149">
        <v>225</v>
      </c>
      <c r="BN93" s="79"/>
      <c r="BO93" s="79">
        <v>0.5</v>
      </c>
      <c r="BP93" s="79"/>
      <c r="BQ93" s="79"/>
      <c r="BR93" s="79">
        <f t="shared" si="82"/>
        <v>2.2222222222222222E-3</v>
      </c>
      <c r="BS93" s="1">
        <v>5</v>
      </c>
      <c r="BT93" s="1" t="s">
        <v>79</v>
      </c>
      <c r="BU93" s="6"/>
      <c r="BV93" s="149">
        <v>225</v>
      </c>
      <c r="BW93" s="149">
        <v>225</v>
      </c>
      <c r="BX93" s="79"/>
      <c r="BY93" s="40">
        <v>0.8</v>
      </c>
      <c r="BZ93" s="79"/>
      <c r="CA93" s="79"/>
      <c r="CB93" s="79">
        <f t="shared" si="83"/>
        <v>3.5555555555555557E-3</v>
      </c>
      <c r="CC93" s="1">
        <v>5</v>
      </c>
      <c r="CD93" s="1" t="s">
        <v>79</v>
      </c>
      <c r="CE93" s="6"/>
      <c r="CF93" s="149">
        <v>225</v>
      </c>
      <c r="CG93" s="149">
        <v>225</v>
      </c>
      <c r="CH93" s="79"/>
      <c r="CI93" s="79">
        <v>0.9</v>
      </c>
      <c r="CJ93" s="79"/>
      <c r="CK93" s="79"/>
      <c r="CL93" s="79">
        <f t="shared" si="84"/>
        <v>4.0000000000000001E-3</v>
      </c>
      <c r="CM93" s="1">
        <v>5</v>
      </c>
      <c r="CN93" s="1" t="s">
        <v>79</v>
      </c>
      <c r="CO93" s="6"/>
      <c r="CP93" s="149">
        <v>225</v>
      </c>
      <c r="CQ93" s="149">
        <v>225</v>
      </c>
      <c r="CR93" s="79"/>
      <c r="CS93" s="79">
        <v>0.9</v>
      </c>
      <c r="CT93" s="79"/>
      <c r="CU93" s="79"/>
      <c r="CV93" s="85">
        <f t="shared" si="89"/>
        <v>4.0000000000000001E-3</v>
      </c>
      <c r="CW93" s="1">
        <v>5</v>
      </c>
      <c r="CX93" s="1" t="s">
        <v>79</v>
      </c>
      <c r="CY93" s="6"/>
      <c r="CZ93" s="149">
        <v>225</v>
      </c>
      <c r="DA93" s="149">
        <v>225</v>
      </c>
      <c r="DB93" s="79"/>
      <c r="DC93" s="40">
        <v>1.3</v>
      </c>
      <c r="DD93" s="79"/>
      <c r="DE93" s="79"/>
      <c r="DF93" s="79">
        <f t="shared" si="85"/>
        <v>5.7777777777777784E-3</v>
      </c>
      <c r="DG93" s="1">
        <v>5</v>
      </c>
      <c r="DH93" s="1" t="s">
        <v>79</v>
      </c>
      <c r="DI93" s="6"/>
      <c r="DJ93" s="149">
        <v>225</v>
      </c>
      <c r="DK93" s="149">
        <v>225</v>
      </c>
      <c r="DL93" s="79"/>
      <c r="DM93" s="40">
        <v>1.6</v>
      </c>
      <c r="DN93" s="79"/>
      <c r="DO93" s="79"/>
      <c r="DP93" s="79">
        <f t="shared" si="86"/>
        <v>7.1111111111111115E-3</v>
      </c>
      <c r="DQ93" s="1">
        <v>5</v>
      </c>
      <c r="DR93" s="1" t="s">
        <v>79</v>
      </c>
      <c r="DS93" s="122">
        <f t="shared" si="90"/>
        <v>0</v>
      </c>
      <c r="DT93" s="79">
        <f t="shared" si="95"/>
        <v>2700</v>
      </c>
      <c r="DU93" s="79">
        <f t="shared" si="96"/>
        <v>2700</v>
      </c>
      <c r="DV93" s="79">
        <v>0</v>
      </c>
      <c r="DW93" s="79">
        <f t="shared" si="97"/>
        <v>12.9</v>
      </c>
      <c r="DX93" s="79">
        <f t="shared" si="98"/>
        <v>0</v>
      </c>
      <c r="DY93" s="79">
        <f t="shared" si="99"/>
        <v>0</v>
      </c>
      <c r="DZ93" s="85">
        <f t="shared" si="91"/>
        <v>4.7777777777777775E-3</v>
      </c>
    </row>
    <row r="94" spans="1:144" s="30" customFormat="1" x14ac:dyDescent="0.3">
      <c r="A94" s="1">
        <v>6</v>
      </c>
      <c r="B94" s="1" t="s">
        <v>80</v>
      </c>
      <c r="C94" s="6"/>
      <c r="D94" s="149">
        <v>225</v>
      </c>
      <c r="E94" s="149">
        <v>225</v>
      </c>
      <c r="F94" s="79"/>
      <c r="G94" s="188">
        <v>12.6</v>
      </c>
      <c r="H94" s="79"/>
      <c r="I94" s="79"/>
      <c r="J94" s="85">
        <f t="shared" si="92"/>
        <v>5.6000000000000001E-2</v>
      </c>
      <c r="K94" s="1">
        <v>6</v>
      </c>
      <c r="L94" s="1" t="s">
        <v>80</v>
      </c>
      <c r="M94" s="6"/>
      <c r="N94" s="149">
        <v>225</v>
      </c>
      <c r="O94" s="149">
        <v>225</v>
      </c>
      <c r="P94" s="79"/>
      <c r="Q94" s="79">
        <v>10.6</v>
      </c>
      <c r="R94" s="79"/>
      <c r="S94" s="79"/>
      <c r="T94" s="85">
        <v>0</v>
      </c>
      <c r="U94" s="1">
        <v>6</v>
      </c>
      <c r="V94" s="1" t="s">
        <v>80</v>
      </c>
      <c r="W94" s="6">
        <v>0</v>
      </c>
      <c r="X94" s="149">
        <v>225</v>
      </c>
      <c r="Y94" s="149">
        <v>225</v>
      </c>
      <c r="Z94" s="79">
        <v>0</v>
      </c>
      <c r="AA94" s="79">
        <v>7.6</v>
      </c>
      <c r="AB94" s="79">
        <v>0</v>
      </c>
      <c r="AC94" s="79">
        <v>0</v>
      </c>
      <c r="AD94" s="85">
        <f t="shared" si="93"/>
        <v>3.3777777777777775E-2</v>
      </c>
      <c r="AE94" s="1">
        <v>6</v>
      </c>
      <c r="AF94" s="1" t="s">
        <v>80</v>
      </c>
      <c r="AG94" s="6"/>
      <c r="AH94" s="149">
        <v>225</v>
      </c>
      <c r="AI94" s="149">
        <v>225</v>
      </c>
      <c r="AJ94" s="79"/>
      <c r="AK94" s="188">
        <v>4.0999999999999996</v>
      </c>
      <c r="AL94" s="79"/>
      <c r="AM94" s="79"/>
      <c r="AN94" s="85">
        <f t="shared" si="94"/>
        <v>1.822222222222222E-2</v>
      </c>
      <c r="AO94" s="1">
        <v>6</v>
      </c>
      <c r="AP94" s="1" t="s">
        <v>80</v>
      </c>
      <c r="AQ94" s="6"/>
      <c r="AR94" s="149">
        <v>225</v>
      </c>
      <c r="AS94" s="149">
        <v>225</v>
      </c>
      <c r="AT94" s="79"/>
      <c r="AU94" s="79">
        <v>3.7</v>
      </c>
      <c r="AV94" s="79"/>
      <c r="AW94" s="79"/>
      <c r="AX94" s="85">
        <f t="shared" si="87"/>
        <v>1.6444444444444446E-2</v>
      </c>
      <c r="AY94" s="1">
        <v>6</v>
      </c>
      <c r="AZ94" s="1" t="s">
        <v>80</v>
      </c>
      <c r="BA94" s="6"/>
      <c r="BB94" s="149">
        <v>225</v>
      </c>
      <c r="BC94" s="149">
        <v>225</v>
      </c>
      <c r="BD94" s="79"/>
      <c r="BE94" s="40">
        <v>3.7</v>
      </c>
      <c r="BF94" s="79"/>
      <c r="BG94" s="79"/>
      <c r="BH94" s="85">
        <f t="shared" si="88"/>
        <v>1.6444444444444446E-2</v>
      </c>
      <c r="BI94" s="1">
        <v>6</v>
      </c>
      <c r="BJ94" s="1" t="s">
        <v>80</v>
      </c>
      <c r="BK94" s="149"/>
      <c r="BL94" s="149">
        <v>225</v>
      </c>
      <c r="BM94" s="149">
        <v>225</v>
      </c>
      <c r="BN94" s="79"/>
      <c r="BO94" s="79">
        <v>0.4</v>
      </c>
      <c r="BP94" s="79"/>
      <c r="BQ94" s="79"/>
      <c r="BR94" s="79">
        <f t="shared" si="82"/>
        <v>1.7777777777777779E-3</v>
      </c>
      <c r="BS94" s="1">
        <v>6</v>
      </c>
      <c r="BT94" s="1" t="s">
        <v>80</v>
      </c>
      <c r="BU94" s="6"/>
      <c r="BV94" s="149">
        <v>225</v>
      </c>
      <c r="BW94" s="149">
        <v>225</v>
      </c>
      <c r="BX94" s="79"/>
      <c r="BY94" s="40">
        <v>4.5</v>
      </c>
      <c r="BZ94" s="79"/>
      <c r="CA94" s="79"/>
      <c r="CB94" s="79">
        <f t="shared" si="83"/>
        <v>0.02</v>
      </c>
      <c r="CC94" s="1">
        <v>6</v>
      </c>
      <c r="CD94" s="1" t="s">
        <v>80</v>
      </c>
      <c r="CE94" s="6"/>
      <c r="CF94" s="149">
        <v>225</v>
      </c>
      <c r="CG94" s="149">
        <v>225</v>
      </c>
      <c r="CH94" s="79"/>
      <c r="CI94" s="79">
        <v>5.4</v>
      </c>
      <c r="CJ94" s="79"/>
      <c r="CK94" s="79"/>
      <c r="CL94" s="79">
        <f t="shared" si="84"/>
        <v>2.4E-2</v>
      </c>
      <c r="CM94" s="1">
        <v>6</v>
      </c>
      <c r="CN94" s="1" t="s">
        <v>80</v>
      </c>
      <c r="CO94" s="6"/>
      <c r="CP94" s="149">
        <v>225</v>
      </c>
      <c r="CQ94" s="149">
        <v>225</v>
      </c>
      <c r="CR94" s="79"/>
      <c r="CS94" s="79">
        <v>6.1</v>
      </c>
      <c r="CT94" s="79"/>
      <c r="CU94" s="79"/>
      <c r="CV94" s="85">
        <f t="shared" si="89"/>
        <v>2.711111111111111E-2</v>
      </c>
      <c r="CW94" s="1">
        <v>6</v>
      </c>
      <c r="CX94" s="1" t="s">
        <v>80</v>
      </c>
      <c r="CY94" s="6"/>
      <c r="CZ94" s="149">
        <v>225</v>
      </c>
      <c r="DA94" s="149">
        <v>225</v>
      </c>
      <c r="DB94" s="79"/>
      <c r="DC94" s="40">
        <v>7.3</v>
      </c>
      <c r="DD94" s="79"/>
      <c r="DE94" s="79"/>
      <c r="DF94" s="79">
        <f t="shared" si="85"/>
        <v>3.2444444444444442E-2</v>
      </c>
      <c r="DG94" s="1">
        <v>6</v>
      </c>
      <c r="DH94" s="1" t="s">
        <v>80</v>
      </c>
      <c r="DI94" s="6"/>
      <c r="DJ94" s="149">
        <v>225</v>
      </c>
      <c r="DK94" s="149">
        <v>225</v>
      </c>
      <c r="DL94" s="79"/>
      <c r="DM94" s="40">
        <v>7.9</v>
      </c>
      <c r="DN94" s="79"/>
      <c r="DO94" s="79"/>
      <c r="DP94" s="79">
        <f t="shared" si="86"/>
        <v>3.5111111111111114E-2</v>
      </c>
      <c r="DQ94" s="1">
        <v>6</v>
      </c>
      <c r="DR94" s="1" t="s">
        <v>80</v>
      </c>
      <c r="DS94" s="122">
        <f t="shared" si="90"/>
        <v>0</v>
      </c>
      <c r="DT94" s="79">
        <f t="shared" si="95"/>
        <v>2700</v>
      </c>
      <c r="DU94" s="79">
        <f t="shared" si="96"/>
        <v>2700</v>
      </c>
      <c r="DV94" s="79">
        <v>0</v>
      </c>
      <c r="DW94" s="79">
        <f t="shared" si="97"/>
        <v>73.900000000000006</v>
      </c>
      <c r="DX94" s="79">
        <f t="shared" si="98"/>
        <v>0</v>
      </c>
      <c r="DY94" s="79">
        <f t="shared" si="99"/>
        <v>0</v>
      </c>
      <c r="DZ94" s="85">
        <f t="shared" si="91"/>
        <v>2.7370370370370371E-2</v>
      </c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</row>
    <row r="95" spans="1:144" x14ac:dyDescent="0.3">
      <c r="A95" s="1">
        <v>7</v>
      </c>
      <c r="B95" s="1" t="s">
        <v>81</v>
      </c>
      <c r="C95" s="6"/>
      <c r="D95" s="149">
        <v>225</v>
      </c>
      <c r="E95" s="149">
        <v>225</v>
      </c>
      <c r="F95" s="79"/>
      <c r="G95" s="188">
        <v>2.7</v>
      </c>
      <c r="H95" s="79"/>
      <c r="I95" s="79"/>
      <c r="J95" s="85">
        <f t="shared" si="92"/>
        <v>1.2E-2</v>
      </c>
      <c r="K95" s="1">
        <v>7</v>
      </c>
      <c r="L95" s="1" t="s">
        <v>81</v>
      </c>
      <c r="M95" s="6"/>
      <c r="N95" s="149">
        <v>225</v>
      </c>
      <c r="O95" s="149">
        <v>225</v>
      </c>
      <c r="P95" s="79"/>
      <c r="Q95" s="79">
        <v>2.2000000000000002</v>
      </c>
      <c r="R95" s="79"/>
      <c r="S95" s="79"/>
      <c r="T95" s="85">
        <v>0</v>
      </c>
      <c r="U95" s="1">
        <v>7</v>
      </c>
      <c r="V95" s="1" t="s">
        <v>81</v>
      </c>
      <c r="W95" s="6">
        <v>0</v>
      </c>
      <c r="X95" s="149">
        <v>225</v>
      </c>
      <c r="Y95" s="149">
        <v>225</v>
      </c>
      <c r="Z95" s="79">
        <v>0</v>
      </c>
      <c r="AA95" s="79">
        <v>1.8</v>
      </c>
      <c r="AB95" s="79">
        <v>0</v>
      </c>
      <c r="AC95" s="79">
        <v>0</v>
      </c>
      <c r="AD95" s="85">
        <f t="shared" si="93"/>
        <v>8.0000000000000002E-3</v>
      </c>
      <c r="AE95" s="1">
        <v>7</v>
      </c>
      <c r="AF95" s="1" t="s">
        <v>81</v>
      </c>
      <c r="AG95" s="6"/>
      <c r="AH95" s="149">
        <v>225</v>
      </c>
      <c r="AI95" s="149">
        <v>225</v>
      </c>
      <c r="AJ95" s="79"/>
      <c r="AK95" s="188">
        <v>1</v>
      </c>
      <c r="AL95" s="79"/>
      <c r="AM95" s="79"/>
      <c r="AN95" s="85">
        <f t="shared" si="94"/>
        <v>4.4444444444444444E-3</v>
      </c>
      <c r="AO95" s="1">
        <v>7</v>
      </c>
      <c r="AP95" s="1" t="s">
        <v>81</v>
      </c>
      <c r="AQ95" s="6"/>
      <c r="AR95" s="149">
        <v>225</v>
      </c>
      <c r="AS95" s="149">
        <v>225</v>
      </c>
      <c r="AT95" s="79"/>
      <c r="AU95" s="79">
        <v>1</v>
      </c>
      <c r="AV95" s="79"/>
      <c r="AW95" s="79"/>
      <c r="AX95" s="85">
        <f t="shared" si="87"/>
        <v>4.4444444444444444E-3</v>
      </c>
      <c r="AY95" s="1">
        <v>7</v>
      </c>
      <c r="AZ95" s="1" t="s">
        <v>81</v>
      </c>
      <c r="BA95" s="6"/>
      <c r="BB95" s="149">
        <v>225</v>
      </c>
      <c r="BC95" s="149">
        <v>225</v>
      </c>
      <c r="BD95" s="79"/>
      <c r="BE95" s="40">
        <v>0.9</v>
      </c>
      <c r="BF95" s="79"/>
      <c r="BG95" s="79"/>
      <c r="BH95" s="85">
        <f t="shared" si="88"/>
        <v>4.0000000000000001E-3</v>
      </c>
      <c r="BI95" s="1">
        <v>7</v>
      </c>
      <c r="BJ95" s="1" t="s">
        <v>81</v>
      </c>
      <c r="BK95" s="149"/>
      <c r="BL95" s="149">
        <v>225</v>
      </c>
      <c r="BM95" s="149">
        <v>225</v>
      </c>
      <c r="BN95" s="79"/>
      <c r="BO95" s="79">
        <v>1</v>
      </c>
      <c r="BP95" s="79"/>
      <c r="BQ95" s="79"/>
      <c r="BR95" s="79">
        <f t="shared" si="82"/>
        <v>4.4444444444444444E-3</v>
      </c>
      <c r="BS95" s="1">
        <v>7</v>
      </c>
      <c r="BT95" s="1" t="s">
        <v>81</v>
      </c>
      <c r="BU95" s="6"/>
      <c r="BV95" s="149">
        <v>225</v>
      </c>
      <c r="BW95" s="149">
        <v>225</v>
      </c>
      <c r="BX95" s="79"/>
      <c r="BY95" s="40">
        <v>1</v>
      </c>
      <c r="BZ95" s="79"/>
      <c r="CA95" s="79"/>
      <c r="CB95" s="79">
        <f t="shared" si="83"/>
        <v>4.4444444444444444E-3</v>
      </c>
      <c r="CC95" s="1">
        <v>7</v>
      </c>
      <c r="CD95" s="1" t="s">
        <v>81</v>
      </c>
      <c r="CE95" s="6"/>
      <c r="CF95" s="149">
        <v>225</v>
      </c>
      <c r="CG95" s="149">
        <v>225</v>
      </c>
      <c r="CH95" s="79"/>
      <c r="CI95" s="79">
        <v>1.1000000000000001</v>
      </c>
      <c r="CJ95" s="79"/>
      <c r="CK95" s="79"/>
      <c r="CL95" s="79">
        <f t="shared" si="84"/>
        <v>4.8888888888888897E-3</v>
      </c>
      <c r="CM95" s="1">
        <v>7</v>
      </c>
      <c r="CN95" s="1" t="s">
        <v>81</v>
      </c>
      <c r="CO95" s="6"/>
      <c r="CP95" s="149">
        <v>225</v>
      </c>
      <c r="CQ95" s="149">
        <v>225</v>
      </c>
      <c r="CR95" s="79"/>
      <c r="CS95" s="79">
        <v>1.4</v>
      </c>
      <c r="CT95" s="79"/>
      <c r="CU95" s="79"/>
      <c r="CV95" s="85">
        <f t="shared" si="89"/>
        <v>6.2222222222222219E-3</v>
      </c>
      <c r="CW95" s="1">
        <v>7</v>
      </c>
      <c r="CX95" s="1" t="s">
        <v>81</v>
      </c>
      <c r="CY95" s="6"/>
      <c r="CZ95" s="149">
        <v>225</v>
      </c>
      <c r="DA95" s="149">
        <v>225</v>
      </c>
      <c r="DB95" s="79"/>
      <c r="DC95" s="40">
        <v>1.7</v>
      </c>
      <c r="DD95" s="79"/>
      <c r="DE95" s="79"/>
      <c r="DF95" s="79">
        <f t="shared" si="85"/>
        <v>7.5555555555555549E-3</v>
      </c>
      <c r="DG95" s="1">
        <v>7</v>
      </c>
      <c r="DH95" s="1" t="s">
        <v>81</v>
      </c>
      <c r="DI95" s="6"/>
      <c r="DJ95" s="149">
        <v>225</v>
      </c>
      <c r="DK95" s="149">
        <v>225</v>
      </c>
      <c r="DL95" s="79"/>
      <c r="DM95" s="40">
        <v>2.1</v>
      </c>
      <c r="DN95" s="79"/>
      <c r="DO95" s="79"/>
      <c r="DP95" s="79">
        <f t="shared" si="86"/>
        <v>9.3333333333333341E-3</v>
      </c>
      <c r="DQ95" s="1">
        <v>7</v>
      </c>
      <c r="DR95" s="1" t="s">
        <v>81</v>
      </c>
      <c r="DS95" s="122">
        <f t="shared" si="90"/>
        <v>0</v>
      </c>
      <c r="DT95" s="79">
        <f t="shared" si="95"/>
        <v>2700</v>
      </c>
      <c r="DU95" s="79">
        <f t="shared" si="96"/>
        <v>2700</v>
      </c>
      <c r="DV95" s="79">
        <v>0</v>
      </c>
      <c r="DW95" s="79">
        <f t="shared" si="97"/>
        <v>17.899999999999999</v>
      </c>
      <c r="DX95" s="79">
        <f t="shared" si="98"/>
        <v>0</v>
      </c>
      <c r="DY95" s="79">
        <f t="shared" si="99"/>
        <v>0</v>
      </c>
      <c r="DZ95" s="85">
        <f t="shared" si="91"/>
        <v>6.6296296296296294E-3</v>
      </c>
    </row>
    <row r="96" spans="1:144" x14ac:dyDescent="0.3">
      <c r="A96" s="1">
        <v>8</v>
      </c>
      <c r="B96" s="1" t="s">
        <v>82</v>
      </c>
      <c r="C96" s="6"/>
      <c r="D96" s="149">
        <v>225</v>
      </c>
      <c r="E96" s="149">
        <v>225</v>
      </c>
      <c r="F96" s="79"/>
      <c r="G96" s="188">
        <v>2.2000000000000002</v>
      </c>
      <c r="H96" s="79"/>
      <c r="I96" s="79"/>
      <c r="J96" s="85">
        <f t="shared" si="92"/>
        <v>9.7777777777777793E-3</v>
      </c>
      <c r="K96" s="1">
        <v>8</v>
      </c>
      <c r="L96" s="1" t="s">
        <v>82</v>
      </c>
      <c r="M96" s="6"/>
      <c r="N96" s="149">
        <v>225</v>
      </c>
      <c r="O96" s="149">
        <v>225</v>
      </c>
      <c r="P96" s="79"/>
      <c r="Q96" s="79">
        <v>1.9</v>
      </c>
      <c r="R96" s="79"/>
      <c r="S96" s="79"/>
      <c r="T96" s="85">
        <v>0</v>
      </c>
      <c r="U96" s="1">
        <v>8</v>
      </c>
      <c r="V96" s="1" t="s">
        <v>82</v>
      </c>
      <c r="W96" s="6">
        <v>0</v>
      </c>
      <c r="X96" s="149">
        <v>225</v>
      </c>
      <c r="Y96" s="149">
        <v>225</v>
      </c>
      <c r="Z96" s="79">
        <v>0</v>
      </c>
      <c r="AA96" s="79">
        <v>1.2</v>
      </c>
      <c r="AB96" s="79">
        <v>0</v>
      </c>
      <c r="AC96" s="79">
        <v>0</v>
      </c>
      <c r="AD96" s="85">
        <f t="shared" si="93"/>
        <v>5.3333333333333332E-3</v>
      </c>
      <c r="AE96" s="1">
        <v>8</v>
      </c>
      <c r="AF96" s="1" t="s">
        <v>82</v>
      </c>
      <c r="AG96" s="6"/>
      <c r="AH96" s="149">
        <v>225</v>
      </c>
      <c r="AI96" s="149">
        <v>225</v>
      </c>
      <c r="AJ96" s="79"/>
      <c r="AK96" s="188">
        <v>0.5</v>
      </c>
      <c r="AL96" s="79"/>
      <c r="AM96" s="79"/>
      <c r="AN96" s="85">
        <f t="shared" si="94"/>
        <v>2.2222222222222222E-3</v>
      </c>
      <c r="AO96" s="1">
        <v>8</v>
      </c>
      <c r="AP96" s="1" t="s">
        <v>82</v>
      </c>
      <c r="AQ96" s="6"/>
      <c r="AR96" s="149">
        <v>225</v>
      </c>
      <c r="AS96" s="149">
        <v>225</v>
      </c>
      <c r="AT96" s="79"/>
      <c r="AU96" s="79">
        <v>0.5</v>
      </c>
      <c r="AV96" s="79"/>
      <c r="AW96" s="79"/>
      <c r="AX96" s="85">
        <f t="shared" si="87"/>
        <v>2.2222222222222222E-3</v>
      </c>
      <c r="AY96" s="1">
        <v>8</v>
      </c>
      <c r="AZ96" s="1" t="s">
        <v>82</v>
      </c>
      <c r="BA96" s="6"/>
      <c r="BB96" s="149">
        <v>225</v>
      </c>
      <c r="BC96" s="149">
        <v>225</v>
      </c>
      <c r="BD96" s="79"/>
      <c r="BE96" s="40">
        <v>0.5</v>
      </c>
      <c r="BF96" s="79"/>
      <c r="BG96" s="79"/>
      <c r="BH96" s="85">
        <f t="shared" si="88"/>
        <v>2.2222222222222222E-3</v>
      </c>
      <c r="BI96" s="1">
        <v>8</v>
      </c>
      <c r="BJ96" s="1" t="s">
        <v>82</v>
      </c>
      <c r="BK96" s="149"/>
      <c r="BL96" s="149">
        <v>225</v>
      </c>
      <c r="BM96" s="149">
        <v>225</v>
      </c>
      <c r="BN96" s="79"/>
      <c r="BO96" s="79">
        <v>0.5</v>
      </c>
      <c r="BP96" s="79"/>
      <c r="BQ96" s="79"/>
      <c r="BR96" s="79">
        <f t="shared" si="82"/>
        <v>2.2222222222222222E-3</v>
      </c>
      <c r="BS96" s="1">
        <v>8</v>
      </c>
      <c r="BT96" s="1" t="s">
        <v>82</v>
      </c>
      <c r="BU96" s="6"/>
      <c r="BV96" s="149">
        <v>225</v>
      </c>
      <c r="BW96" s="149">
        <v>225</v>
      </c>
      <c r="BX96" s="79"/>
      <c r="BY96" s="40">
        <v>0.6</v>
      </c>
      <c r="BZ96" s="79"/>
      <c r="CA96" s="79"/>
      <c r="CB96" s="79">
        <f t="shared" si="83"/>
        <v>2.6666666666666666E-3</v>
      </c>
      <c r="CC96" s="1">
        <v>8</v>
      </c>
      <c r="CD96" s="1" t="s">
        <v>82</v>
      </c>
      <c r="CE96" s="6"/>
      <c r="CF96" s="149">
        <v>225</v>
      </c>
      <c r="CG96" s="149">
        <v>225</v>
      </c>
      <c r="CH96" s="79"/>
      <c r="CI96" s="79">
        <v>0.5</v>
      </c>
      <c r="CJ96" s="79"/>
      <c r="CK96" s="79"/>
      <c r="CL96" s="79">
        <f t="shared" si="84"/>
        <v>2.2222222222222222E-3</v>
      </c>
      <c r="CM96" s="1">
        <v>8</v>
      </c>
      <c r="CN96" s="1" t="s">
        <v>82</v>
      </c>
      <c r="CO96" s="6"/>
      <c r="CP96" s="149">
        <v>225</v>
      </c>
      <c r="CQ96" s="149">
        <v>225</v>
      </c>
      <c r="CR96" s="79"/>
      <c r="CS96" s="79">
        <v>0.7</v>
      </c>
      <c r="CT96" s="79"/>
      <c r="CU96" s="79"/>
      <c r="CV96" s="85">
        <f t="shared" si="89"/>
        <v>3.1111111111111109E-3</v>
      </c>
      <c r="CW96" s="1">
        <v>8</v>
      </c>
      <c r="CX96" s="1" t="s">
        <v>82</v>
      </c>
      <c r="CY96" s="6"/>
      <c r="CZ96" s="149">
        <v>225</v>
      </c>
      <c r="DA96" s="149">
        <v>225</v>
      </c>
      <c r="DB96" s="79"/>
      <c r="DC96" s="40">
        <v>0.8</v>
      </c>
      <c r="DD96" s="79"/>
      <c r="DE96" s="79"/>
      <c r="DF96" s="79">
        <f t="shared" si="85"/>
        <v>3.5555555555555557E-3</v>
      </c>
      <c r="DG96" s="1">
        <v>8</v>
      </c>
      <c r="DH96" s="1" t="s">
        <v>82</v>
      </c>
      <c r="DI96" s="6"/>
      <c r="DJ96" s="149">
        <v>225</v>
      </c>
      <c r="DK96" s="149">
        <v>225</v>
      </c>
      <c r="DL96" s="79"/>
      <c r="DM96" s="40">
        <v>0.8</v>
      </c>
      <c r="DN96" s="79"/>
      <c r="DO96" s="79"/>
      <c r="DP96" s="79">
        <f t="shared" si="86"/>
        <v>3.5555555555555557E-3</v>
      </c>
      <c r="DQ96" s="1">
        <v>8</v>
      </c>
      <c r="DR96" s="1" t="s">
        <v>82</v>
      </c>
      <c r="DS96" s="122">
        <f t="shared" si="90"/>
        <v>0</v>
      </c>
      <c r="DT96" s="79">
        <f t="shared" si="95"/>
        <v>2700</v>
      </c>
      <c r="DU96" s="79">
        <f>SUM(E96+O96+Y96+AI96+AS96+BC96+BM96+BW96+CG96+CQ96+DA96+DK96)</f>
        <v>2700</v>
      </c>
      <c r="DV96" s="79">
        <v>0</v>
      </c>
      <c r="DW96" s="79">
        <f t="shared" si="97"/>
        <v>10.7</v>
      </c>
      <c r="DX96" s="79">
        <f t="shared" si="98"/>
        <v>0</v>
      </c>
      <c r="DY96" s="79">
        <f t="shared" si="99"/>
        <v>0</v>
      </c>
      <c r="DZ96" s="85">
        <f t="shared" si="91"/>
        <v>3.9629629629629624E-3</v>
      </c>
    </row>
    <row r="97" spans="1:144" x14ac:dyDescent="0.3">
      <c r="A97" s="1">
        <v>9</v>
      </c>
      <c r="B97" s="1" t="s">
        <v>165</v>
      </c>
      <c r="C97" s="6"/>
      <c r="D97" s="149">
        <v>225</v>
      </c>
      <c r="E97" s="149">
        <v>225</v>
      </c>
      <c r="F97" s="79"/>
      <c r="G97" s="190">
        <v>2.5</v>
      </c>
      <c r="H97" s="79"/>
      <c r="I97" s="79"/>
      <c r="J97" s="85">
        <f t="shared" si="92"/>
        <v>1.1111111111111112E-2</v>
      </c>
      <c r="K97" s="1"/>
      <c r="L97" s="1"/>
      <c r="M97" s="6"/>
      <c r="N97" s="149">
        <v>225</v>
      </c>
      <c r="O97" s="149">
        <v>225</v>
      </c>
      <c r="P97" s="79"/>
      <c r="Q97" s="79">
        <v>2.1</v>
      </c>
      <c r="R97" s="79"/>
      <c r="S97" s="79"/>
      <c r="T97" s="85"/>
      <c r="U97" s="1"/>
      <c r="V97" s="1"/>
      <c r="W97" s="6"/>
      <c r="X97" s="149">
        <v>225</v>
      </c>
      <c r="Y97" s="149">
        <v>225</v>
      </c>
      <c r="Z97" s="79"/>
      <c r="AA97" s="79">
        <v>1.6</v>
      </c>
      <c r="AB97" s="79"/>
      <c r="AC97" s="79"/>
      <c r="AD97" s="85"/>
      <c r="AE97" s="1"/>
      <c r="AF97" s="1"/>
      <c r="AG97" s="6"/>
      <c r="AH97" s="149">
        <v>225</v>
      </c>
      <c r="AI97" s="149">
        <v>225</v>
      </c>
      <c r="AJ97" s="79"/>
      <c r="AK97" s="190">
        <v>0.4</v>
      </c>
      <c r="AL97" s="79"/>
      <c r="AM97" s="79"/>
      <c r="AN97" s="85"/>
      <c r="AO97" s="1"/>
      <c r="AP97" s="1"/>
      <c r="AQ97" s="6"/>
      <c r="AR97" s="149">
        <v>225</v>
      </c>
      <c r="AS97" s="149">
        <v>225</v>
      </c>
      <c r="AT97" s="79"/>
      <c r="AU97" s="79">
        <v>0.5</v>
      </c>
      <c r="AV97" s="79"/>
      <c r="AW97" s="79"/>
      <c r="AX97" s="85"/>
      <c r="AY97" s="1"/>
      <c r="AZ97" s="1"/>
      <c r="BA97" s="6"/>
      <c r="BB97" s="149">
        <v>225</v>
      </c>
      <c r="BC97" s="149">
        <v>225</v>
      </c>
      <c r="BD97" s="79"/>
      <c r="BE97" s="40">
        <v>0.5</v>
      </c>
      <c r="BF97" s="79"/>
      <c r="BG97" s="79"/>
      <c r="BH97" s="85"/>
      <c r="BI97" s="1"/>
      <c r="BJ97" s="1"/>
      <c r="BK97" s="149"/>
      <c r="BL97" s="149">
        <v>225</v>
      </c>
      <c r="BM97" s="149">
        <v>225</v>
      </c>
      <c r="BN97" s="79"/>
      <c r="BO97" s="79">
        <v>4.0999999999999996</v>
      </c>
      <c r="BP97" s="79"/>
      <c r="BQ97" s="79"/>
      <c r="BR97" s="79">
        <f t="shared" si="82"/>
        <v>1.822222222222222E-2</v>
      </c>
      <c r="BS97" s="1"/>
      <c r="BT97" s="1"/>
      <c r="BU97" s="6"/>
      <c r="BV97" s="149">
        <v>225</v>
      </c>
      <c r="BW97" s="149">
        <v>225</v>
      </c>
      <c r="BX97" s="79"/>
      <c r="BY97" s="40">
        <v>0.6</v>
      </c>
      <c r="BZ97" s="79"/>
      <c r="CA97" s="79"/>
      <c r="CB97" s="79">
        <f t="shared" si="83"/>
        <v>2.6666666666666666E-3</v>
      </c>
      <c r="CC97" s="1"/>
      <c r="CD97" s="1"/>
      <c r="CE97" s="6"/>
      <c r="CF97" s="149">
        <v>225</v>
      </c>
      <c r="CG97" s="149">
        <v>225</v>
      </c>
      <c r="CH97" s="79"/>
      <c r="CI97" s="79">
        <v>1.1000000000000001</v>
      </c>
      <c r="CJ97" s="79"/>
      <c r="CK97" s="79"/>
      <c r="CL97" s="79">
        <f t="shared" si="84"/>
        <v>4.8888888888888897E-3</v>
      </c>
      <c r="CM97" s="1"/>
      <c r="CN97" s="1"/>
      <c r="CO97" s="6"/>
      <c r="CP97" s="149">
        <v>225</v>
      </c>
      <c r="CQ97" s="149">
        <v>225</v>
      </c>
      <c r="CR97" s="79"/>
      <c r="CS97" s="79">
        <v>1.4</v>
      </c>
      <c r="CT97" s="79"/>
      <c r="CU97" s="79"/>
      <c r="CV97" s="85"/>
      <c r="CW97" s="1"/>
      <c r="CX97" s="1"/>
      <c r="CY97" s="6"/>
      <c r="CZ97" s="149">
        <v>225</v>
      </c>
      <c r="DA97" s="149">
        <v>225</v>
      </c>
      <c r="DB97" s="79"/>
      <c r="DC97" s="40">
        <v>1.7</v>
      </c>
      <c r="DD97" s="79"/>
      <c r="DE97" s="79"/>
      <c r="DF97" s="79">
        <f t="shared" si="85"/>
        <v>7.5555555555555549E-3</v>
      </c>
      <c r="DG97" s="1"/>
      <c r="DH97" s="1"/>
      <c r="DI97" s="6"/>
      <c r="DJ97" s="149">
        <v>225</v>
      </c>
      <c r="DK97" s="149">
        <v>225</v>
      </c>
      <c r="DL97" s="79"/>
      <c r="DM97" s="40">
        <v>1.7</v>
      </c>
      <c r="DN97" s="79"/>
      <c r="DO97" s="79"/>
      <c r="DP97" s="79">
        <f t="shared" si="86"/>
        <v>7.5555555555555549E-3</v>
      </c>
      <c r="DQ97" s="1"/>
      <c r="DR97" s="1"/>
      <c r="DS97" s="122"/>
      <c r="DT97" s="79"/>
      <c r="DU97" s="79"/>
      <c r="DV97" s="79"/>
      <c r="DW97" s="79"/>
      <c r="DX97" s="79"/>
      <c r="DY97" s="79"/>
      <c r="DZ97" s="85"/>
    </row>
    <row r="98" spans="1:144" x14ac:dyDescent="0.3">
      <c r="A98" s="37"/>
      <c r="B98" s="31" t="s">
        <v>182</v>
      </c>
      <c r="C98" s="128"/>
      <c r="D98" s="26"/>
      <c r="E98" s="26"/>
      <c r="F98" s="26"/>
      <c r="G98" s="26">
        <f>SUM(G99:G118)</f>
        <v>208.3</v>
      </c>
      <c r="H98" s="26"/>
      <c r="I98" s="26"/>
      <c r="J98" s="85" t="e">
        <f t="shared" si="92"/>
        <v>#DIV/0!</v>
      </c>
      <c r="K98" s="37"/>
      <c r="L98" s="31" t="s">
        <v>182</v>
      </c>
      <c r="M98" s="128"/>
      <c r="N98" s="26"/>
      <c r="O98" s="26"/>
      <c r="P98" s="26"/>
      <c r="Q98" s="26">
        <f>SUM(Q99:Q118)</f>
        <v>143</v>
      </c>
      <c r="R98" s="26"/>
      <c r="S98" s="26"/>
      <c r="T98" s="27"/>
      <c r="U98" s="37"/>
      <c r="V98" s="31" t="s">
        <v>182</v>
      </c>
      <c r="W98" s="128"/>
      <c r="X98" s="26"/>
      <c r="Y98" s="26"/>
      <c r="Z98" s="26"/>
      <c r="AA98" s="26">
        <f>SUM(AA99:AA118)</f>
        <v>70.400000000000006</v>
      </c>
      <c r="AB98" s="26"/>
      <c r="AC98" s="26"/>
      <c r="AD98" s="27"/>
      <c r="AE98" s="37"/>
      <c r="AF98" s="31" t="s">
        <v>182</v>
      </c>
      <c r="AG98" s="128"/>
      <c r="AH98" s="26"/>
      <c r="AI98" s="26"/>
      <c r="AJ98" s="26"/>
      <c r="AK98" s="26">
        <f>SUM(AK99:AK118)</f>
        <v>153.6</v>
      </c>
      <c r="AL98" s="26"/>
      <c r="AM98" s="26"/>
      <c r="AN98" s="27"/>
      <c r="AO98" s="37"/>
      <c r="AP98" s="31" t="s">
        <v>182</v>
      </c>
      <c r="AQ98" s="128"/>
      <c r="AR98" s="26"/>
      <c r="AS98" s="26"/>
      <c r="AT98" s="26"/>
      <c r="AU98" s="26">
        <f>SUM(AU99:AU118)</f>
        <v>255.70000000000002</v>
      </c>
      <c r="AV98" s="26"/>
      <c r="AW98" s="26"/>
      <c r="AX98" s="27"/>
      <c r="AY98" s="37"/>
      <c r="AZ98" s="31" t="s">
        <v>182</v>
      </c>
      <c r="BA98" s="128"/>
      <c r="BB98" s="26"/>
      <c r="BC98" s="26"/>
      <c r="BD98" s="26"/>
      <c r="BE98" s="200">
        <f>SUM(BE99:BE118)</f>
        <v>67.599999999999994</v>
      </c>
      <c r="BF98" s="26"/>
      <c r="BG98" s="26"/>
      <c r="BH98" s="27"/>
      <c r="BI98" s="37"/>
      <c r="BJ98" s="31" t="s">
        <v>182</v>
      </c>
      <c r="BK98" s="26"/>
      <c r="BL98" s="26"/>
      <c r="BM98" s="26"/>
      <c r="BN98" s="26"/>
      <c r="BO98" s="193">
        <f>SUM(BO99:BO118)</f>
        <v>199.3</v>
      </c>
      <c r="BP98" s="26"/>
      <c r="BQ98" s="26"/>
      <c r="BR98" s="26" t="e">
        <f t="shared" si="82"/>
        <v>#DIV/0!</v>
      </c>
      <c r="BS98" s="37"/>
      <c r="BT98" s="31" t="s">
        <v>182</v>
      </c>
      <c r="BU98" s="128"/>
      <c r="BV98" s="26"/>
      <c r="BW98" s="26"/>
      <c r="BX98" s="26"/>
      <c r="BY98" s="200">
        <f>SUM(BY99:BY118)</f>
        <v>200.3</v>
      </c>
      <c r="BZ98" s="26"/>
      <c r="CA98" s="26"/>
      <c r="CB98" s="26" t="e">
        <f t="shared" si="83"/>
        <v>#DIV/0!</v>
      </c>
      <c r="CC98" s="37"/>
      <c r="CD98" s="31" t="s">
        <v>182</v>
      </c>
      <c r="CE98" s="128"/>
      <c r="CF98" s="26"/>
      <c r="CG98" s="26"/>
      <c r="CH98" s="26"/>
      <c r="CI98" s="26">
        <f>SUM(CI99:CI118)</f>
        <v>414.09999999999997</v>
      </c>
      <c r="CJ98" s="26"/>
      <c r="CK98" s="26"/>
      <c r="CL98" s="26" t="e">
        <f t="shared" si="84"/>
        <v>#DIV/0!</v>
      </c>
      <c r="CM98" s="37"/>
      <c r="CN98" s="31" t="s">
        <v>182</v>
      </c>
      <c r="CO98" s="128"/>
      <c r="CP98" s="26"/>
      <c r="CQ98" s="26"/>
      <c r="CR98" s="26"/>
      <c r="CS98" s="193">
        <f>SUM(CS99:CS118)</f>
        <v>233.10000000000002</v>
      </c>
      <c r="CT98" s="26"/>
      <c r="CU98" s="26"/>
      <c r="CV98" s="27"/>
      <c r="CW98" s="37"/>
      <c r="CX98" s="31" t="s">
        <v>182</v>
      </c>
      <c r="CY98" s="128"/>
      <c r="CZ98" s="26"/>
      <c r="DA98" s="26"/>
      <c r="DB98" s="26"/>
      <c r="DC98" s="200">
        <f>SUM(DC99:DC118)</f>
        <v>78</v>
      </c>
      <c r="DD98" s="26"/>
      <c r="DE98" s="26"/>
      <c r="DF98" s="26" t="e">
        <f t="shared" si="85"/>
        <v>#DIV/0!</v>
      </c>
      <c r="DG98" s="37"/>
      <c r="DH98" s="31" t="s">
        <v>182</v>
      </c>
      <c r="DI98" s="128"/>
      <c r="DJ98" s="26"/>
      <c r="DK98" s="26"/>
      <c r="DL98" s="26"/>
      <c r="DM98" s="200">
        <f>SUM(DM99:DM118)</f>
        <v>18.100000000000001</v>
      </c>
      <c r="DN98" s="26"/>
      <c r="DO98" s="26"/>
      <c r="DP98" s="26" t="e">
        <f t="shared" si="86"/>
        <v>#DIV/0!</v>
      </c>
      <c r="DQ98" s="37"/>
      <c r="DR98" s="31" t="s">
        <v>182</v>
      </c>
      <c r="DS98" s="128"/>
      <c r="DT98" s="26"/>
      <c r="DU98" s="26"/>
      <c r="DV98" s="26"/>
      <c r="DW98" s="26"/>
      <c r="DX98" s="26">
        <f t="shared" si="98"/>
        <v>0</v>
      </c>
      <c r="DY98" s="26"/>
      <c r="DZ98" s="27"/>
    </row>
    <row r="99" spans="1:144" x14ac:dyDescent="0.3">
      <c r="A99" s="1">
        <v>1</v>
      </c>
      <c r="B99" s="1" t="s">
        <v>83</v>
      </c>
      <c r="C99" s="6"/>
      <c r="D99" s="79">
        <v>33336</v>
      </c>
      <c r="E99" s="79">
        <v>33336</v>
      </c>
      <c r="F99" s="79"/>
      <c r="G99" s="79">
        <v>0.3</v>
      </c>
      <c r="H99" s="79"/>
      <c r="I99" s="79"/>
      <c r="J99" s="85">
        <f t="shared" si="92"/>
        <v>8.9992800575953917E-6</v>
      </c>
      <c r="K99" s="1">
        <v>1</v>
      </c>
      <c r="L99" s="1" t="s">
        <v>83</v>
      </c>
      <c r="M99" s="6"/>
      <c r="N99" s="79">
        <v>33336</v>
      </c>
      <c r="O99" s="79">
        <v>33336</v>
      </c>
      <c r="P99" s="79"/>
      <c r="Q99" s="79">
        <v>0.3</v>
      </c>
      <c r="R99" s="79"/>
      <c r="S99" s="79"/>
      <c r="T99" s="85">
        <v>0</v>
      </c>
      <c r="U99" s="1">
        <v>1</v>
      </c>
      <c r="V99" s="1" t="s">
        <v>83</v>
      </c>
      <c r="W99" s="6">
        <v>0</v>
      </c>
      <c r="X99" s="79">
        <v>33336</v>
      </c>
      <c r="Y99" s="79">
        <v>33336</v>
      </c>
      <c r="Z99" s="79">
        <v>0</v>
      </c>
      <c r="AA99" s="79">
        <v>0.3</v>
      </c>
      <c r="AB99" s="79">
        <v>0</v>
      </c>
      <c r="AC99" s="79">
        <v>0</v>
      </c>
      <c r="AD99" s="85">
        <f t="shared" ref="AD99:AD118" si="100">AA99/Y99</f>
        <v>8.9992800575953917E-6</v>
      </c>
      <c r="AE99" s="1">
        <v>1</v>
      </c>
      <c r="AF99" s="1" t="s">
        <v>83</v>
      </c>
      <c r="AG99" s="6"/>
      <c r="AH99" s="79">
        <v>33336</v>
      </c>
      <c r="AI99" s="79">
        <v>33336</v>
      </c>
      <c r="AJ99" s="79"/>
      <c r="AK99" s="79">
        <v>0.4</v>
      </c>
      <c r="AL99" s="79"/>
      <c r="AM99" s="79"/>
      <c r="AN99" s="85">
        <f t="shared" ref="AN99:AN118" si="101">AK99/AI99</f>
        <v>1.1999040076793858E-5</v>
      </c>
      <c r="AO99" s="1">
        <v>1</v>
      </c>
      <c r="AP99" s="1" t="s">
        <v>83</v>
      </c>
      <c r="AQ99" s="6"/>
      <c r="AR99" s="79">
        <v>33336</v>
      </c>
      <c r="AS99" s="79">
        <v>33336</v>
      </c>
      <c r="AT99" s="79"/>
      <c r="AU99" s="79">
        <v>0.3</v>
      </c>
      <c r="AV99" s="79"/>
      <c r="AW99" s="79"/>
      <c r="AX99" s="85">
        <f t="shared" ref="AX99:AX118" si="102">AU99/AS99</f>
        <v>8.9992800575953917E-6</v>
      </c>
      <c r="AY99" s="1">
        <v>1</v>
      </c>
      <c r="AZ99" s="1" t="s">
        <v>83</v>
      </c>
      <c r="BA99" s="6"/>
      <c r="BB99" s="79">
        <v>33336</v>
      </c>
      <c r="BC99" s="79">
        <v>33336</v>
      </c>
      <c r="BD99" s="79"/>
      <c r="BE99" s="40">
        <v>0.5</v>
      </c>
      <c r="BF99" s="79"/>
      <c r="BG99" s="79"/>
      <c r="BH99" s="85">
        <f t="shared" ref="BH99:BH118" si="103">BE99/BC99</f>
        <v>1.4998800095992321E-5</v>
      </c>
      <c r="BI99" s="1">
        <v>1</v>
      </c>
      <c r="BJ99" s="1" t="s">
        <v>83</v>
      </c>
      <c r="BK99" s="79"/>
      <c r="BL99" s="79">
        <v>33336</v>
      </c>
      <c r="BM99" s="79">
        <v>33336</v>
      </c>
      <c r="BN99" s="79"/>
      <c r="BO99" s="79">
        <v>0.5</v>
      </c>
      <c r="BP99" s="79"/>
      <c r="BQ99" s="79"/>
      <c r="BR99" s="79">
        <f t="shared" si="82"/>
        <v>1.4998800095992321E-5</v>
      </c>
      <c r="BS99" s="1">
        <v>1</v>
      </c>
      <c r="BT99" s="1" t="s">
        <v>83</v>
      </c>
      <c r="BU99" s="6"/>
      <c r="BV99" s="79">
        <v>33336</v>
      </c>
      <c r="BW99" s="79">
        <v>33336</v>
      </c>
      <c r="BX99" s="79"/>
      <c r="BY99" s="40">
        <v>1</v>
      </c>
      <c r="BZ99" s="79"/>
      <c r="CA99" s="79"/>
      <c r="CB99" s="79">
        <f t="shared" si="83"/>
        <v>2.9997600191984641E-5</v>
      </c>
      <c r="CC99" s="1">
        <v>1</v>
      </c>
      <c r="CD99" s="1" t="s">
        <v>83</v>
      </c>
      <c r="CE99" s="6"/>
      <c r="CF99" s="79">
        <v>33336</v>
      </c>
      <c r="CG99" s="79">
        <v>33336</v>
      </c>
      <c r="CH99" s="79"/>
      <c r="CI99" s="79">
        <v>0</v>
      </c>
      <c r="CJ99" s="79"/>
      <c r="CK99" s="79"/>
      <c r="CL99" s="79">
        <f t="shared" si="84"/>
        <v>0</v>
      </c>
      <c r="CM99" s="1">
        <v>1</v>
      </c>
      <c r="CN99" s="1" t="s">
        <v>83</v>
      </c>
      <c r="CO99" s="6"/>
      <c r="CP99" s="79">
        <v>33336</v>
      </c>
      <c r="CQ99" s="79">
        <v>33336</v>
      </c>
      <c r="CR99" s="79"/>
      <c r="CS99" s="79">
        <v>1</v>
      </c>
      <c r="CT99" s="79"/>
      <c r="CU99" s="79"/>
      <c r="CV99" s="85">
        <f t="shared" ref="CV99:CV118" si="104">CS99/CQ99</f>
        <v>2.9997600191984641E-5</v>
      </c>
      <c r="CW99" s="1">
        <v>1</v>
      </c>
      <c r="CX99" s="1" t="s">
        <v>83</v>
      </c>
      <c r="CY99" s="6"/>
      <c r="CZ99" s="79">
        <v>33336</v>
      </c>
      <c r="DA99" s="79">
        <v>33336</v>
      </c>
      <c r="DB99" s="79"/>
      <c r="DC99" s="40">
        <v>1.3</v>
      </c>
      <c r="DD99" s="79"/>
      <c r="DE99" s="79"/>
      <c r="DF99" s="79">
        <f t="shared" si="85"/>
        <v>3.8996880249580038E-5</v>
      </c>
      <c r="DG99" s="1">
        <v>1</v>
      </c>
      <c r="DH99" s="1" t="s">
        <v>83</v>
      </c>
      <c r="DI99" s="6"/>
      <c r="DJ99" s="79">
        <v>33336</v>
      </c>
      <c r="DK99" s="79">
        <v>33336</v>
      </c>
      <c r="DL99" s="79"/>
      <c r="DM99" s="40">
        <v>1.1000000000000001</v>
      </c>
      <c r="DN99" s="79"/>
      <c r="DO99" s="79"/>
      <c r="DP99" s="79">
        <f t="shared" si="86"/>
        <v>3.2997360211183109E-5</v>
      </c>
      <c r="DQ99" s="1">
        <v>1</v>
      </c>
      <c r="DR99" s="1" t="s">
        <v>83</v>
      </c>
      <c r="DS99" s="122">
        <f t="shared" si="90"/>
        <v>0</v>
      </c>
      <c r="DT99" s="79">
        <f t="shared" si="95"/>
        <v>400032</v>
      </c>
      <c r="DU99" s="79">
        <f t="shared" ref="DU99:DU118" si="105">SUM(E99+O99+Y99+AI99+AS99+BC99+BM99+BW99+CG99+CQ99+DA99+DK99)</f>
        <v>400032</v>
      </c>
      <c r="DV99" s="79">
        <v>0</v>
      </c>
      <c r="DW99" s="79">
        <f t="shared" si="97"/>
        <v>7</v>
      </c>
      <c r="DX99" s="79">
        <f t="shared" si="98"/>
        <v>0</v>
      </c>
      <c r="DY99" s="79">
        <f t="shared" si="99"/>
        <v>0</v>
      </c>
      <c r="DZ99" s="85">
        <f t="shared" ref="DZ99:DZ118" si="106">DW99/DU99</f>
        <v>1.7498600111991039E-5</v>
      </c>
    </row>
    <row r="100" spans="1:144" x14ac:dyDescent="0.3">
      <c r="A100" s="1">
        <v>2</v>
      </c>
      <c r="B100" s="1" t="s">
        <v>84</v>
      </c>
      <c r="C100" s="6"/>
      <c r="D100" s="79">
        <v>33336</v>
      </c>
      <c r="E100" s="79">
        <v>33336</v>
      </c>
      <c r="F100" s="79"/>
      <c r="G100" s="79">
        <v>0.4</v>
      </c>
      <c r="H100" s="79"/>
      <c r="I100" s="79"/>
      <c r="J100" s="85">
        <f t="shared" si="92"/>
        <v>1.1999040076793858E-5</v>
      </c>
      <c r="K100" s="1">
        <v>2</v>
      </c>
      <c r="L100" s="1" t="s">
        <v>84</v>
      </c>
      <c r="M100" s="6"/>
      <c r="N100" s="79">
        <v>33336</v>
      </c>
      <c r="O100" s="79">
        <v>33336</v>
      </c>
      <c r="P100" s="79"/>
      <c r="Q100" s="79">
        <v>0</v>
      </c>
      <c r="R100" s="79"/>
      <c r="S100" s="79"/>
      <c r="T100" s="85">
        <v>0</v>
      </c>
      <c r="U100" s="1">
        <v>2</v>
      </c>
      <c r="V100" s="1" t="s">
        <v>84</v>
      </c>
      <c r="W100" s="6">
        <v>0</v>
      </c>
      <c r="X100" s="79">
        <v>33336</v>
      </c>
      <c r="Y100" s="79">
        <v>33336</v>
      </c>
      <c r="Z100" s="79">
        <v>0</v>
      </c>
      <c r="AA100" s="79">
        <v>0</v>
      </c>
      <c r="AB100" s="79">
        <v>0</v>
      </c>
      <c r="AC100" s="79">
        <v>0</v>
      </c>
      <c r="AD100" s="85">
        <f t="shared" si="100"/>
        <v>0</v>
      </c>
      <c r="AE100" s="1">
        <v>2</v>
      </c>
      <c r="AF100" s="1" t="s">
        <v>84</v>
      </c>
      <c r="AG100" s="6"/>
      <c r="AH100" s="79">
        <v>33336</v>
      </c>
      <c r="AI100" s="79">
        <v>33336</v>
      </c>
      <c r="AJ100" s="79"/>
      <c r="AK100" s="79">
        <v>0</v>
      </c>
      <c r="AL100" s="79"/>
      <c r="AM100" s="79"/>
      <c r="AN100" s="85">
        <f t="shared" si="101"/>
        <v>0</v>
      </c>
      <c r="AO100" s="1">
        <v>2</v>
      </c>
      <c r="AP100" s="1" t="s">
        <v>84</v>
      </c>
      <c r="AQ100" s="6"/>
      <c r="AR100" s="79">
        <v>33336</v>
      </c>
      <c r="AS100" s="79">
        <v>33336</v>
      </c>
      <c r="AT100" s="79"/>
      <c r="AU100" s="79">
        <v>0</v>
      </c>
      <c r="AV100" s="79"/>
      <c r="AW100" s="79"/>
      <c r="AX100" s="85">
        <f t="shared" si="102"/>
        <v>0</v>
      </c>
      <c r="AY100" s="1">
        <v>2</v>
      </c>
      <c r="AZ100" s="1" t="s">
        <v>84</v>
      </c>
      <c r="BA100" s="6"/>
      <c r="BB100" s="79">
        <v>33336</v>
      </c>
      <c r="BC100" s="79">
        <v>33336</v>
      </c>
      <c r="BD100" s="79"/>
      <c r="BE100" s="40">
        <v>0.5</v>
      </c>
      <c r="BF100" s="79"/>
      <c r="BG100" s="79"/>
      <c r="BH100" s="85">
        <f t="shared" si="103"/>
        <v>1.4998800095992321E-5</v>
      </c>
      <c r="BI100" s="1">
        <v>2</v>
      </c>
      <c r="BJ100" s="1" t="s">
        <v>84</v>
      </c>
      <c r="BK100" s="79"/>
      <c r="BL100" s="79">
        <v>33336</v>
      </c>
      <c r="BM100" s="79">
        <v>33336</v>
      </c>
      <c r="BN100" s="79"/>
      <c r="BO100" s="79">
        <v>0</v>
      </c>
      <c r="BP100" s="79"/>
      <c r="BQ100" s="79"/>
      <c r="BR100" s="79">
        <f t="shared" si="82"/>
        <v>0</v>
      </c>
      <c r="BS100" s="1">
        <v>2</v>
      </c>
      <c r="BT100" s="1" t="s">
        <v>84</v>
      </c>
      <c r="BU100" s="6"/>
      <c r="BV100" s="79">
        <v>33336</v>
      </c>
      <c r="BW100" s="79">
        <v>33336</v>
      </c>
      <c r="BX100" s="79"/>
      <c r="BY100" s="40">
        <v>0.1</v>
      </c>
      <c r="BZ100" s="79"/>
      <c r="CA100" s="79"/>
      <c r="CB100" s="79">
        <f t="shared" si="83"/>
        <v>2.9997600191984645E-6</v>
      </c>
      <c r="CC100" s="1">
        <v>2</v>
      </c>
      <c r="CD100" s="1" t="s">
        <v>84</v>
      </c>
      <c r="CE100" s="6"/>
      <c r="CF100" s="79">
        <v>33336</v>
      </c>
      <c r="CG100" s="79">
        <v>33336</v>
      </c>
      <c r="CH100" s="79"/>
      <c r="CI100" s="79">
        <v>0</v>
      </c>
      <c r="CJ100" s="79"/>
      <c r="CK100" s="79"/>
      <c r="CL100" s="79">
        <f t="shared" si="84"/>
        <v>0</v>
      </c>
      <c r="CM100" s="1">
        <v>2</v>
      </c>
      <c r="CN100" s="1" t="s">
        <v>84</v>
      </c>
      <c r="CO100" s="6"/>
      <c r="CP100" s="79">
        <v>33336</v>
      </c>
      <c r="CQ100" s="79">
        <v>33336</v>
      </c>
      <c r="CR100" s="79"/>
      <c r="CS100" s="79">
        <v>0</v>
      </c>
      <c r="CT100" s="79"/>
      <c r="CU100" s="79"/>
      <c r="CV100" s="85">
        <f t="shared" si="104"/>
        <v>0</v>
      </c>
      <c r="CW100" s="1">
        <v>2</v>
      </c>
      <c r="CX100" s="1" t="s">
        <v>84</v>
      </c>
      <c r="CY100" s="6"/>
      <c r="CZ100" s="79">
        <v>33336</v>
      </c>
      <c r="DA100" s="79">
        <v>33336</v>
      </c>
      <c r="DB100" s="79"/>
      <c r="DC100" s="40">
        <v>0</v>
      </c>
      <c r="DD100" s="79"/>
      <c r="DE100" s="79"/>
      <c r="DF100" s="79">
        <f t="shared" si="85"/>
        <v>0</v>
      </c>
      <c r="DG100" s="1">
        <v>2</v>
      </c>
      <c r="DH100" s="1" t="s">
        <v>84</v>
      </c>
      <c r="DI100" s="6"/>
      <c r="DJ100" s="79">
        <v>33336</v>
      </c>
      <c r="DK100" s="79">
        <v>33336</v>
      </c>
      <c r="DL100" s="79"/>
      <c r="DM100" s="40">
        <v>0</v>
      </c>
      <c r="DN100" s="79"/>
      <c r="DO100" s="79"/>
      <c r="DP100" s="79">
        <f t="shared" si="86"/>
        <v>0</v>
      </c>
      <c r="DQ100" s="1">
        <v>2</v>
      </c>
      <c r="DR100" s="1" t="s">
        <v>84</v>
      </c>
      <c r="DS100" s="122">
        <f t="shared" si="90"/>
        <v>0</v>
      </c>
      <c r="DT100" s="79">
        <f t="shared" si="95"/>
        <v>400032</v>
      </c>
      <c r="DU100" s="79">
        <f t="shared" si="105"/>
        <v>400032</v>
      </c>
      <c r="DV100" s="79">
        <v>0</v>
      </c>
      <c r="DW100" s="79">
        <f t="shared" si="97"/>
        <v>1</v>
      </c>
      <c r="DX100" s="79">
        <f t="shared" si="98"/>
        <v>0</v>
      </c>
      <c r="DY100" s="79">
        <f t="shared" si="99"/>
        <v>0</v>
      </c>
      <c r="DZ100" s="85">
        <f t="shared" si="106"/>
        <v>2.49980001599872E-6</v>
      </c>
    </row>
    <row r="101" spans="1:144" x14ac:dyDescent="0.3">
      <c r="A101" s="1">
        <v>3</v>
      </c>
      <c r="B101" s="1" t="s">
        <v>85</v>
      </c>
      <c r="C101" s="6"/>
      <c r="D101" s="79">
        <v>33336</v>
      </c>
      <c r="E101" s="79">
        <v>33336</v>
      </c>
      <c r="F101" s="79"/>
      <c r="G101" s="79">
        <v>1.3</v>
      </c>
      <c r="H101" s="79"/>
      <c r="I101" s="79"/>
      <c r="J101" s="85">
        <f t="shared" si="92"/>
        <v>3.8996880249580038E-5</v>
      </c>
      <c r="K101" s="1">
        <v>3</v>
      </c>
      <c r="L101" s="1" t="s">
        <v>85</v>
      </c>
      <c r="M101" s="6"/>
      <c r="N101" s="79">
        <v>33336</v>
      </c>
      <c r="O101" s="79">
        <v>33336</v>
      </c>
      <c r="P101" s="79"/>
      <c r="Q101" s="79">
        <v>0.7</v>
      </c>
      <c r="R101" s="79"/>
      <c r="S101" s="79"/>
      <c r="T101" s="85">
        <v>0</v>
      </c>
      <c r="U101" s="1">
        <v>3</v>
      </c>
      <c r="V101" s="1" t="s">
        <v>85</v>
      </c>
      <c r="W101" s="6">
        <v>0</v>
      </c>
      <c r="X101" s="79">
        <v>33336</v>
      </c>
      <c r="Y101" s="79">
        <v>33336</v>
      </c>
      <c r="Z101" s="79">
        <v>0</v>
      </c>
      <c r="AA101" s="79">
        <v>0</v>
      </c>
      <c r="AB101" s="79">
        <v>0</v>
      </c>
      <c r="AC101" s="79">
        <v>0</v>
      </c>
      <c r="AD101" s="85">
        <f t="shared" si="100"/>
        <v>0</v>
      </c>
      <c r="AE101" s="1">
        <v>3</v>
      </c>
      <c r="AF101" s="1" t="s">
        <v>85</v>
      </c>
      <c r="AG101" s="6"/>
      <c r="AH101" s="79">
        <v>33336</v>
      </c>
      <c r="AI101" s="79">
        <v>33336</v>
      </c>
      <c r="AJ101" s="79"/>
      <c r="AK101" s="79">
        <v>0</v>
      </c>
      <c r="AL101" s="79"/>
      <c r="AM101" s="79"/>
      <c r="AN101" s="85">
        <f t="shared" si="101"/>
        <v>0</v>
      </c>
      <c r="AO101" s="1">
        <v>3</v>
      </c>
      <c r="AP101" s="1" t="s">
        <v>85</v>
      </c>
      <c r="AQ101" s="6"/>
      <c r="AR101" s="79">
        <v>33336</v>
      </c>
      <c r="AS101" s="79">
        <v>33336</v>
      </c>
      <c r="AT101" s="79"/>
      <c r="AU101" s="79">
        <v>0</v>
      </c>
      <c r="AV101" s="79"/>
      <c r="AW101" s="79"/>
      <c r="AX101" s="85">
        <f t="shared" si="102"/>
        <v>0</v>
      </c>
      <c r="AY101" s="1">
        <v>3</v>
      </c>
      <c r="AZ101" s="1" t="s">
        <v>85</v>
      </c>
      <c r="BA101" s="6"/>
      <c r="BB101" s="79">
        <v>33336</v>
      </c>
      <c r="BC101" s="79">
        <v>33336</v>
      </c>
      <c r="BD101" s="79"/>
      <c r="BE101" s="40">
        <v>0</v>
      </c>
      <c r="BF101" s="79"/>
      <c r="BG101" s="79"/>
      <c r="BH101" s="85">
        <f t="shared" si="103"/>
        <v>0</v>
      </c>
      <c r="BI101" s="1">
        <v>3</v>
      </c>
      <c r="BJ101" s="1" t="s">
        <v>85</v>
      </c>
      <c r="BK101" s="79"/>
      <c r="BL101" s="79">
        <v>33336</v>
      </c>
      <c r="BM101" s="79">
        <v>33336</v>
      </c>
      <c r="BN101" s="79"/>
      <c r="BO101" s="79">
        <v>0</v>
      </c>
      <c r="BP101" s="79"/>
      <c r="BQ101" s="79"/>
      <c r="BR101" s="79">
        <f t="shared" si="82"/>
        <v>0</v>
      </c>
      <c r="BS101" s="1">
        <v>3</v>
      </c>
      <c r="BT101" s="1" t="s">
        <v>85</v>
      </c>
      <c r="BU101" s="6"/>
      <c r="BV101" s="79">
        <v>33336</v>
      </c>
      <c r="BW101" s="79">
        <v>33336</v>
      </c>
      <c r="BX101" s="79"/>
      <c r="BY101" s="40">
        <v>0</v>
      </c>
      <c r="BZ101" s="79"/>
      <c r="CA101" s="79"/>
      <c r="CB101" s="79">
        <f t="shared" si="83"/>
        <v>0</v>
      </c>
      <c r="CC101" s="1">
        <v>3</v>
      </c>
      <c r="CD101" s="1" t="s">
        <v>85</v>
      </c>
      <c r="CE101" s="6"/>
      <c r="CF101" s="79">
        <v>33336</v>
      </c>
      <c r="CG101" s="79">
        <v>33336</v>
      </c>
      <c r="CH101" s="79"/>
      <c r="CI101" s="79">
        <v>0.2</v>
      </c>
      <c r="CJ101" s="79"/>
      <c r="CK101" s="79"/>
      <c r="CL101" s="79">
        <f t="shared" si="84"/>
        <v>5.9995200383969289E-6</v>
      </c>
      <c r="CM101" s="1">
        <v>3</v>
      </c>
      <c r="CN101" s="1" t="s">
        <v>85</v>
      </c>
      <c r="CO101" s="6"/>
      <c r="CP101" s="79">
        <v>33336</v>
      </c>
      <c r="CQ101" s="79">
        <v>33336</v>
      </c>
      <c r="CR101" s="79"/>
      <c r="CS101" s="79">
        <v>0</v>
      </c>
      <c r="CT101" s="79"/>
      <c r="CU101" s="79"/>
      <c r="CV101" s="85">
        <f t="shared" si="104"/>
        <v>0</v>
      </c>
      <c r="CW101" s="1">
        <v>3</v>
      </c>
      <c r="CX101" s="1" t="s">
        <v>85</v>
      </c>
      <c r="CY101" s="6"/>
      <c r="CZ101" s="79">
        <v>33336</v>
      </c>
      <c r="DA101" s="79">
        <v>33336</v>
      </c>
      <c r="DB101" s="79"/>
      <c r="DC101" s="40">
        <v>0.1</v>
      </c>
      <c r="DD101" s="79"/>
      <c r="DE101" s="79"/>
      <c r="DF101" s="79">
        <f t="shared" si="85"/>
        <v>2.9997600191984645E-6</v>
      </c>
      <c r="DG101" s="1">
        <v>3</v>
      </c>
      <c r="DH101" s="1" t="s">
        <v>85</v>
      </c>
      <c r="DI101" s="6"/>
      <c r="DJ101" s="79">
        <v>33336</v>
      </c>
      <c r="DK101" s="79">
        <v>33336</v>
      </c>
      <c r="DL101" s="79"/>
      <c r="DM101" s="40">
        <v>0</v>
      </c>
      <c r="DN101" s="79"/>
      <c r="DO101" s="79"/>
      <c r="DP101" s="79">
        <f t="shared" si="86"/>
        <v>0</v>
      </c>
      <c r="DQ101" s="1">
        <v>3</v>
      </c>
      <c r="DR101" s="1" t="s">
        <v>85</v>
      </c>
      <c r="DS101" s="122">
        <f t="shared" si="90"/>
        <v>0</v>
      </c>
      <c r="DT101" s="79">
        <f t="shared" si="95"/>
        <v>400032</v>
      </c>
      <c r="DU101" s="79">
        <f t="shared" si="105"/>
        <v>400032</v>
      </c>
      <c r="DV101" s="79">
        <v>0</v>
      </c>
      <c r="DW101" s="79">
        <f t="shared" si="97"/>
        <v>2.3000000000000003</v>
      </c>
      <c r="DX101" s="79">
        <f t="shared" si="98"/>
        <v>0</v>
      </c>
      <c r="DY101" s="79">
        <f t="shared" si="99"/>
        <v>0</v>
      </c>
      <c r="DZ101" s="85">
        <f t="shared" si="106"/>
        <v>5.7495400367970569E-6</v>
      </c>
    </row>
    <row r="102" spans="1:144" x14ac:dyDescent="0.3">
      <c r="A102" s="1">
        <v>4</v>
      </c>
      <c r="B102" s="1" t="s">
        <v>86</v>
      </c>
      <c r="C102" s="6"/>
      <c r="D102" s="79">
        <v>33336</v>
      </c>
      <c r="E102" s="79">
        <v>33336</v>
      </c>
      <c r="F102" s="79"/>
      <c r="G102" s="79">
        <v>0.8</v>
      </c>
      <c r="H102" s="79"/>
      <c r="I102" s="79"/>
      <c r="J102" s="85">
        <f t="shared" si="92"/>
        <v>2.3998080153587716E-5</v>
      </c>
      <c r="K102" s="1">
        <v>4</v>
      </c>
      <c r="L102" s="1" t="s">
        <v>86</v>
      </c>
      <c r="M102" s="6"/>
      <c r="N102" s="79">
        <v>33336</v>
      </c>
      <c r="O102" s="79">
        <v>33336</v>
      </c>
      <c r="P102" s="79"/>
      <c r="Q102" s="79">
        <v>0.9</v>
      </c>
      <c r="R102" s="79"/>
      <c r="S102" s="79"/>
      <c r="T102" s="85">
        <v>0</v>
      </c>
      <c r="U102" s="1">
        <v>4</v>
      </c>
      <c r="V102" s="1" t="s">
        <v>86</v>
      </c>
      <c r="W102" s="6">
        <v>0</v>
      </c>
      <c r="X102" s="79">
        <v>33336</v>
      </c>
      <c r="Y102" s="79">
        <v>33336</v>
      </c>
      <c r="Z102" s="79">
        <v>0</v>
      </c>
      <c r="AA102" s="79">
        <v>0.4</v>
      </c>
      <c r="AB102" s="79">
        <v>0</v>
      </c>
      <c r="AC102" s="79">
        <v>0</v>
      </c>
      <c r="AD102" s="85">
        <f t="shared" si="100"/>
        <v>1.1999040076793858E-5</v>
      </c>
      <c r="AE102" s="1">
        <v>4</v>
      </c>
      <c r="AF102" s="1" t="s">
        <v>86</v>
      </c>
      <c r="AG102" s="6"/>
      <c r="AH102" s="79">
        <v>33336</v>
      </c>
      <c r="AI102" s="79">
        <v>33336</v>
      </c>
      <c r="AJ102" s="79"/>
      <c r="AK102" s="79">
        <v>0.5</v>
      </c>
      <c r="AL102" s="79"/>
      <c r="AM102" s="79"/>
      <c r="AN102" s="85">
        <f t="shared" si="101"/>
        <v>1.4998800095992321E-5</v>
      </c>
      <c r="AO102" s="1">
        <v>4</v>
      </c>
      <c r="AP102" s="1" t="s">
        <v>86</v>
      </c>
      <c r="AQ102" s="6"/>
      <c r="AR102" s="79">
        <v>33336</v>
      </c>
      <c r="AS102" s="79">
        <v>33336</v>
      </c>
      <c r="AT102" s="79"/>
      <c r="AU102" s="79">
        <v>0.5</v>
      </c>
      <c r="AV102" s="79"/>
      <c r="AW102" s="79"/>
      <c r="AX102" s="85">
        <f t="shared" si="102"/>
        <v>1.4998800095992321E-5</v>
      </c>
      <c r="AY102" s="1">
        <v>4</v>
      </c>
      <c r="AZ102" s="1" t="s">
        <v>86</v>
      </c>
      <c r="BA102" s="6"/>
      <c r="BB102" s="79">
        <v>33336</v>
      </c>
      <c r="BC102" s="79">
        <v>33336</v>
      </c>
      <c r="BD102" s="79"/>
      <c r="BE102" s="40">
        <v>0.6</v>
      </c>
      <c r="BF102" s="79"/>
      <c r="BG102" s="79"/>
      <c r="BH102" s="85">
        <f t="shared" si="103"/>
        <v>1.7998560115190783E-5</v>
      </c>
      <c r="BI102" s="1">
        <v>4</v>
      </c>
      <c r="BJ102" s="1" t="s">
        <v>86</v>
      </c>
      <c r="BK102" s="79"/>
      <c r="BL102" s="79">
        <v>33336</v>
      </c>
      <c r="BM102" s="79">
        <v>33336</v>
      </c>
      <c r="BN102" s="79"/>
      <c r="BO102" s="79">
        <v>0.7</v>
      </c>
      <c r="BP102" s="79"/>
      <c r="BQ102" s="79"/>
      <c r="BR102" s="79">
        <f t="shared" si="82"/>
        <v>2.0998320134389248E-5</v>
      </c>
      <c r="BS102" s="1">
        <v>4</v>
      </c>
      <c r="BT102" s="1" t="s">
        <v>86</v>
      </c>
      <c r="BU102" s="6"/>
      <c r="BV102" s="79">
        <v>33336</v>
      </c>
      <c r="BW102" s="79">
        <v>33336</v>
      </c>
      <c r="BX102" s="79"/>
      <c r="BY102" s="40">
        <v>0.8</v>
      </c>
      <c r="BZ102" s="79"/>
      <c r="CA102" s="79"/>
      <c r="CB102" s="79">
        <f t="shared" si="83"/>
        <v>2.3998080153587716E-5</v>
      </c>
      <c r="CC102" s="1">
        <v>4</v>
      </c>
      <c r="CD102" s="1" t="s">
        <v>86</v>
      </c>
      <c r="CE102" s="6"/>
      <c r="CF102" s="79">
        <v>33336</v>
      </c>
      <c r="CG102" s="79">
        <v>33336</v>
      </c>
      <c r="CH102" s="79"/>
      <c r="CI102" s="79">
        <v>0</v>
      </c>
      <c r="CJ102" s="79"/>
      <c r="CK102" s="79"/>
      <c r="CL102" s="79">
        <f t="shared" si="84"/>
        <v>0</v>
      </c>
      <c r="CM102" s="1">
        <v>4</v>
      </c>
      <c r="CN102" s="1" t="s">
        <v>86</v>
      </c>
      <c r="CO102" s="6"/>
      <c r="CP102" s="79">
        <v>33336</v>
      </c>
      <c r="CQ102" s="79">
        <v>33336</v>
      </c>
      <c r="CR102" s="79"/>
      <c r="CS102" s="79">
        <v>0.8</v>
      </c>
      <c r="CT102" s="79"/>
      <c r="CU102" s="79"/>
      <c r="CV102" s="85">
        <f t="shared" si="104"/>
        <v>2.3998080153587716E-5</v>
      </c>
      <c r="CW102" s="1">
        <v>4</v>
      </c>
      <c r="CX102" s="1" t="s">
        <v>86</v>
      </c>
      <c r="CY102" s="6"/>
      <c r="CZ102" s="79">
        <v>33336</v>
      </c>
      <c r="DA102" s="79">
        <v>33336</v>
      </c>
      <c r="DB102" s="79"/>
      <c r="DC102" s="40">
        <v>4</v>
      </c>
      <c r="DD102" s="79"/>
      <c r="DE102" s="79"/>
      <c r="DF102" s="79">
        <f t="shared" si="85"/>
        <v>1.1999040076793856E-4</v>
      </c>
      <c r="DG102" s="1">
        <v>4</v>
      </c>
      <c r="DH102" s="1" t="s">
        <v>86</v>
      </c>
      <c r="DI102" s="6"/>
      <c r="DJ102" s="79">
        <v>33336</v>
      </c>
      <c r="DK102" s="79">
        <v>33336</v>
      </c>
      <c r="DL102" s="79"/>
      <c r="DM102" s="40">
        <v>1.8</v>
      </c>
      <c r="DN102" s="79"/>
      <c r="DO102" s="79"/>
      <c r="DP102" s="79">
        <f t="shared" si="86"/>
        <v>5.3995680345572353E-5</v>
      </c>
      <c r="DQ102" s="1">
        <v>4</v>
      </c>
      <c r="DR102" s="1" t="s">
        <v>86</v>
      </c>
      <c r="DS102" s="122">
        <f t="shared" si="90"/>
        <v>0</v>
      </c>
      <c r="DT102" s="79">
        <f t="shared" si="95"/>
        <v>400032</v>
      </c>
      <c r="DU102" s="79">
        <f t="shared" si="105"/>
        <v>400032</v>
      </c>
      <c r="DV102" s="79">
        <v>0</v>
      </c>
      <c r="DW102" s="79">
        <f t="shared" si="97"/>
        <v>11.8</v>
      </c>
      <c r="DX102" s="79">
        <f t="shared" si="98"/>
        <v>0</v>
      </c>
      <c r="DY102" s="79">
        <f t="shared" si="99"/>
        <v>0</v>
      </c>
      <c r="DZ102" s="85">
        <f t="shared" si="106"/>
        <v>2.94976401887849E-5</v>
      </c>
    </row>
    <row r="103" spans="1:144" x14ac:dyDescent="0.3">
      <c r="A103" s="1">
        <v>5</v>
      </c>
      <c r="B103" s="1" t="s">
        <v>87</v>
      </c>
      <c r="C103" s="6"/>
      <c r="D103" s="79">
        <v>33336</v>
      </c>
      <c r="E103" s="79">
        <v>33336</v>
      </c>
      <c r="F103" s="79"/>
      <c r="G103" s="79">
        <v>10.399999999999999</v>
      </c>
      <c r="H103" s="79"/>
      <c r="I103" s="79"/>
      <c r="J103" s="85">
        <f t="shared" si="92"/>
        <v>3.1197504199664025E-4</v>
      </c>
      <c r="K103" s="1">
        <v>5</v>
      </c>
      <c r="L103" s="1" t="s">
        <v>87</v>
      </c>
      <c r="M103" s="6"/>
      <c r="N103" s="79">
        <v>33336</v>
      </c>
      <c r="O103" s="79">
        <v>33336</v>
      </c>
      <c r="P103" s="79"/>
      <c r="Q103" s="79">
        <v>1.6</v>
      </c>
      <c r="R103" s="79"/>
      <c r="S103" s="79"/>
      <c r="T103" s="85">
        <v>0</v>
      </c>
      <c r="U103" s="1">
        <v>5</v>
      </c>
      <c r="V103" s="1" t="s">
        <v>87</v>
      </c>
      <c r="W103" s="6">
        <v>0</v>
      </c>
      <c r="X103" s="79">
        <v>33336</v>
      </c>
      <c r="Y103" s="79">
        <v>33336</v>
      </c>
      <c r="Z103" s="79">
        <v>0</v>
      </c>
      <c r="AA103" s="79">
        <v>6.8000000000000007</v>
      </c>
      <c r="AB103" s="79">
        <v>0</v>
      </c>
      <c r="AC103" s="79">
        <v>0</v>
      </c>
      <c r="AD103" s="85">
        <f t="shared" si="100"/>
        <v>2.0398368130549558E-4</v>
      </c>
      <c r="AE103" s="1">
        <v>5</v>
      </c>
      <c r="AF103" s="1" t="s">
        <v>87</v>
      </c>
      <c r="AG103" s="6"/>
      <c r="AH103" s="79">
        <v>33336</v>
      </c>
      <c r="AI103" s="79">
        <v>33336</v>
      </c>
      <c r="AJ103" s="79"/>
      <c r="AK103" s="79">
        <v>2.1</v>
      </c>
      <c r="AL103" s="79"/>
      <c r="AM103" s="79"/>
      <c r="AN103" s="85">
        <f t="shared" si="101"/>
        <v>6.2994960403167747E-5</v>
      </c>
      <c r="AO103" s="1">
        <v>5</v>
      </c>
      <c r="AP103" s="1" t="s">
        <v>87</v>
      </c>
      <c r="AQ103" s="6"/>
      <c r="AR103" s="79">
        <v>33336</v>
      </c>
      <c r="AS103" s="79">
        <v>33336</v>
      </c>
      <c r="AT103" s="79"/>
      <c r="AU103" s="79">
        <v>2</v>
      </c>
      <c r="AV103" s="79"/>
      <c r="AW103" s="79"/>
      <c r="AX103" s="85">
        <f t="shared" si="102"/>
        <v>5.9995200383969282E-5</v>
      </c>
      <c r="AY103" s="1">
        <v>5</v>
      </c>
      <c r="AZ103" s="1" t="s">
        <v>87</v>
      </c>
      <c r="BA103" s="6"/>
      <c r="BB103" s="79">
        <v>33336</v>
      </c>
      <c r="BC103" s="79">
        <v>33336</v>
      </c>
      <c r="BD103" s="79"/>
      <c r="BE103" s="40">
        <v>13.3</v>
      </c>
      <c r="BF103" s="79"/>
      <c r="BG103" s="79"/>
      <c r="BH103" s="85">
        <f t="shared" si="103"/>
        <v>3.9896808255339574E-4</v>
      </c>
      <c r="BI103" s="1">
        <v>5</v>
      </c>
      <c r="BJ103" s="1" t="s">
        <v>87</v>
      </c>
      <c r="BK103" s="79"/>
      <c r="BL103" s="79">
        <v>33336</v>
      </c>
      <c r="BM103" s="79">
        <v>33336</v>
      </c>
      <c r="BN103" s="79"/>
      <c r="BO103" s="79">
        <v>74.5</v>
      </c>
      <c r="BP103" s="79"/>
      <c r="BQ103" s="79"/>
      <c r="BR103" s="79">
        <f t="shared" si="82"/>
        <v>2.234821214302856E-3</v>
      </c>
      <c r="BS103" s="1">
        <v>5</v>
      </c>
      <c r="BT103" s="1" t="s">
        <v>87</v>
      </c>
      <c r="BU103" s="6"/>
      <c r="BV103" s="79">
        <v>33336</v>
      </c>
      <c r="BW103" s="79">
        <v>33336</v>
      </c>
      <c r="BX103" s="79"/>
      <c r="BY103" s="40">
        <v>3.4</v>
      </c>
      <c r="BZ103" s="79"/>
      <c r="CA103" s="79"/>
      <c r="CB103" s="79">
        <f t="shared" si="83"/>
        <v>1.0199184065274778E-4</v>
      </c>
      <c r="CC103" s="1">
        <v>5</v>
      </c>
      <c r="CD103" s="1" t="s">
        <v>87</v>
      </c>
      <c r="CE103" s="6"/>
      <c r="CF103" s="79">
        <v>33336</v>
      </c>
      <c r="CG103" s="79">
        <v>33336</v>
      </c>
      <c r="CH103" s="79"/>
      <c r="CI103" s="79">
        <v>1.2</v>
      </c>
      <c r="CJ103" s="79"/>
      <c r="CK103" s="79"/>
      <c r="CL103" s="79">
        <f t="shared" si="84"/>
        <v>3.5997120230381567E-5</v>
      </c>
      <c r="CM103" s="1">
        <v>5</v>
      </c>
      <c r="CN103" s="1" t="s">
        <v>87</v>
      </c>
      <c r="CO103" s="6"/>
      <c r="CP103" s="79">
        <v>33336</v>
      </c>
      <c r="CQ103" s="79">
        <v>33336</v>
      </c>
      <c r="CR103" s="79"/>
      <c r="CS103" s="79">
        <v>0.3</v>
      </c>
      <c r="CT103" s="79"/>
      <c r="CU103" s="79"/>
      <c r="CV103" s="85">
        <f t="shared" si="104"/>
        <v>8.9992800575953917E-6</v>
      </c>
      <c r="CW103" s="1">
        <v>5</v>
      </c>
      <c r="CX103" s="1" t="s">
        <v>87</v>
      </c>
      <c r="CY103" s="6"/>
      <c r="CZ103" s="79">
        <v>33336</v>
      </c>
      <c r="DA103" s="79">
        <v>33336</v>
      </c>
      <c r="DB103" s="79"/>
      <c r="DC103" s="40">
        <v>1</v>
      </c>
      <c r="DD103" s="79"/>
      <c r="DE103" s="79"/>
      <c r="DF103" s="79">
        <f t="shared" si="85"/>
        <v>2.9997600191984641E-5</v>
      </c>
      <c r="DG103" s="1">
        <v>5</v>
      </c>
      <c r="DH103" s="1" t="s">
        <v>87</v>
      </c>
      <c r="DI103" s="6"/>
      <c r="DJ103" s="79">
        <v>33336</v>
      </c>
      <c r="DK103" s="79">
        <v>33336</v>
      </c>
      <c r="DL103" s="79"/>
      <c r="DM103" s="40">
        <v>0</v>
      </c>
      <c r="DN103" s="79"/>
      <c r="DO103" s="79"/>
      <c r="DP103" s="79">
        <f t="shared" si="86"/>
        <v>0</v>
      </c>
      <c r="DQ103" s="1">
        <v>5</v>
      </c>
      <c r="DR103" s="1" t="s">
        <v>87</v>
      </c>
      <c r="DS103" s="122">
        <f t="shared" si="90"/>
        <v>0</v>
      </c>
      <c r="DT103" s="79">
        <f t="shared" si="95"/>
        <v>400032</v>
      </c>
      <c r="DU103" s="79">
        <f t="shared" si="105"/>
        <v>400032</v>
      </c>
      <c r="DV103" s="79">
        <v>0</v>
      </c>
      <c r="DW103" s="79">
        <f t="shared" si="97"/>
        <v>116.60000000000001</v>
      </c>
      <c r="DX103" s="79">
        <f t="shared" si="98"/>
        <v>0</v>
      </c>
      <c r="DY103" s="79">
        <f t="shared" si="99"/>
        <v>0</v>
      </c>
      <c r="DZ103" s="85">
        <f t="shared" si="106"/>
        <v>2.9147668186545081E-4</v>
      </c>
    </row>
    <row r="104" spans="1:144" s="30" customFormat="1" x14ac:dyDescent="0.3">
      <c r="A104" s="1">
        <v>6</v>
      </c>
      <c r="B104" s="1" t="s">
        <v>88</v>
      </c>
      <c r="C104" s="6"/>
      <c r="D104" s="79">
        <v>33336</v>
      </c>
      <c r="E104" s="79">
        <v>33336</v>
      </c>
      <c r="F104" s="79"/>
      <c r="G104" s="79">
        <v>0</v>
      </c>
      <c r="H104" s="79"/>
      <c r="I104" s="79"/>
      <c r="J104" s="85">
        <f t="shared" si="92"/>
        <v>0</v>
      </c>
      <c r="K104" s="1">
        <v>6</v>
      </c>
      <c r="L104" s="1" t="s">
        <v>88</v>
      </c>
      <c r="M104" s="6"/>
      <c r="N104" s="79">
        <v>33336</v>
      </c>
      <c r="O104" s="79">
        <v>33336</v>
      </c>
      <c r="P104" s="79"/>
      <c r="Q104" s="79">
        <v>0</v>
      </c>
      <c r="R104" s="79"/>
      <c r="S104" s="79"/>
      <c r="T104" s="85">
        <v>0</v>
      </c>
      <c r="U104" s="1">
        <v>6</v>
      </c>
      <c r="V104" s="1" t="s">
        <v>88</v>
      </c>
      <c r="W104" s="6">
        <v>0</v>
      </c>
      <c r="X104" s="79">
        <v>33336</v>
      </c>
      <c r="Y104" s="79">
        <v>33336</v>
      </c>
      <c r="Z104" s="79">
        <v>0</v>
      </c>
      <c r="AA104" s="79">
        <v>2.1</v>
      </c>
      <c r="AB104" s="79">
        <v>0</v>
      </c>
      <c r="AC104" s="79">
        <v>0</v>
      </c>
      <c r="AD104" s="85">
        <f t="shared" si="100"/>
        <v>6.2994960403167747E-5</v>
      </c>
      <c r="AE104" s="1">
        <v>6</v>
      </c>
      <c r="AF104" s="1" t="s">
        <v>88</v>
      </c>
      <c r="AG104" s="6"/>
      <c r="AH104" s="79">
        <v>33336</v>
      </c>
      <c r="AI104" s="79">
        <v>33336</v>
      </c>
      <c r="AJ104" s="79"/>
      <c r="AK104" s="79">
        <v>0</v>
      </c>
      <c r="AL104" s="79"/>
      <c r="AM104" s="79"/>
      <c r="AN104" s="85">
        <f t="shared" si="101"/>
        <v>0</v>
      </c>
      <c r="AO104" s="1">
        <v>6</v>
      </c>
      <c r="AP104" s="1" t="s">
        <v>88</v>
      </c>
      <c r="AQ104" s="6"/>
      <c r="AR104" s="79">
        <v>33336</v>
      </c>
      <c r="AS104" s="79">
        <v>33336</v>
      </c>
      <c r="AT104" s="79"/>
      <c r="AU104" s="79">
        <v>0.5</v>
      </c>
      <c r="AV104" s="79"/>
      <c r="AW104" s="79"/>
      <c r="AX104" s="85">
        <f t="shared" si="102"/>
        <v>1.4998800095992321E-5</v>
      </c>
      <c r="AY104" s="1">
        <v>6</v>
      </c>
      <c r="AZ104" s="1" t="s">
        <v>88</v>
      </c>
      <c r="BA104" s="6"/>
      <c r="BB104" s="79">
        <v>33336</v>
      </c>
      <c r="BC104" s="79">
        <v>33336</v>
      </c>
      <c r="BD104" s="79"/>
      <c r="BE104" s="40">
        <v>0</v>
      </c>
      <c r="BF104" s="79"/>
      <c r="BG104" s="79"/>
      <c r="BH104" s="85">
        <f t="shared" si="103"/>
        <v>0</v>
      </c>
      <c r="BI104" s="1">
        <v>6</v>
      </c>
      <c r="BJ104" s="1" t="s">
        <v>88</v>
      </c>
      <c r="BK104" s="79"/>
      <c r="BL104" s="79">
        <v>33336</v>
      </c>
      <c r="BM104" s="79">
        <v>33336</v>
      </c>
      <c r="BN104" s="79"/>
      <c r="BO104" s="79">
        <v>3.1</v>
      </c>
      <c r="BP104" s="79"/>
      <c r="BQ104" s="79"/>
      <c r="BR104" s="79">
        <f t="shared" si="82"/>
        <v>9.2992560595152391E-5</v>
      </c>
      <c r="BS104" s="1">
        <v>6</v>
      </c>
      <c r="BT104" s="1" t="s">
        <v>88</v>
      </c>
      <c r="BU104" s="6"/>
      <c r="BV104" s="79">
        <v>33336</v>
      </c>
      <c r="BW104" s="79">
        <v>33336</v>
      </c>
      <c r="BX104" s="79"/>
      <c r="BY104" s="40">
        <v>0</v>
      </c>
      <c r="BZ104" s="79"/>
      <c r="CA104" s="79"/>
      <c r="CB104" s="79">
        <f t="shared" si="83"/>
        <v>0</v>
      </c>
      <c r="CC104" s="1">
        <v>6</v>
      </c>
      <c r="CD104" s="1" t="s">
        <v>88</v>
      </c>
      <c r="CE104" s="6"/>
      <c r="CF104" s="79">
        <v>33336</v>
      </c>
      <c r="CG104" s="79">
        <v>33336</v>
      </c>
      <c r="CH104" s="79"/>
      <c r="CI104" s="79">
        <v>0.1</v>
      </c>
      <c r="CJ104" s="79"/>
      <c r="CK104" s="79"/>
      <c r="CL104" s="79">
        <f t="shared" si="84"/>
        <v>2.9997600191984645E-6</v>
      </c>
      <c r="CM104" s="1">
        <v>6</v>
      </c>
      <c r="CN104" s="1" t="s">
        <v>88</v>
      </c>
      <c r="CO104" s="6"/>
      <c r="CP104" s="79">
        <v>33336</v>
      </c>
      <c r="CQ104" s="79">
        <v>33336</v>
      </c>
      <c r="CR104" s="79"/>
      <c r="CS104" s="79">
        <v>0</v>
      </c>
      <c r="CT104" s="79"/>
      <c r="CU104" s="79"/>
      <c r="CV104" s="85">
        <f t="shared" si="104"/>
        <v>0</v>
      </c>
      <c r="CW104" s="1">
        <v>6</v>
      </c>
      <c r="CX104" s="1" t="s">
        <v>88</v>
      </c>
      <c r="CY104" s="6"/>
      <c r="CZ104" s="79">
        <v>33336</v>
      </c>
      <c r="DA104" s="79">
        <v>33336</v>
      </c>
      <c r="DB104" s="79"/>
      <c r="DC104" s="40">
        <v>0</v>
      </c>
      <c r="DD104" s="79"/>
      <c r="DE104" s="79"/>
      <c r="DF104" s="79">
        <f t="shared" si="85"/>
        <v>0</v>
      </c>
      <c r="DG104" s="1">
        <v>6</v>
      </c>
      <c r="DH104" s="1" t="s">
        <v>88</v>
      </c>
      <c r="DI104" s="6"/>
      <c r="DJ104" s="79">
        <v>33336</v>
      </c>
      <c r="DK104" s="79">
        <v>33336</v>
      </c>
      <c r="DL104" s="79"/>
      <c r="DM104" s="40">
        <v>0</v>
      </c>
      <c r="DN104" s="79"/>
      <c r="DO104" s="79"/>
      <c r="DP104" s="79">
        <f t="shared" si="86"/>
        <v>0</v>
      </c>
      <c r="DQ104" s="1">
        <v>6</v>
      </c>
      <c r="DR104" s="1" t="s">
        <v>88</v>
      </c>
      <c r="DS104" s="122">
        <f t="shared" si="90"/>
        <v>0</v>
      </c>
      <c r="DT104" s="79">
        <f t="shared" si="95"/>
        <v>400032</v>
      </c>
      <c r="DU104" s="79">
        <f t="shared" si="105"/>
        <v>400032</v>
      </c>
      <c r="DV104" s="79">
        <v>0</v>
      </c>
      <c r="DW104" s="79">
        <f t="shared" si="97"/>
        <v>5.8</v>
      </c>
      <c r="DX104" s="79">
        <f t="shared" si="98"/>
        <v>0</v>
      </c>
      <c r="DY104" s="79">
        <f t="shared" si="99"/>
        <v>0</v>
      </c>
      <c r="DZ104" s="85">
        <f t="shared" si="106"/>
        <v>1.4498840092792577E-5</v>
      </c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</row>
    <row r="105" spans="1:144" x14ac:dyDescent="0.3">
      <c r="A105" s="1">
        <v>7</v>
      </c>
      <c r="B105" s="1" t="s">
        <v>89</v>
      </c>
      <c r="C105" s="6"/>
      <c r="D105" s="79">
        <v>33336</v>
      </c>
      <c r="E105" s="79">
        <v>33336</v>
      </c>
      <c r="F105" s="79"/>
      <c r="G105" s="79">
        <v>0</v>
      </c>
      <c r="H105" s="79"/>
      <c r="I105" s="79"/>
      <c r="J105" s="85">
        <f t="shared" si="92"/>
        <v>0</v>
      </c>
      <c r="K105" s="1">
        <v>7</v>
      </c>
      <c r="L105" s="1" t="s">
        <v>89</v>
      </c>
      <c r="M105" s="6"/>
      <c r="N105" s="79">
        <v>33336</v>
      </c>
      <c r="O105" s="79">
        <v>33336</v>
      </c>
      <c r="P105" s="79"/>
      <c r="Q105" s="79">
        <v>0</v>
      </c>
      <c r="R105" s="79"/>
      <c r="S105" s="79"/>
      <c r="T105" s="85">
        <v>0</v>
      </c>
      <c r="U105" s="1">
        <v>7</v>
      </c>
      <c r="V105" s="1" t="s">
        <v>89</v>
      </c>
      <c r="W105" s="6">
        <v>0</v>
      </c>
      <c r="X105" s="79">
        <v>33336</v>
      </c>
      <c r="Y105" s="79">
        <v>33336</v>
      </c>
      <c r="Z105" s="79">
        <v>0</v>
      </c>
      <c r="AA105" s="79">
        <v>0.2</v>
      </c>
      <c r="AB105" s="79">
        <v>0</v>
      </c>
      <c r="AC105" s="79">
        <v>0</v>
      </c>
      <c r="AD105" s="85">
        <f t="shared" si="100"/>
        <v>5.9995200383969289E-6</v>
      </c>
      <c r="AE105" s="1">
        <v>7</v>
      </c>
      <c r="AF105" s="1" t="s">
        <v>89</v>
      </c>
      <c r="AG105" s="6"/>
      <c r="AH105" s="79">
        <v>33336</v>
      </c>
      <c r="AI105" s="79">
        <v>33336</v>
      </c>
      <c r="AJ105" s="79"/>
      <c r="AK105" s="79">
        <v>0.1</v>
      </c>
      <c r="AL105" s="79"/>
      <c r="AM105" s="79"/>
      <c r="AN105" s="85">
        <f t="shared" si="101"/>
        <v>2.9997600191984645E-6</v>
      </c>
      <c r="AO105" s="1">
        <v>7</v>
      </c>
      <c r="AP105" s="1" t="s">
        <v>89</v>
      </c>
      <c r="AQ105" s="6"/>
      <c r="AR105" s="79">
        <v>33336</v>
      </c>
      <c r="AS105" s="79">
        <v>33336</v>
      </c>
      <c r="AT105" s="79"/>
      <c r="AU105" s="79">
        <v>0.1</v>
      </c>
      <c r="AV105" s="79"/>
      <c r="AW105" s="79"/>
      <c r="AX105" s="85">
        <f t="shared" si="102"/>
        <v>2.9997600191984645E-6</v>
      </c>
      <c r="AY105" s="1">
        <v>7</v>
      </c>
      <c r="AZ105" s="1" t="s">
        <v>89</v>
      </c>
      <c r="BA105" s="6"/>
      <c r="BB105" s="79">
        <v>33336</v>
      </c>
      <c r="BC105" s="79">
        <v>33336</v>
      </c>
      <c r="BD105" s="79"/>
      <c r="BE105" s="40">
        <v>0.4</v>
      </c>
      <c r="BF105" s="79"/>
      <c r="BG105" s="79"/>
      <c r="BH105" s="85">
        <f t="shared" si="103"/>
        <v>1.1999040076793858E-5</v>
      </c>
      <c r="BI105" s="1">
        <v>7</v>
      </c>
      <c r="BJ105" s="1" t="s">
        <v>89</v>
      </c>
      <c r="BK105" s="79"/>
      <c r="BL105" s="79">
        <v>33336</v>
      </c>
      <c r="BM105" s="79">
        <v>33336</v>
      </c>
      <c r="BN105" s="79"/>
      <c r="BO105" s="79">
        <v>1.2</v>
      </c>
      <c r="BP105" s="79"/>
      <c r="BQ105" s="79"/>
      <c r="BR105" s="79">
        <f t="shared" si="82"/>
        <v>3.5997120230381567E-5</v>
      </c>
      <c r="BS105" s="1">
        <v>7</v>
      </c>
      <c r="BT105" s="1" t="s">
        <v>89</v>
      </c>
      <c r="BU105" s="6"/>
      <c r="BV105" s="79">
        <v>33336</v>
      </c>
      <c r="BW105" s="79">
        <v>33336</v>
      </c>
      <c r="BX105" s="79"/>
      <c r="BY105" s="40">
        <v>0.2</v>
      </c>
      <c r="BZ105" s="79"/>
      <c r="CA105" s="79"/>
      <c r="CB105" s="79">
        <f t="shared" si="83"/>
        <v>5.9995200383969289E-6</v>
      </c>
      <c r="CC105" s="1">
        <v>7</v>
      </c>
      <c r="CD105" s="1" t="s">
        <v>89</v>
      </c>
      <c r="CE105" s="6"/>
      <c r="CF105" s="79">
        <v>33336</v>
      </c>
      <c r="CG105" s="79">
        <v>33336</v>
      </c>
      <c r="CH105" s="79"/>
      <c r="CI105" s="79">
        <v>0.4</v>
      </c>
      <c r="CJ105" s="79"/>
      <c r="CK105" s="79"/>
      <c r="CL105" s="79">
        <f t="shared" si="84"/>
        <v>1.1999040076793858E-5</v>
      </c>
      <c r="CM105" s="1">
        <v>7</v>
      </c>
      <c r="CN105" s="1" t="s">
        <v>89</v>
      </c>
      <c r="CO105" s="6"/>
      <c r="CP105" s="79">
        <v>33336</v>
      </c>
      <c r="CQ105" s="79">
        <v>33336</v>
      </c>
      <c r="CR105" s="79"/>
      <c r="CS105" s="79">
        <v>0.3</v>
      </c>
      <c r="CT105" s="79"/>
      <c r="CU105" s="79"/>
      <c r="CV105" s="85">
        <f t="shared" si="104"/>
        <v>8.9992800575953917E-6</v>
      </c>
      <c r="CW105" s="1">
        <v>7</v>
      </c>
      <c r="CX105" s="1" t="s">
        <v>89</v>
      </c>
      <c r="CY105" s="6"/>
      <c r="CZ105" s="79">
        <v>33336</v>
      </c>
      <c r="DA105" s="79">
        <v>33336</v>
      </c>
      <c r="DB105" s="79"/>
      <c r="DC105" s="40">
        <v>0.2</v>
      </c>
      <c r="DD105" s="79"/>
      <c r="DE105" s="79"/>
      <c r="DF105" s="79">
        <f t="shared" si="85"/>
        <v>5.9995200383969289E-6</v>
      </c>
      <c r="DG105" s="1">
        <v>7</v>
      </c>
      <c r="DH105" s="1" t="s">
        <v>89</v>
      </c>
      <c r="DI105" s="6"/>
      <c r="DJ105" s="79">
        <v>33336</v>
      </c>
      <c r="DK105" s="79">
        <v>33336</v>
      </c>
      <c r="DL105" s="79"/>
      <c r="DM105" s="40">
        <v>0</v>
      </c>
      <c r="DN105" s="79"/>
      <c r="DO105" s="79"/>
      <c r="DP105" s="79">
        <f t="shared" si="86"/>
        <v>0</v>
      </c>
      <c r="DQ105" s="1">
        <v>7</v>
      </c>
      <c r="DR105" s="1" t="s">
        <v>89</v>
      </c>
      <c r="DS105" s="122">
        <f t="shared" si="90"/>
        <v>0</v>
      </c>
      <c r="DT105" s="79">
        <f t="shared" si="95"/>
        <v>400032</v>
      </c>
      <c r="DU105" s="79">
        <f t="shared" si="105"/>
        <v>400032</v>
      </c>
      <c r="DV105" s="79">
        <v>0</v>
      </c>
      <c r="DW105" s="79">
        <f t="shared" si="97"/>
        <v>3.1</v>
      </c>
      <c r="DX105" s="79">
        <f t="shared" si="98"/>
        <v>0</v>
      </c>
      <c r="DY105" s="79">
        <f t="shared" si="99"/>
        <v>0</v>
      </c>
      <c r="DZ105" s="85">
        <f t="shared" si="106"/>
        <v>7.7493800495960332E-6</v>
      </c>
    </row>
    <row r="106" spans="1:144" x14ac:dyDescent="0.3">
      <c r="A106" s="1">
        <v>8</v>
      </c>
      <c r="B106" s="1" t="s">
        <v>90</v>
      </c>
      <c r="C106" s="6"/>
      <c r="D106" s="79">
        <v>33336</v>
      </c>
      <c r="E106" s="79">
        <v>33336</v>
      </c>
      <c r="F106" s="79"/>
      <c r="G106" s="79">
        <v>1.9</v>
      </c>
      <c r="H106" s="79"/>
      <c r="I106" s="79"/>
      <c r="J106" s="85">
        <f t="shared" si="92"/>
        <v>5.6995440364770818E-5</v>
      </c>
      <c r="K106" s="1">
        <v>8</v>
      </c>
      <c r="L106" s="1" t="s">
        <v>90</v>
      </c>
      <c r="M106" s="6"/>
      <c r="N106" s="79">
        <v>33336</v>
      </c>
      <c r="O106" s="79">
        <v>33336</v>
      </c>
      <c r="P106" s="79"/>
      <c r="Q106" s="79">
        <v>0</v>
      </c>
      <c r="R106" s="79"/>
      <c r="S106" s="79"/>
      <c r="T106" s="85">
        <v>0</v>
      </c>
      <c r="U106" s="1">
        <v>8</v>
      </c>
      <c r="V106" s="1" t="s">
        <v>90</v>
      </c>
      <c r="W106" s="6">
        <v>0</v>
      </c>
      <c r="X106" s="79">
        <v>33336</v>
      </c>
      <c r="Y106" s="79">
        <v>33336</v>
      </c>
      <c r="Z106" s="79">
        <v>0</v>
      </c>
      <c r="AA106" s="79">
        <v>1.9000000000000004</v>
      </c>
      <c r="AB106" s="79">
        <v>0</v>
      </c>
      <c r="AC106" s="79">
        <v>0</v>
      </c>
      <c r="AD106" s="85">
        <f t="shared" si="100"/>
        <v>5.6995440364770831E-5</v>
      </c>
      <c r="AE106" s="1">
        <v>8</v>
      </c>
      <c r="AF106" s="1" t="s">
        <v>90</v>
      </c>
      <c r="AG106" s="6"/>
      <c r="AH106" s="79">
        <v>33336</v>
      </c>
      <c r="AI106" s="79">
        <v>33336</v>
      </c>
      <c r="AJ106" s="79"/>
      <c r="AK106" s="79">
        <v>6.5</v>
      </c>
      <c r="AL106" s="79"/>
      <c r="AM106" s="79"/>
      <c r="AN106" s="85">
        <f t="shared" si="101"/>
        <v>1.9498440124790016E-4</v>
      </c>
      <c r="AO106" s="1">
        <v>8</v>
      </c>
      <c r="AP106" s="1" t="s">
        <v>90</v>
      </c>
      <c r="AQ106" s="6"/>
      <c r="AR106" s="79">
        <v>33336</v>
      </c>
      <c r="AS106" s="79">
        <v>33336</v>
      </c>
      <c r="AT106" s="79"/>
      <c r="AU106" s="79">
        <v>0.7</v>
      </c>
      <c r="AV106" s="79"/>
      <c r="AW106" s="79"/>
      <c r="AX106" s="85">
        <f t="shared" si="102"/>
        <v>2.0998320134389248E-5</v>
      </c>
      <c r="AY106" s="1">
        <v>8</v>
      </c>
      <c r="AZ106" s="1" t="s">
        <v>90</v>
      </c>
      <c r="BA106" s="6"/>
      <c r="BB106" s="79">
        <v>33336</v>
      </c>
      <c r="BC106" s="79">
        <v>33336</v>
      </c>
      <c r="BD106" s="79"/>
      <c r="BE106" s="40">
        <v>0.3</v>
      </c>
      <c r="BF106" s="79"/>
      <c r="BG106" s="79"/>
      <c r="BH106" s="85">
        <f t="shared" si="103"/>
        <v>8.9992800575953917E-6</v>
      </c>
      <c r="BI106" s="1">
        <v>8</v>
      </c>
      <c r="BJ106" s="1" t="s">
        <v>90</v>
      </c>
      <c r="BK106" s="79"/>
      <c r="BL106" s="79">
        <v>33336</v>
      </c>
      <c r="BM106" s="79">
        <v>33336</v>
      </c>
      <c r="BN106" s="79"/>
      <c r="BO106" s="79">
        <v>5.2</v>
      </c>
      <c r="BP106" s="79"/>
      <c r="BQ106" s="79"/>
      <c r="BR106" s="79">
        <f t="shared" si="82"/>
        <v>1.5598752099832015E-4</v>
      </c>
      <c r="BS106" s="1">
        <v>8</v>
      </c>
      <c r="BT106" s="1" t="s">
        <v>90</v>
      </c>
      <c r="BU106" s="6"/>
      <c r="BV106" s="79">
        <v>33336</v>
      </c>
      <c r="BW106" s="79">
        <v>33336</v>
      </c>
      <c r="BX106" s="79"/>
      <c r="BY106" s="40">
        <v>0.7</v>
      </c>
      <c r="BZ106" s="79"/>
      <c r="CA106" s="79"/>
      <c r="CB106" s="79">
        <f t="shared" si="83"/>
        <v>2.0998320134389248E-5</v>
      </c>
      <c r="CC106" s="1">
        <v>8</v>
      </c>
      <c r="CD106" s="1" t="s">
        <v>90</v>
      </c>
      <c r="CE106" s="6"/>
      <c r="CF106" s="79">
        <v>33336</v>
      </c>
      <c r="CG106" s="79">
        <v>33336</v>
      </c>
      <c r="CH106" s="79"/>
      <c r="CI106" s="79">
        <v>0.9</v>
      </c>
      <c r="CJ106" s="79"/>
      <c r="CK106" s="79"/>
      <c r="CL106" s="79">
        <f t="shared" si="84"/>
        <v>2.6997840172786177E-5</v>
      </c>
      <c r="CM106" s="1">
        <v>8</v>
      </c>
      <c r="CN106" s="1" t="s">
        <v>90</v>
      </c>
      <c r="CO106" s="6"/>
      <c r="CP106" s="79">
        <v>33336</v>
      </c>
      <c r="CQ106" s="79">
        <v>33336</v>
      </c>
      <c r="CR106" s="79"/>
      <c r="CS106" s="79">
        <v>0.7</v>
      </c>
      <c r="CT106" s="79"/>
      <c r="CU106" s="79"/>
      <c r="CV106" s="85">
        <f t="shared" si="104"/>
        <v>2.0998320134389248E-5</v>
      </c>
      <c r="CW106" s="1">
        <v>8</v>
      </c>
      <c r="CX106" s="1" t="s">
        <v>90</v>
      </c>
      <c r="CY106" s="6"/>
      <c r="CZ106" s="79">
        <v>33336</v>
      </c>
      <c r="DA106" s="79">
        <v>33336</v>
      </c>
      <c r="DB106" s="79"/>
      <c r="DC106" s="40">
        <v>0.9</v>
      </c>
      <c r="DD106" s="79"/>
      <c r="DE106" s="79"/>
      <c r="DF106" s="79">
        <f t="shared" si="85"/>
        <v>2.6997840172786177E-5</v>
      </c>
      <c r="DG106" s="1">
        <v>8</v>
      </c>
      <c r="DH106" s="1" t="s">
        <v>90</v>
      </c>
      <c r="DI106" s="6"/>
      <c r="DJ106" s="79">
        <v>33336</v>
      </c>
      <c r="DK106" s="79">
        <v>33336</v>
      </c>
      <c r="DL106" s="79"/>
      <c r="DM106" s="40">
        <v>0.9</v>
      </c>
      <c r="DN106" s="79"/>
      <c r="DO106" s="79"/>
      <c r="DP106" s="79">
        <f t="shared" si="86"/>
        <v>2.6997840172786177E-5</v>
      </c>
      <c r="DQ106" s="1">
        <v>8</v>
      </c>
      <c r="DR106" s="1" t="s">
        <v>90</v>
      </c>
      <c r="DS106" s="122">
        <f t="shared" si="90"/>
        <v>0</v>
      </c>
      <c r="DT106" s="79">
        <f t="shared" si="95"/>
        <v>400032</v>
      </c>
      <c r="DU106" s="79">
        <f t="shared" si="105"/>
        <v>400032</v>
      </c>
      <c r="DV106" s="79">
        <v>0</v>
      </c>
      <c r="DW106" s="79">
        <f t="shared" si="97"/>
        <v>20.599999999999994</v>
      </c>
      <c r="DX106" s="79">
        <f t="shared" si="98"/>
        <v>0</v>
      </c>
      <c r="DY106" s="79">
        <f t="shared" si="99"/>
        <v>0</v>
      </c>
      <c r="DZ106" s="85">
        <f t="shared" si="106"/>
        <v>5.1495880329573623E-5</v>
      </c>
    </row>
    <row r="107" spans="1:144" x14ac:dyDescent="0.3">
      <c r="A107" s="1">
        <v>9</v>
      </c>
      <c r="B107" s="1" t="s">
        <v>91</v>
      </c>
      <c r="C107" s="6"/>
      <c r="D107" s="79">
        <v>33336</v>
      </c>
      <c r="E107" s="79">
        <v>33336</v>
      </c>
      <c r="F107" s="79"/>
      <c r="G107" s="79">
        <v>3.7</v>
      </c>
      <c r="H107" s="79"/>
      <c r="I107" s="79"/>
      <c r="J107" s="85">
        <f t="shared" si="92"/>
        <v>1.1099112071034318E-4</v>
      </c>
      <c r="K107" s="1">
        <v>9</v>
      </c>
      <c r="L107" s="1" t="s">
        <v>91</v>
      </c>
      <c r="M107" s="6"/>
      <c r="N107" s="79">
        <v>33336</v>
      </c>
      <c r="O107" s="79">
        <v>33336</v>
      </c>
      <c r="P107" s="79"/>
      <c r="Q107" s="79">
        <v>0.4</v>
      </c>
      <c r="R107" s="79"/>
      <c r="S107" s="79"/>
      <c r="T107" s="85">
        <v>0</v>
      </c>
      <c r="U107" s="1">
        <v>9</v>
      </c>
      <c r="V107" s="1" t="s">
        <v>91</v>
      </c>
      <c r="W107" s="6">
        <v>0</v>
      </c>
      <c r="X107" s="79">
        <v>33336</v>
      </c>
      <c r="Y107" s="79">
        <v>33336</v>
      </c>
      <c r="Z107" s="79">
        <v>0</v>
      </c>
      <c r="AA107" s="79">
        <v>0.2</v>
      </c>
      <c r="AB107" s="79">
        <v>0</v>
      </c>
      <c r="AC107" s="79">
        <v>0</v>
      </c>
      <c r="AD107" s="85">
        <f t="shared" si="100"/>
        <v>5.9995200383969289E-6</v>
      </c>
      <c r="AE107" s="1">
        <v>9</v>
      </c>
      <c r="AF107" s="1" t="s">
        <v>91</v>
      </c>
      <c r="AG107" s="6"/>
      <c r="AH107" s="79">
        <v>33336</v>
      </c>
      <c r="AI107" s="79">
        <v>33336</v>
      </c>
      <c r="AJ107" s="79"/>
      <c r="AK107" s="79">
        <v>3.1</v>
      </c>
      <c r="AL107" s="79"/>
      <c r="AM107" s="79"/>
      <c r="AN107" s="85">
        <f t="shared" si="101"/>
        <v>9.2992560595152391E-5</v>
      </c>
      <c r="AO107" s="1">
        <v>9</v>
      </c>
      <c r="AP107" s="1" t="s">
        <v>91</v>
      </c>
      <c r="AQ107" s="6"/>
      <c r="AR107" s="79">
        <v>33336</v>
      </c>
      <c r="AS107" s="79">
        <v>33336</v>
      </c>
      <c r="AT107" s="79"/>
      <c r="AU107" s="79">
        <v>0.3</v>
      </c>
      <c r="AV107" s="79"/>
      <c r="AW107" s="79"/>
      <c r="AX107" s="85">
        <f t="shared" si="102"/>
        <v>8.9992800575953917E-6</v>
      </c>
      <c r="AY107" s="1">
        <v>9</v>
      </c>
      <c r="AZ107" s="1" t="s">
        <v>91</v>
      </c>
      <c r="BA107" s="6"/>
      <c r="BB107" s="79">
        <v>33336</v>
      </c>
      <c r="BC107" s="79">
        <v>33336</v>
      </c>
      <c r="BD107" s="79"/>
      <c r="BE107" s="40">
        <v>0.5</v>
      </c>
      <c r="BF107" s="79"/>
      <c r="BG107" s="79"/>
      <c r="BH107" s="85">
        <f t="shared" si="103"/>
        <v>1.4998800095992321E-5</v>
      </c>
      <c r="BI107" s="1">
        <v>9</v>
      </c>
      <c r="BJ107" s="1" t="s">
        <v>91</v>
      </c>
      <c r="BK107" s="79"/>
      <c r="BL107" s="79">
        <v>33336</v>
      </c>
      <c r="BM107" s="79">
        <v>33336</v>
      </c>
      <c r="BN107" s="79"/>
      <c r="BO107" s="79">
        <v>1.4</v>
      </c>
      <c r="BP107" s="79"/>
      <c r="BQ107" s="79"/>
      <c r="BR107" s="79">
        <f t="shared" si="82"/>
        <v>4.1996640268778496E-5</v>
      </c>
      <c r="BS107" s="1">
        <v>9</v>
      </c>
      <c r="BT107" s="1" t="s">
        <v>91</v>
      </c>
      <c r="BU107" s="6"/>
      <c r="BV107" s="79">
        <v>33336</v>
      </c>
      <c r="BW107" s="79">
        <v>33336</v>
      </c>
      <c r="BX107" s="79"/>
      <c r="BY107" s="40">
        <v>5.2</v>
      </c>
      <c r="BZ107" s="79"/>
      <c r="CA107" s="79"/>
      <c r="CB107" s="79">
        <f t="shared" si="83"/>
        <v>1.5598752099832015E-4</v>
      </c>
      <c r="CC107" s="1">
        <v>9</v>
      </c>
      <c r="CD107" s="1" t="s">
        <v>91</v>
      </c>
      <c r="CE107" s="6"/>
      <c r="CF107" s="79">
        <v>33336</v>
      </c>
      <c r="CG107" s="79">
        <v>33336</v>
      </c>
      <c r="CH107" s="79"/>
      <c r="CI107" s="79">
        <v>0</v>
      </c>
      <c r="CJ107" s="79"/>
      <c r="CK107" s="79"/>
      <c r="CL107" s="79">
        <f t="shared" si="84"/>
        <v>0</v>
      </c>
      <c r="CM107" s="1">
        <v>9</v>
      </c>
      <c r="CN107" s="1" t="s">
        <v>91</v>
      </c>
      <c r="CO107" s="6"/>
      <c r="CP107" s="79">
        <v>33336</v>
      </c>
      <c r="CQ107" s="79">
        <v>33336</v>
      </c>
      <c r="CR107" s="79"/>
      <c r="CS107" s="79">
        <v>0.8</v>
      </c>
      <c r="CT107" s="79"/>
      <c r="CU107" s="79"/>
      <c r="CV107" s="85">
        <f t="shared" si="104"/>
        <v>2.3998080153587716E-5</v>
      </c>
      <c r="CW107" s="1">
        <v>9</v>
      </c>
      <c r="CX107" s="1" t="s">
        <v>91</v>
      </c>
      <c r="CY107" s="6"/>
      <c r="CZ107" s="79">
        <v>33336</v>
      </c>
      <c r="DA107" s="79">
        <v>33336</v>
      </c>
      <c r="DB107" s="79"/>
      <c r="DC107" s="40">
        <v>1.3</v>
      </c>
      <c r="DD107" s="79"/>
      <c r="DE107" s="79"/>
      <c r="DF107" s="79">
        <f t="shared" si="85"/>
        <v>3.8996880249580038E-5</v>
      </c>
      <c r="DG107" s="1">
        <v>9</v>
      </c>
      <c r="DH107" s="1" t="s">
        <v>91</v>
      </c>
      <c r="DI107" s="6"/>
      <c r="DJ107" s="79">
        <v>33336</v>
      </c>
      <c r="DK107" s="79">
        <v>33336</v>
      </c>
      <c r="DL107" s="79"/>
      <c r="DM107" s="40">
        <v>1.3</v>
      </c>
      <c r="DN107" s="79"/>
      <c r="DO107" s="79"/>
      <c r="DP107" s="79">
        <f t="shared" si="86"/>
        <v>3.8996880249580038E-5</v>
      </c>
      <c r="DQ107" s="1">
        <v>9</v>
      </c>
      <c r="DR107" s="1" t="s">
        <v>91</v>
      </c>
      <c r="DS107" s="122">
        <f t="shared" si="90"/>
        <v>0</v>
      </c>
      <c r="DT107" s="79">
        <f t="shared" si="95"/>
        <v>400032</v>
      </c>
      <c r="DU107" s="79">
        <f t="shared" si="105"/>
        <v>400032</v>
      </c>
      <c r="DV107" s="79">
        <v>0</v>
      </c>
      <c r="DW107" s="79">
        <f t="shared" si="97"/>
        <v>18.200000000000003</v>
      </c>
      <c r="DX107" s="79">
        <f t="shared" si="98"/>
        <v>0</v>
      </c>
      <c r="DY107" s="79">
        <f t="shared" si="99"/>
        <v>0</v>
      </c>
      <c r="DZ107" s="85">
        <f t="shared" si="106"/>
        <v>4.5496360291176714E-5</v>
      </c>
    </row>
    <row r="108" spans="1:144" x14ac:dyDescent="0.3">
      <c r="A108" s="1">
        <v>10</v>
      </c>
      <c r="B108" s="1" t="s">
        <v>92</v>
      </c>
      <c r="C108" s="6"/>
      <c r="D108" s="79">
        <v>33336</v>
      </c>
      <c r="E108" s="79">
        <v>33336</v>
      </c>
      <c r="F108" s="79"/>
      <c r="G108" s="79">
        <v>0.3</v>
      </c>
      <c r="H108" s="79"/>
      <c r="I108" s="79"/>
      <c r="J108" s="85">
        <f t="shared" si="92"/>
        <v>8.9992800575953917E-6</v>
      </c>
      <c r="K108" s="1">
        <v>10</v>
      </c>
      <c r="L108" s="1" t="s">
        <v>92</v>
      </c>
      <c r="M108" s="6"/>
      <c r="N108" s="79">
        <v>33336</v>
      </c>
      <c r="O108" s="79">
        <v>33336</v>
      </c>
      <c r="P108" s="79"/>
      <c r="Q108" s="79">
        <v>0.3</v>
      </c>
      <c r="R108" s="79"/>
      <c r="S108" s="79"/>
      <c r="T108" s="85">
        <v>0</v>
      </c>
      <c r="U108" s="1">
        <v>10</v>
      </c>
      <c r="V108" s="1" t="s">
        <v>92</v>
      </c>
      <c r="W108" s="6">
        <v>0</v>
      </c>
      <c r="X108" s="79">
        <v>33336</v>
      </c>
      <c r="Y108" s="79">
        <v>33336</v>
      </c>
      <c r="Z108" s="79">
        <v>0</v>
      </c>
      <c r="AA108" s="79">
        <v>0.2</v>
      </c>
      <c r="AB108" s="79">
        <v>0</v>
      </c>
      <c r="AC108" s="79">
        <v>0</v>
      </c>
      <c r="AD108" s="85">
        <f t="shared" si="100"/>
        <v>5.9995200383969289E-6</v>
      </c>
      <c r="AE108" s="1">
        <v>10</v>
      </c>
      <c r="AF108" s="1" t="s">
        <v>92</v>
      </c>
      <c r="AG108" s="6"/>
      <c r="AH108" s="79">
        <v>33336</v>
      </c>
      <c r="AI108" s="79">
        <v>33336</v>
      </c>
      <c r="AJ108" s="79"/>
      <c r="AK108" s="79">
        <v>0.3</v>
      </c>
      <c r="AL108" s="79"/>
      <c r="AM108" s="79"/>
      <c r="AN108" s="85">
        <f t="shared" si="101"/>
        <v>8.9992800575953917E-6</v>
      </c>
      <c r="AO108" s="1">
        <v>10</v>
      </c>
      <c r="AP108" s="1" t="s">
        <v>92</v>
      </c>
      <c r="AQ108" s="6"/>
      <c r="AR108" s="79">
        <v>33336</v>
      </c>
      <c r="AS108" s="79">
        <v>33336</v>
      </c>
      <c r="AT108" s="79"/>
      <c r="AU108" s="79">
        <v>0.3</v>
      </c>
      <c r="AV108" s="79"/>
      <c r="AW108" s="79"/>
      <c r="AX108" s="85">
        <f t="shared" si="102"/>
        <v>8.9992800575953917E-6</v>
      </c>
      <c r="AY108" s="1">
        <v>10</v>
      </c>
      <c r="AZ108" s="1" t="s">
        <v>92</v>
      </c>
      <c r="BA108" s="6"/>
      <c r="BB108" s="79">
        <v>33336</v>
      </c>
      <c r="BC108" s="79">
        <v>33336</v>
      </c>
      <c r="BD108" s="79"/>
      <c r="BE108" s="40">
        <v>0.4</v>
      </c>
      <c r="BF108" s="79"/>
      <c r="BG108" s="79"/>
      <c r="BH108" s="85">
        <f t="shared" si="103"/>
        <v>1.1999040076793858E-5</v>
      </c>
      <c r="BI108" s="1">
        <v>10</v>
      </c>
      <c r="BJ108" s="1" t="s">
        <v>92</v>
      </c>
      <c r="BK108" s="79"/>
      <c r="BL108" s="79">
        <v>33336</v>
      </c>
      <c r="BM108" s="79">
        <v>33336</v>
      </c>
      <c r="BN108" s="79"/>
      <c r="BO108" s="79">
        <v>0.4</v>
      </c>
      <c r="BP108" s="79"/>
      <c r="BQ108" s="79"/>
      <c r="BR108" s="79">
        <f t="shared" si="82"/>
        <v>1.1999040076793858E-5</v>
      </c>
      <c r="BS108" s="1">
        <v>10</v>
      </c>
      <c r="BT108" s="1" t="s">
        <v>92</v>
      </c>
      <c r="BU108" s="6"/>
      <c r="BV108" s="79">
        <v>33336</v>
      </c>
      <c r="BW108" s="79">
        <v>33336</v>
      </c>
      <c r="BX108" s="79"/>
      <c r="BY108" s="40">
        <v>0.4</v>
      </c>
      <c r="BZ108" s="79"/>
      <c r="CA108" s="79"/>
      <c r="CB108" s="79">
        <f t="shared" si="83"/>
        <v>1.1999040076793858E-5</v>
      </c>
      <c r="CC108" s="1">
        <v>10</v>
      </c>
      <c r="CD108" s="1" t="s">
        <v>92</v>
      </c>
      <c r="CE108" s="6"/>
      <c r="CF108" s="79">
        <v>33336</v>
      </c>
      <c r="CG108" s="79">
        <v>33336</v>
      </c>
      <c r="CH108" s="79"/>
      <c r="CI108" s="79">
        <v>0</v>
      </c>
      <c r="CJ108" s="79"/>
      <c r="CK108" s="79"/>
      <c r="CL108" s="79">
        <f t="shared" si="84"/>
        <v>0</v>
      </c>
      <c r="CM108" s="1">
        <v>10</v>
      </c>
      <c r="CN108" s="1" t="s">
        <v>92</v>
      </c>
      <c r="CO108" s="6"/>
      <c r="CP108" s="79">
        <v>33336</v>
      </c>
      <c r="CQ108" s="79">
        <v>33336</v>
      </c>
      <c r="CR108" s="79"/>
      <c r="CS108" s="79">
        <v>0.4</v>
      </c>
      <c r="CT108" s="79"/>
      <c r="CU108" s="79"/>
      <c r="CV108" s="85">
        <f t="shared" si="104"/>
        <v>1.1999040076793858E-5</v>
      </c>
      <c r="CW108" s="1">
        <v>10</v>
      </c>
      <c r="CX108" s="1" t="s">
        <v>92</v>
      </c>
      <c r="CY108" s="6"/>
      <c r="CZ108" s="79">
        <v>33336</v>
      </c>
      <c r="DA108" s="79">
        <v>33336</v>
      </c>
      <c r="DB108" s="79"/>
      <c r="DC108" s="40">
        <v>0.6</v>
      </c>
      <c r="DD108" s="79"/>
      <c r="DE108" s="79"/>
      <c r="DF108" s="79">
        <f t="shared" si="85"/>
        <v>1.7998560115190783E-5</v>
      </c>
      <c r="DG108" s="1">
        <v>10</v>
      </c>
      <c r="DH108" s="1" t="s">
        <v>92</v>
      </c>
      <c r="DI108" s="6"/>
      <c r="DJ108" s="79">
        <v>33336</v>
      </c>
      <c r="DK108" s="79">
        <v>33336</v>
      </c>
      <c r="DL108" s="79"/>
      <c r="DM108" s="40">
        <v>0.4</v>
      </c>
      <c r="DN108" s="79"/>
      <c r="DO108" s="79"/>
      <c r="DP108" s="79">
        <f t="shared" si="86"/>
        <v>1.1999040076793858E-5</v>
      </c>
      <c r="DQ108" s="1">
        <v>10</v>
      </c>
      <c r="DR108" s="1" t="s">
        <v>92</v>
      </c>
      <c r="DS108" s="122">
        <f t="shared" si="90"/>
        <v>0</v>
      </c>
      <c r="DT108" s="79">
        <f t="shared" si="95"/>
        <v>400032</v>
      </c>
      <c r="DU108" s="79">
        <f t="shared" si="105"/>
        <v>400032</v>
      </c>
      <c r="DV108" s="79">
        <v>0</v>
      </c>
      <c r="DW108" s="79">
        <f t="shared" si="97"/>
        <v>4</v>
      </c>
      <c r="DX108" s="79">
        <f t="shared" si="98"/>
        <v>0</v>
      </c>
      <c r="DY108" s="79">
        <f t="shared" si="99"/>
        <v>0</v>
      </c>
      <c r="DZ108" s="85">
        <f t="shared" si="106"/>
        <v>9.9992000639948798E-6</v>
      </c>
    </row>
    <row r="109" spans="1:144" x14ac:dyDescent="0.3">
      <c r="A109" s="1">
        <v>11</v>
      </c>
      <c r="B109" s="1" t="s">
        <v>93</v>
      </c>
      <c r="C109" s="6"/>
      <c r="D109" s="79">
        <v>33336</v>
      </c>
      <c r="E109" s="79">
        <v>33336</v>
      </c>
      <c r="F109" s="79"/>
      <c r="G109" s="79">
        <v>4</v>
      </c>
      <c r="H109" s="79"/>
      <c r="I109" s="79"/>
      <c r="J109" s="85">
        <f t="shared" si="92"/>
        <v>1.1999040076793856E-4</v>
      </c>
      <c r="K109" s="1">
        <v>11</v>
      </c>
      <c r="L109" s="1" t="s">
        <v>93</v>
      </c>
      <c r="M109" s="6"/>
      <c r="N109" s="79">
        <v>33336</v>
      </c>
      <c r="O109" s="79">
        <v>33336</v>
      </c>
      <c r="P109" s="79"/>
      <c r="Q109" s="79">
        <v>0.7</v>
      </c>
      <c r="R109" s="79"/>
      <c r="S109" s="79"/>
      <c r="T109" s="85">
        <v>0</v>
      </c>
      <c r="U109" s="1">
        <v>11</v>
      </c>
      <c r="V109" s="1" t="s">
        <v>93</v>
      </c>
      <c r="W109" s="6">
        <v>0</v>
      </c>
      <c r="X109" s="79">
        <v>33336</v>
      </c>
      <c r="Y109" s="79">
        <v>33336</v>
      </c>
      <c r="Z109" s="79">
        <v>0</v>
      </c>
      <c r="AA109" s="79">
        <v>0.8</v>
      </c>
      <c r="AB109" s="79">
        <v>0</v>
      </c>
      <c r="AC109" s="79">
        <v>0</v>
      </c>
      <c r="AD109" s="85">
        <f t="shared" si="100"/>
        <v>2.3998080153587716E-5</v>
      </c>
      <c r="AE109" s="1">
        <v>11</v>
      </c>
      <c r="AF109" s="1" t="s">
        <v>93</v>
      </c>
      <c r="AG109" s="6"/>
      <c r="AH109" s="79">
        <v>33336</v>
      </c>
      <c r="AI109" s="79">
        <v>33336</v>
      </c>
      <c r="AJ109" s="79"/>
      <c r="AK109" s="79">
        <v>0.5</v>
      </c>
      <c r="AL109" s="79"/>
      <c r="AM109" s="79"/>
      <c r="AN109" s="85">
        <f t="shared" si="101"/>
        <v>1.4998800095992321E-5</v>
      </c>
      <c r="AO109" s="1">
        <v>11</v>
      </c>
      <c r="AP109" s="1" t="s">
        <v>93</v>
      </c>
      <c r="AQ109" s="6"/>
      <c r="AR109" s="79">
        <v>33336</v>
      </c>
      <c r="AS109" s="79">
        <v>33336</v>
      </c>
      <c r="AT109" s="79"/>
      <c r="AU109" s="79">
        <v>0.4</v>
      </c>
      <c r="AV109" s="79"/>
      <c r="AW109" s="79"/>
      <c r="AX109" s="85">
        <f t="shared" si="102"/>
        <v>1.1999040076793858E-5</v>
      </c>
      <c r="AY109" s="1">
        <v>11</v>
      </c>
      <c r="AZ109" s="1" t="s">
        <v>93</v>
      </c>
      <c r="BA109" s="6"/>
      <c r="BB109" s="79">
        <v>33336</v>
      </c>
      <c r="BC109" s="79">
        <v>33336</v>
      </c>
      <c r="BD109" s="79"/>
      <c r="BE109" s="40">
        <v>0.1</v>
      </c>
      <c r="BF109" s="79"/>
      <c r="BG109" s="79"/>
      <c r="BH109" s="85">
        <f t="shared" si="103"/>
        <v>2.9997600191984645E-6</v>
      </c>
      <c r="BI109" s="1">
        <v>11</v>
      </c>
      <c r="BJ109" s="1" t="s">
        <v>93</v>
      </c>
      <c r="BK109" s="79"/>
      <c r="BL109" s="79">
        <v>33336</v>
      </c>
      <c r="BM109" s="79">
        <v>33336</v>
      </c>
      <c r="BN109" s="79"/>
      <c r="BO109" s="79">
        <v>0</v>
      </c>
      <c r="BP109" s="79"/>
      <c r="BQ109" s="79"/>
      <c r="BR109" s="79">
        <f t="shared" si="82"/>
        <v>0</v>
      </c>
      <c r="BS109" s="1">
        <v>11</v>
      </c>
      <c r="BT109" s="1" t="s">
        <v>93</v>
      </c>
      <c r="BU109" s="6"/>
      <c r="BV109" s="79">
        <v>33336</v>
      </c>
      <c r="BW109" s="79">
        <v>33336</v>
      </c>
      <c r="BX109" s="79"/>
      <c r="BY109" s="40">
        <v>0.1</v>
      </c>
      <c r="BZ109" s="79"/>
      <c r="CA109" s="79"/>
      <c r="CB109" s="79">
        <f t="shared" si="83"/>
        <v>2.9997600191984645E-6</v>
      </c>
      <c r="CC109" s="1">
        <v>11</v>
      </c>
      <c r="CD109" s="1" t="s">
        <v>93</v>
      </c>
      <c r="CE109" s="6"/>
      <c r="CF109" s="79">
        <v>33336</v>
      </c>
      <c r="CG109" s="79">
        <v>33336</v>
      </c>
      <c r="CH109" s="79"/>
      <c r="CI109" s="79">
        <v>0.2</v>
      </c>
      <c r="CJ109" s="79"/>
      <c r="CK109" s="79"/>
      <c r="CL109" s="79">
        <f t="shared" si="84"/>
        <v>5.9995200383969289E-6</v>
      </c>
      <c r="CM109" s="1">
        <v>11</v>
      </c>
      <c r="CN109" s="1" t="s">
        <v>93</v>
      </c>
      <c r="CO109" s="6"/>
      <c r="CP109" s="79">
        <v>33336</v>
      </c>
      <c r="CQ109" s="79">
        <v>33336</v>
      </c>
      <c r="CR109" s="79"/>
      <c r="CS109" s="79">
        <v>0</v>
      </c>
      <c r="CT109" s="79"/>
      <c r="CU109" s="79"/>
      <c r="CV109" s="85">
        <f t="shared" si="104"/>
        <v>0</v>
      </c>
      <c r="CW109" s="1">
        <v>11</v>
      </c>
      <c r="CX109" s="1" t="s">
        <v>93</v>
      </c>
      <c r="CY109" s="6"/>
      <c r="CZ109" s="79">
        <v>33336</v>
      </c>
      <c r="DA109" s="79">
        <v>33336</v>
      </c>
      <c r="DB109" s="79"/>
      <c r="DC109" s="40">
        <v>0.2</v>
      </c>
      <c r="DD109" s="79"/>
      <c r="DE109" s="79"/>
      <c r="DF109" s="79">
        <f t="shared" si="85"/>
        <v>5.9995200383969289E-6</v>
      </c>
      <c r="DG109" s="1">
        <v>11</v>
      </c>
      <c r="DH109" s="1" t="s">
        <v>93</v>
      </c>
      <c r="DI109" s="6"/>
      <c r="DJ109" s="79">
        <v>33336</v>
      </c>
      <c r="DK109" s="79">
        <v>33336</v>
      </c>
      <c r="DL109" s="79"/>
      <c r="DM109" s="40">
        <v>0.1</v>
      </c>
      <c r="DN109" s="79"/>
      <c r="DO109" s="79"/>
      <c r="DP109" s="79">
        <f t="shared" si="86"/>
        <v>2.9997600191984645E-6</v>
      </c>
      <c r="DQ109" s="1">
        <v>11</v>
      </c>
      <c r="DR109" s="1" t="s">
        <v>93</v>
      </c>
      <c r="DS109" s="122">
        <f t="shared" si="90"/>
        <v>0</v>
      </c>
      <c r="DT109" s="79">
        <f t="shared" si="95"/>
        <v>400032</v>
      </c>
      <c r="DU109" s="79">
        <f t="shared" si="105"/>
        <v>400032</v>
      </c>
      <c r="DV109" s="79">
        <v>0</v>
      </c>
      <c r="DW109" s="79">
        <f t="shared" si="97"/>
        <v>7.1</v>
      </c>
      <c r="DX109" s="79">
        <f t="shared" si="98"/>
        <v>0</v>
      </c>
      <c r="DY109" s="79">
        <f t="shared" si="99"/>
        <v>0</v>
      </c>
      <c r="DZ109" s="85">
        <f t="shared" si="106"/>
        <v>1.7748580113590913E-5</v>
      </c>
    </row>
    <row r="110" spans="1:144" x14ac:dyDescent="0.3">
      <c r="A110" s="1">
        <v>12</v>
      </c>
      <c r="B110" s="1" t="s">
        <v>193</v>
      </c>
      <c r="C110" s="6"/>
      <c r="D110" s="79">
        <v>33336</v>
      </c>
      <c r="E110" s="79">
        <v>33336</v>
      </c>
      <c r="F110" s="79"/>
      <c r="G110" s="79">
        <v>0</v>
      </c>
      <c r="H110" s="79"/>
      <c r="I110" s="79"/>
      <c r="J110" s="85">
        <f t="shared" si="92"/>
        <v>0</v>
      </c>
      <c r="K110" s="1">
        <v>12</v>
      </c>
      <c r="L110" s="1" t="s">
        <v>193</v>
      </c>
      <c r="M110" s="6"/>
      <c r="N110" s="79">
        <v>33336</v>
      </c>
      <c r="O110" s="79">
        <v>33336</v>
      </c>
      <c r="P110" s="79"/>
      <c r="Q110" s="79">
        <v>0</v>
      </c>
      <c r="R110" s="79"/>
      <c r="S110" s="79"/>
      <c r="T110" s="85">
        <v>0</v>
      </c>
      <c r="U110" s="1">
        <v>12</v>
      </c>
      <c r="V110" s="1" t="s">
        <v>193</v>
      </c>
      <c r="W110" s="6">
        <v>0</v>
      </c>
      <c r="X110" s="79">
        <v>33336</v>
      </c>
      <c r="Y110" s="79">
        <v>33336</v>
      </c>
      <c r="Z110" s="79">
        <v>0</v>
      </c>
      <c r="AA110" s="79">
        <v>0.1</v>
      </c>
      <c r="AB110" s="79">
        <v>0</v>
      </c>
      <c r="AC110" s="79">
        <v>0</v>
      </c>
      <c r="AD110" s="85">
        <f t="shared" si="100"/>
        <v>2.9997600191984645E-6</v>
      </c>
      <c r="AE110" s="1">
        <v>12</v>
      </c>
      <c r="AF110" s="1" t="s">
        <v>193</v>
      </c>
      <c r="AG110" s="6"/>
      <c r="AH110" s="79">
        <v>33336</v>
      </c>
      <c r="AI110" s="79">
        <v>33336</v>
      </c>
      <c r="AJ110" s="79"/>
      <c r="AK110" s="79">
        <v>0.2</v>
      </c>
      <c r="AL110" s="79"/>
      <c r="AM110" s="79"/>
      <c r="AN110" s="85">
        <f t="shared" si="101"/>
        <v>5.9995200383969289E-6</v>
      </c>
      <c r="AO110" s="1">
        <v>12</v>
      </c>
      <c r="AP110" s="1" t="s">
        <v>193</v>
      </c>
      <c r="AQ110" s="6"/>
      <c r="AR110" s="79">
        <v>33336</v>
      </c>
      <c r="AS110" s="79">
        <v>33336</v>
      </c>
      <c r="AT110" s="79"/>
      <c r="AU110" s="79">
        <v>0</v>
      </c>
      <c r="AV110" s="79"/>
      <c r="AW110" s="79"/>
      <c r="AX110" s="85">
        <f t="shared" si="102"/>
        <v>0</v>
      </c>
      <c r="AY110" s="1">
        <v>12</v>
      </c>
      <c r="AZ110" s="1" t="s">
        <v>193</v>
      </c>
      <c r="BA110" s="6"/>
      <c r="BB110" s="79">
        <v>33336</v>
      </c>
      <c r="BC110" s="79">
        <v>33336</v>
      </c>
      <c r="BD110" s="79"/>
      <c r="BE110" s="40">
        <v>0</v>
      </c>
      <c r="BF110" s="79"/>
      <c r="BG110" s="79"/>
      <c r="BH110" s="85">
        <f t="shared" si="103"/>
        <v>0</v>
      </c>
      <c r="BI110" s="1">
        <v>12</v>
      </c>
      <c r="BJ110" s="1" t="s">
        <v>193</v>
      </c>
      <c r="BK110" s="79"/>
      <c r="BL110" s="79">
        <v>33336</v>
      </c>
      <c r="BM110" s="79">
        <v>33336</v>
      </c>
      <c r="BN110" s="79"/>
      <c r="BO110" s="79">
        <v>0</v>
      </c>
      <c r="BP110" s="79"/>
      <c r="BQ110" s="79"/>
      <c r="BR110" s="79">
        <f t="shared" si="82"/>
        <v>0</v>
      </c>
      <c r="BS110" s="1">
        <v>12</v>
      </c>
      <c r="BT110" s="1" t="s">
        <v>193</v>
      </c>
      <c r="BU110" s="6"/>
      <c r="BV110" s="79">
        <v>33336</v>
      </c>
      <c r="BW110" s="79">
        <v>33336</v>
      </c>
      <c r="BX110" s="79"/>
      <c r="BY110" s="40">
        <v>0</v>
      </c>
      <c r="BZ110" s="79"/>
      <c r="CA110" s="79"/>
      <c r="CB110" s="79">
        <f t="shared" si="83"/>
        <v>0</v>
      </c>
      <c r="CC110" s="1">
        <v>12</v>
      </c>
      <c r="CD110" s="1" t="s">
        <v>193</v>
      </c>
      <c r="CE110" s="6"/>
      <c r="CF110" s="79">
        <v>33336</v>
      </c>
      <c r="CG110" s="79">
        <v>33336</v>
      </c>
      <c r="CH110" s="79"/>
      <c r="CI110" s="79">
        <v>0</v>
      </c>
      <c r="CJ110" s="79"/>
      <c r="CK110" s="79"/>
      <c r="CL110" s="79">
        <f t="shared" si="84"/>
        <v>0</v>
      </c>
      <c r="CM110" s="1">
        <v>12</v>
      </c>
      <c r="CN110" s="1" t="s">
        <v>193</v>
      </c>
      <c r="CO110" s="6"/>
      <c r="CP110" s="79">
        <v>33336</v>
      </c>
      <c r="CQ110" s="79">
        <v>33336</v>
      </c>
      <c r="CR110" s="79"/>
      <c r="CS110" s="79">
        <v>1.8</v>
      </c>
      <c r="CT110" s="79"/>
      <c r="CU110" s="79"/>
      <c r="CV110" s="85">
        <f t="shared" si="104"/>
        <v>5.3995680345572353E-5</v>
      </c>
      <c r="CW110" s="1">
        <v>12</v>
      </c>
      <c r="CX110" s="1" t="s">
        <v>193</v>
      </c>
      <c r="CY110" s="6"/>
      <c r="CZ110" s="79">
        <v>33336</v>
      </c>
      <c r="DA110" s="79">
        <v>33336</v>
      </c>
      <c r="DB110" s="79"/>
      <c r="DC110" s="40">
        <v>0.9</v>
      </c>
      <c r="DD110" s="79"/>
      <c r="DE110" s="79"/>
      <c r="DF110" s="79">
        <f t="shared" si="85"/>
        <v>2.6997840172786177E-5</v>
      </c>
      <c r="DG110" s="1">
        <v>12</v>
      </c>
      <c r="DH110" s="1" t="s">
        <v>193</v>
      </c>
      <c r="DI110" s="6"/>
      <c r="DJ110" s="79">
        <v>33336</v>
      </c>
      <c r="DK110" s="79">
        <v>33336</v>
      </c>
      <c r="DL110" s="79"/>
      <c r="DM110" s="40">
        <v>2.2999999999999998</v>
      </c>
      <c r="DN110" s="79"/>
      <c r="DO110" s="79"/>
      <c r="DP110" s="79">
        <f t="shared" si="86"/>
        <v>6.8994480441564676E-5</v>
      </c>
      <c r="DQ110" s="1">
        <v>12</v>
      </c>
      <c r="DR110" s="1" t="s">
        <v>193</v>
      </c>
      <c r="DS110" s="122">
        <f t="shared" si="90"/>
        <v>0</v>
      </c>
      <c r="DT110" s="79">
        <f t="shared" si="95"/>
        <v>400032</v>
      </c>
      <c r="DU110" s="79">
        <f t="shared" si="105"/>
        <v>400032</v>
      </c>
      <c r="DV110" s="79">
        <v>0</v>
      </c>
      <c r="DW110" s="79">
        <f t="shared" si="97"/>
        <v>5.3</v>
      </c>
      <c r="DX110" s="79">
        <f t="shared" si="98"/>
        <v>0</v>
      </c>
      <c r="DY110" s="79">
        <f t="shared" si="99"/>
        <v>0</v>
      </c>
      <c r="DZ110" s="85">
        <f t="shared" si="106"/>
        <v>1.3248940084793216E-5</v>
      </c>
    </row>
    <row r="111" spans="1:144" x14ac:dyDescent="0.3">
      <c r="A111" s="1">
        <v>13</v>
      </c>
      <c r="B111" s="1" t="s">
        <v>94</v>
      </c>
      <c r="C111" s="6"/>
      <c r="D111" s="79">
        <v>33336</v>
      </c>
      <c r="E111" s="79">
        <v>33336</v>
      </c>
      <c r="F111" s="79"/>
      <c r="G111" s="79">
        <v>0.1</v>
      </c>
      <c r="H111" s="79"/>
      <c r="I111" s="79"/>
      <c r="J111" s="85">
        <f t="shared" si="92"/>
        <v>2.9997600191984645E-6</v>
      </c>
      <c r="K111" s="1">
        <v>13</v>
      </c>
      <c r="L111" s="1" t="s">
        <v>94</v>
      </c>
      <c r="M111" s="6"/>
      <c r="N111" s="79">
        <v>33336</v>
      </c>
      <c r="O111" s="79">
        <v>33336</v>
      </c>
      <c r="P111" s="79"/>
      <c r="Q111" s="79">
        <v>0.1</v>
      </c>
      <c r="R111" s="79"/>
      <c r="S111" s="79"/>
      <c r="T111" s="85">
        <v>0</v>
      </c>
      <c r="U111" s="1">
        <v>13</v>
      </c>
      <c r="V111" s="1" t="s">
        <v>94</v>
      </c>
      <c r="W111" s="6">
        <v>0</v>
      </c>
      <c r="X111" s="79">
        <v>33336</v>
      </c>
      <c r="Y111" s="79">
        <v>33336</v>
      </c>
      <c r="Z111" s="79">
        <v>0</v>
      </c>
      <c r="AA111" s="79">
        <v>0.2</v>
      </c>
      <c r="AB111" s="79">
        <v>0</v>
      </c>
      <c r="AC111" s="79">
        <v>0</v>
      </c>
      <c r="AD111" s="85">
        <f t="shared" si="100"/>
        <v>5.9995200383969289E-6</v>
      </c>
      <c r="AE111" s="1">
        <v>13</v>
      </c>
      <c r="AF111" s="1" t="s">
        <v>94</v>
      </c>
      <c r="AG111" s="6"/>
      <c r="AH111" s="79">
        <v>33336</v>
      </c>
      <c r="AI111" s="79">
        <v>33336</v>
      </c>
      <c r="AJ111" s="79"/>
      <c r="AK111" s="79">
        <v>0.3</v>
      </c>
      <c r="AL111" s="79"/>
      <c r="AM111" s="79"/>
      <c r="AN111" s="85">
        <f t="shared" si="101"/>
        <v>8.9992800575953917E-6</v>
      </c>
      <c r="AO111" s="1">
        <v>13</v>
      </c>
      <c r="AP111" s="1" t="s">
        <v>94</v>
      </c>
      <c r="AQ111" s="6"/>
      <c r="AR111" s="79">
        <v>33336</v>
      </c>
      <c r="AS111" s="79">
        <v>33336</v>
      </c>
      <c r="AT111" s="79"/>
      <c r="AU111" s="79">
        <v>0.3</v>
      </c>
      <c r="AV111" s="79"/>
      <c r="AW111" s="79"/>
      <c r="AX111" s="85">
        <f t="shared" si="102"/>
        <v>8.9992800575953917E-6</v>
      </c>
      <c r="AY111" s="1">
        <v>13</v>
      </c>
      <c r="AZ111" s="1" t="s">
        <v>94</v>
      </c>
      <c r="BA111" s="6"/>
      <c r="BB111" s="79">
        <v>33336</v>
      </c>
      <c r="BC111" s="79">
        <v>33336</v>
      </c>
      <c r="BD111" s="79"/>
      <c r="BE111" s="40">
        <v>10</v>
      </c>
      <c r="BF111" s="79"/>
      <c r="BG111" s="79"/>
      <c r="BH111" s="85">
        <f t="shared" si="103"/>
        <v>2.9997600191984642E-4</v>
      </c>
      <c r="BI111" s="1">
        <v>13</v>
      </c>
      <c r="BJ111" s="1" t="s">
        <v>94</v>
      </c>
      <c r="BK111" s="79"/>
      <c r="BL111" s="79">
        <v>33336</v>
      </c>
      <c r="BM111" s="79">
        <v>33336</v>
      </c>
      <c r="BN111" s="79"/>
      <c r="BO111" s="79">
        <v>0.4</v>
      </c>
      <c r="BP111" s="79"/>
      <c r="BQ111" s="79"/>
      <c r="BR111" s="79">
        <f t="shared" si="82"/>
        <v>1.1999040076793858E-5</v>
      </c>
      <c r="BS111" s="1">
        <v>13</v>
      </c>
      <c r="BT111" s="1" t="s">
        <v>94</v>
      </c>
      <c r="BU111" s="6"/>
      <c r="BV111" s="79">
        <v>33336</v>
      </c>
      <c r="BW111" s="79">
        <v>33336</v>
      </c>
      <c r="BX111" s="79"/>
      <c r="BY111" s="40">
        <v>0.4</v>
      </c>
      <c r="BZ111" s="79"/>
      <c r="CA111" s="79"/>
      <c r="CB111" s="79">
        <f t="shared" si="83"/>
        <v>1.1999040076793858E-5</v>
      </c>
      <c r="CC111" s="1">
        <v>13</v>
      </c>
      <c r="CD111" s="1" t="s">
        <v>94</v>
      </c>
      <c r="CE111" s="6"/>
      <c r="CF111" s="79">
        <v>33336</v>
      </c>
      <c r="CG111" s="79">
        <v>33336</v>
      </c>
      <c r="CH111" s="79"/>
      <c r="CI111" s="79">
        <v>0</v>
      </c>
      <c r="CJ111" s="79"/>
      <c r="CK111" s="79"/>
      <c r="CL111" s="79">
        <f t="shared" si="84"/>
        <v>0</v>
      </c>
      <c r="CM111" s="1">
        <v>13</v>
      </c>
      <c r="CN111" s="1" t="s">
        <v>94</v>
      </c>
      <c r="CO111" s="6"/>
      <c r="CP111" s="79">
        <v>33336</v>
      </c>
      <c r="CQ111" s="79">
        <v>33336</v>
      </c>
      <c r="CR111" s="79"/>
      <c r="CS111" s="79">
        <v>0.4</v>
      </c>
      <c r="CT111" s="79"/>
      <c r="CU111" s="79"/>
      <c r="CV111" s="85">
        <f t="shared" si="104"/>
        <v>1.1999040076793858E-5</v>
      </c>
      <c r="CW111" s="1">
        <v>13</v>
      </c>
      <c r="CX111" s="1" t="s">
        <v>94</v>
      </c>
      <c r="CY111" s="6"/>
      <c r="CZ111" s="79">
        <v>33336</v>
      </c>
      <c r="DA111" s="79">
        <v>33336</v>
      </c>
      <c r="DB111" s="79"/>
      <c r="DC111" s="40">
        <v>0.6</v>
      </c>
      <c r="DD111" s="79"/>
      <c r="DE111" s="79"/>
      <c r="DF111" s="79">
        <f t="shared" si="85"/>
        <v>1.7998560115190783E-5</v>
      </c>
      <c r="DG111" s="1">
        <v>13</v>
      </c>
      <c r="DH111" s="1" t="s">
        <v>94</v>
      </c>
      <c r="DI111" s="6"/>
      <c r="DJ111" s="79">
        <v>33336</v>
      </c>
      <c r="DK111" s="79">
        <v>33336</v>
      </c>
      <c r="DL111" s="79"/>
      <c r="DM111" s="40">
        <v>0.4</v>
      </c>
      <c r="DN111" s="79"/>
      <c r="DO111" s="79"/>
      <c r="DP111" s="79">
        <f t="shared" si="86"/>
        <v>1.1999040076793858E-5</v>
      </c>
      <c r="DQ111" s="1">
        <v>13</v>
      </c>
      <c r="DR111" s="1" t="s">
        <v>94</v>
      </c>
      <c r="DS111" s="122">
        <f t="shared" si="90"/>
        <v>0</v>
      </c>
      <c r="DT111" s="79">
        <f t="shared" si="95"/>
        <v>400032</v>
      </c>
      <c r="DU111" s="79">
        <f t="shared" si="105"/>
        <v>400032</v>
      </c>
      <c r="DV111" s="79">
        <v>0</v>
      </c>
      <c r="DW111" s="79">
        <f t="shared" si="97"/>
        <v>13.200000000000001</v>
      </c>
      <c r="DX111" s="79">
        <f t="shared" si="98"/>
        <v>0</v>
      </c>
      <c r="DY111" s="79">
        <f t="shared" si="99"/>
        <v>0</v>
      </c>
      <c r="DZ111" s="85">
        <f t="shared" si="106"/>
        <v>3.2997360211183109E-5</v>
      </c>
    </row>
    <row r="112" spans="1:144" x14ac:dyDescent="0.3">
      <c r="A112" s="1">
        <v>14</v>
      </c>
      <c r="B112" s="1" t="s">
        <v>95</v>
      </c>
      <c r="C112" s="6"/>
      <c r="D112" s="79">
        <v>33336</v>
      </c>
      <c r="E112" s="79">
        <v>33336</v>
      </c>
      <c r="F112" s="79"/>
      <c r="G112" s="79">
        <v>0</v>
      </c>
      <c r="H112" s="79"/>
      <c r="I112" s="79"/>
      <c r="J112" s="85">
        <f t="shared" si="92"/>
        <v>0</v>
      </c>
      <c r="K112" s="1">
        <v>14</v>
      </c>
      <c r="L112" s="1" t="s">
        <v>95</v>
      </c>
      <c r="M112" s="6"/>
      <c r="N112" s="79">
        <v>33336</v>
      </c>
      <c r="O112" s="79">
        <v>33336</v>
      </c>
      <c r="P112" s="79"/>
      <c r="Q112" s="79">
        <v>1.6</v>
      </c>
      <c r="R112" s="79"/>
      <c r="S112" s="79"/>
      <c r="T112" s="85">
        <v>0</v>
      </c>
      <c r="U112" s="1">
        <v>14</v>
      </c>
      <c r="V112" s="1" t="s">
        <v>95</v>
      </c>
      <c r="W112" s="6">
        <v>0</v>
      </c>
      <c r="X112" s="79">
        <v>33336</v>
      </c>
      <c r="Y112" s="79">
        <v>33336</v>
      </c>
      <c r="Z112" s="79">
        <v>0</v>
      </c>
      <c r="AA112" s="79">
        <v>0</v>
      </c>
      <c r="AB112" s="79">
        <v>0</v>
      </c>
      <c r="AC112" s="79">
        <v>0</v>
      </c>
      <c r="AD112" s="85">
        <f t="shared" si="100"/>
        <v>0</v>
      </c>
      <c r="AE112" s="1">
        <v>14</v>
      </c>
      <c r="AF112" s="1" t="s">
        <v>95</v>
      </c>
      <c r="AG112" s="6"/>
      <c r="AH112" s="79">
        <v>33336</v>
      </c>
      <c r="AI112" s="79">
        <v>33336</v>
      </c>
      <c r="AJ112" s="79"/>
      <c r="AK112" s="79">
        <v>0.2</v>
      </c>
      <c r="AL112" s="79"/>
      <c r="AM112" s="79"/>
      <c r="AN112" s="85">
        <f t="shared" si="101"/>
        <v>5.9995200383969289E-6</v>
      </c>
      <c r="AO112" s="1">
        <v>14</v>
      </c>
      <c r="AP112" s="1" t="s">
        <v>95</v>
      </c>
      <c r="AQ112" s="6"/>
      <c r="AR112" s="79">
        <v>33336</v>
      </c>
      <c r="AS112" s="79">
        <v>33336</v>
      </c>
      <c r="AT112" s="79"/>
      <c r="AU112" s="79">
        <v>0</v>
      </c>
      <c r="AV112" s="79"/>
      <c r="AW112" s="79"/>
      <c r="AX112" s="85">
        <f t="shared" si="102"/>
        <v>0</v>
      </c>
      <c r="AY112" s="1">
        <v>14</v>
      </c>
      <c r="AZ112" s="1" t="s">
        <v>95</v>
      </c>
      <c r="BA112" s="6"/>
      <c r="BB112" s="79">
        <v>33336</v>
      </c>
      <c r="BC112" s="79">
        <v>33336</v>
      </c>
      <c r="BD112" s="79"/>
      <c r="BE112" s="40">
        <v>0</v>
      </c>
      <c r="BF112" s="79"/>
      <c r="BG112" s="79"/>
      <c r="BH112" s="85">
        <f t="shared" si="103"/>
        <v>0</v>
      </c>
      <c r="BI112" s="1">
        <v>14</v>
      </c>
      <c r="BJ112" s="1" t="s">
        <v>95</v>
      </c>
      <c r="BK112" s="79"/>
      <c r="BL112" s="79">
        <v>33336</v>
      </c>
      <c r="BM112" s="79">
        <v>33336</v>
      </c>
      <c r="BN112" s="79"/>
      <c r="BO112" s="79">
        <v>0</v>
      </c>
      <c r="BP112" s="79"/>
      <c r="BQ112" s="79"/>
      <c r="BR112" s="79">
        <f t="shared" si="82"/>
        <v>0</v>
      </c>
      <c r="BS112" s="1">
        <v>14</v>
      </c>
      <c r="BT112" s="1" t="s">
        <v>95</v>
      </c>
      <c r="BU112" s="6"/>
      <c r="BV112" s="79">
        <v>33336</v>
      </c>
      <c r="BW112" s="79">
        <v>33336</v>
      </c>
      <c r="BX112" s="79"/>
      <c r="BY112" s="40">
        <v>0</v>
      </c>
      <c r="BZ112" s="79"/>
      <c r="CA112" s="79"/>
      <c r="CB112" s="79">
        <f t="shared" si="83"/>
        <v>0</v>
      </c>
      <c r="CC112" s="1">
        <v>14</v>
      </c>
      <c r="CD112" s="1" t="s">
        <v>95</v>
      </c>
      <c r="CE112" s="6"/>
      <c r="CF112" s="79">
        <v>33336</v>
      </c>
      <c r="CG112" s="79">
        <v>33336</v>
      </c>
      <c r="CH112" s="79"/>
      <c r="CI112" s="79">
        <v>0</v>
      </c>
      <c r="CJ112" s="79"/>
      <c r="CK112" s="79"/>
      <c r="CL112" s="79">
        <f t="shared" si="84"/>
        <v>0</v>
      </c>
      <c r="CM112" s="1">
        <v>14</v>
      </c>
      <c r="CN112" s="1" t="s">
        <v>95</v>
      </c>
      <c r="CO112" s="6"/>
      <c r="CP112" s="79">
        <v>33336</v>
      </c>
      <c r="CQ112" s="79">
        <v>33336</v>
      </c>
      <c r="CR112" s="79"/>
      <c r="CS112" s="79">
        <v>0.2</v>
      </c>
      <c r="CT112" s="79"/>
      <c r="CU112" s="79"/>
      <c r="CV112" s="85">
        <f t="shared" si="104"/>
        <v>5.9995200383969289E-6</v>
      </c>
      <c r="CW112" s="1">
        <v>14</v>
      </c>
      <c r="CX112" s="1" t="s">
        <v>95</v>
      </c>
      <c r="CY112" s="6"/>
      <c r="CZ112" s="79">
        <v>33336</v>
      </c>
      <c r="DA112" s="79">
        <v>33336</v>
      </c>
      <c r="DB112" s="79"/>
      <c r="DC112" s="40">
        <v>0.2</v>
      </c>
      <c r="DD112" s="79"/>
      <c r="DE112" s="79"/>
      <c r="DF112" s="79">
        <f t="shared" si="85"/>
        <v>5.9995200383969289E-6</v>
      </c>
      <c r="DG112" s="1">
        <v>14</v>
      </c>
      <c r="DH112" s="1" t="s">
        <v>95</v>
      </c>
      <c r="DI112" s="6"/>
      <c r="DJ112" s="79">
        <v>33336</v>
      </c>
      <c r="DK112" s="79">
        <v>33336</v>
      </c>
      <c r="DL112" s="79"/>
      <c r="DM112" s="40">
        <v>0.1</v>
      </c>
      <c r="DN112" s="79"/>
      <c r="DO112" s="79"/>
      <c r="DP112" s="79">
        <f t="shared" si="86"/>
        <v>2.9997600191984645E-6</v>
      </c>
      <c r="DQ112" s="1">
        <v>14</v>
      </c>
      <c r="DR112" s="1" t="s">
        <v>95</v>
      </c>
      <c r="DS112" s="122">
        <f t="shared" si="90"/>
        <v>0</v>
      </c>
      <c r="DT112" s="79">
        <f t="shared" si="95"/>
        <v>400032</v>
      </c>
      <c r="DU112" s="79">
        <f t="shared" si="105"/>
        <v>400032</v>
      </c>
      <c r="DV112" s="79">
        <v>0</v>
      </c>
      <c r="DW112" s="79">
        <f t="shared" si="97"/>
        <v>2.3000000000000003</v>
      </c>
      <c r="DX112" s="79">
        <f t="shared" si="98"/>
        <v>0</v>
      </c>
      <c r="DY112" s="79">
        <f t="shared" si="99"/>
        <v>0</v>
      </c>
      <c r="DZ112" s="85">
        <f t="shared" si="106"/>
        <v>5.7495400367970569E-6</v>
      </c>
    </row>
    <row r="113" spans="1:144" x14ac:dyDescent="0.3">
      <c r="A113" s="1">
        <v>15</v>
      </c>
      <c r="B113" s="1" t="s">
        <v>96</v>
      </c>
      <c r="C113" s="6"/>
      <c r="D113" s="79">
        <v>33336</v>
      </c>
      <c r="E113" s="79">
        <v>33336</v>
      </c>
      <c r="F113" s="79"/>
      <c r="G113" s="79">
        <v>0.6</v>
      </c>
      <c r="H113" s="79"/>
      <c r="I113" s="79"/>
      <c r="J113" s="85">
        <f t="shared" si="92"/>
        <v>1.7998560115190783E-5</v>
      </c>
      <c r="K113" s="1">
        <v>15</v>
      </c>
      <c r="L113" s="1" t="s">
        <v>96</v>
      </c>
      <c r="M113" s="6"/>
      <c r="N113" s="79">
        <v>33336</v>
      </c>
      <c r="O113" s="79">
        <v>33336</v>
      </c>
      <c r="P113" s="79"/>
      <c r="Q113" s="79">
        <v>0.5</v>
      </c>
      <c r="R113" s="79"/>
      <c r="S113" s="79"/>
      <c r="T113" s="85">
        <v>0</v>
      </c>
      <c r="U113" s="1">
        <v>15</v>
      </c>
      <c r="V113" s="1" t="s">
        <v>96</v>
      </c>
      <c r="W113" s="6">
        <v>0</v>
      </c>
      <c r="X113" s="79">
        <v>33336</v>
      </c>
      <c r="Y113" s="79">
        <v>33336</v>
      </c>
      <c r="Z113" s="79">
        <v>0</v>
      </c>
      <c r="AA113" s="79">
        <v>0</v>
      </c>
      <c r="AB113" s="79">
        <v>0</v>
      </c>
      <c r="AC113" s="79">
        <v>0</v>
      </c>
      <c r="AD113" s="85">
        <f t="shared" si="100"/>
        <v>0</v>
      </c>
      <c r="AE113" s="1">
        <v>15</v>
      </c>
      <c r="AF113" s="1" t="s">
        <v>96</v>
      </c>
      <c r="AG113" s="6"/>
      <c r="AH113" s="79">
        <v>33336</v>
      </c>
      <c r="AI113" s="79">
        <v>33336</v>
      </c>
      <c r="AJ113" s="79"/>
      <c r="AK113" s="79">
        <v>0</v>
      </c>
      <c r="AL113" s="79"/>
      <c r="AM113" s="79"/>
      <c r="AN113" s="85">
        <f t="shared" si="101"/>
        <v>0</v>
      </c>
      <c r="AO113" s="1">
        <v>15</v>
      </c>
      <c r="AP113" s="1" t="s">
        <v>96</v>
      </c>
      <c r="AQ113" s="6"/>
      <c r="AR113" s="79">
        <v>33336</v>
      </c>
      <c r="AS113" s="79">
        <v>33336</v>
      </c>
      <c r="AT113" s="79"/>
      <c r="AU113" s="79">
        <v>0</v>
      </c>
      <c r="AV113" s="79"/>
      <c r="AW113" s="79"/>
      <c r="AX113" s="85">
        <f t="shared" si="102"/>
        <v>0</v>
      </c>
      <c r="AY113" s="1">
        <v>15</v>
      </c>
      <c r="AZ113" s="1" t="s">
        <v>96</v>
      </c>
      <c r="BA113" s="6"/>
      <c r="BB113" s="79">
        <v>33336</v>
      </c>
      <c r="BC113" s="79">
        <v>33336</v>
      </c>
      <c r="BD113" s="79"/>
      <c r="BE113" s="40">
        <v>0</v>
      </c>
      <c r="BF113" s="79"/>
      <c r="BG113" s="79"/>
      <c r="BH113" s="85">
        <f t="shared" si="103"/>
        <v>0</v>
      </c>
      <c r="BI113" s="1">
        <v>15</v>
      </c>
      <c r="BJ113" s="1" t="s">
        <v>96</v>
      </c>
      <c r="BK113" s="79"/>
      <c r="BL113" s="79">
        <v>33336</v>
      </c>
      <c r="BM113" s="79">
        <v>33336</v>
      </c>
      <c r="BN113" s="79"/>
      <c r="BO113" s="79">
        <v>0</v>
      </c>
      <c r="BP113" s="79"/>
      <c r="BQ113" s="79"/>
      <c r="BR113" s="79">
        <f t="shared" si="82"/>
        <v>0</v>
      </c>
      <c r="BS113" s="1">
        <v>15</v>
      </c>
      <c r="BT113" s="1" t="s">
        <v>96</v>
      </c>
      <c r="BU113" s="6"/>
      <c r="BV113" s="79">
        <v>33336</v>
      </c>
      <c r="BW113" s="79">
        <v>33336</v>
      </c>
      <c r="BX113" s="79"/>
      <c r="BY113" s="40">
        <v>0</v>
      </c>
      <c r="BZ113" s="79"/>
      <c r="CA113" s="79"/>
      <c r="CB113" s="79">
        <f t="shared" si="83"/>
        <v>0</v>
      </c>
      <c r="CC113" s="1">
        <v>15</v>
      </c>
      <c r="CD113" s="1" t="s">
        <v>96</v>
      </c>
      <c r="CE113" s="6"/>
      <c r="CF113" s="79">
        <v>33336</v>
      </c>
      <c r="CG113" s="79">
        <v>33336</v>
      </c>
      <c r="CH113" s="79"/>
      <c r="CI113" s="79">
        <v>0</v>
      </c>
      <c r="CJ113" s="79"/>
      <c r="CK113" s="79"/>
      <c r="CL113" s="79">
        <f t="shared" si="84"/>
        <v>0</v>
      </c>
      <c r="CM113" s="1">
        <v>15</v>
      </c>
      <c r="CN113" s="1" t="s">
        <v>96</v>
      </c>
      <c r="CO113" s="6"/>
      <c r="CP113" s="79">
        <v>33336</v>
      </c>
      <c r="CQ113" s="79">
        <v>33336</v>
      </c>
      <c r="CR113" s="79"/>
      <c r="CS113" s="79">
        <v>0</v>
      </c>
      <c r="CT113" s="79"/>
      <c r="CU113" s="79"/>
      <c r="CV113" s="85">
        <f t="shared" si="104"/>
        <v>0</v>
      </c>
      <c r="CW113" s="1">
        <v>15</v>
      </c>
      <c r="CX113" s="1" t="s">
        <v>96</v>
      </c>
      <c r="CY113" s="6"/>
      <c r="CZ113" s="79">
        <v>33336</v>
      </c>
      <c r="DA113" s="79">
        <v>33336</v>
      </c>
      <c r="DB113" s="79"/>
      <c r="DC113" s="40">
        <v>0</v>
      </c>
      <c r="DD113" s="79"/>
      <c r="DE113" s="79"/>
      <c r="DF113" s="79">
        <f t="shared" si="85"/>
        <v>0</v>
      </c>
      <c r="DG113" s="1">
        <v>15</v>
      </c>
      <c r="DH113" s="1" t="s">
        <v>96</v>
      </c>
      <c r="DI113" s="6"/>
      <c r="DJ113" s="79">
        <v>33336</v>
      </c>
      <c r="DK113" s="79">
        <v>33336</v>
      </c>
      <c r="DL113" s="79"/>
      <c r="DM113" s="40">
        <v>0</v>
      </c>
      <c r="DN113" s="79"/>
      <c r="DO113" s="79"/>
      <c r="DP113" s="79">
        <f t="shared" si="86"/>
        <v>0</v>
      </c>
      <c r="DQ113" s="1">
        <v>15</v>
      </c>
      <c r="DR113" s="1" t="s">
        <v>96</v>
      </c>
      <c r="DS113" s="122">
        <f t="shared" si="90"/>
        <v>0</v>
      </c>
      <c r="DT113" s="79">
        <f t="shared" si="95"/>
        <v>400032</v>
      </c>
      <c r="DU113" s="79">
        <f t="shared" si="105"/>
        <v>400032</v>
      </c>
      <c r="DV113" s="79">
        <v>0</v>
      </c>
      <c r="DW113" s="79">
        <f t="shared" si="97"/>
        <v>1.1000000000000001</v>
      </c>
      <c r="DX113" s="79">
        <f t="shared" si="98"/>
        <v>0</v>
      </c>
      <c r="DY113" s="79">
        <f t="shared" si="99"/>
        <v>0</v>
      </c>
      <c r="DZ113" s="85">
        <f t="shared" si="106"/>
        <v>2.7497800175985924E-6</v>
      </c>
    </row>
    <row r="114" spans="1:144" x14ac:dyDescent="0.3">
      <c r="A114" s="1">
        <v>16</v>
      </c>
      <c r="B114" s="1" t="s">
        <v>97</v>
      </c>
      <c r="C114" s="6"/>
      <c r="D114" s="79">
        <v>33336</v>
      </c>
      <c r="E114" s="79">
        <v>33336</v>
      </c>
      <c r="F114" s="79"/>
      <c r="G114" s="79">
        <v>0</v>
      </c>
      <c r="H114" s="79"/>
      <c r="I114" s="79"/>
      <c r="J114" s="85">
        <f t="shared" si="92"/>
        <v>0</v>
      </c>
      <c r="K114" s="1">
        <v>16</v>
      </c>
      <c r="L114" s="1" t="s">
        <v>97</v>
      </c>
      <c r="M114" s="6"/>
      <c r="N114" s="79">
        <v>33336</v>
      </c>
      <c r="O114" s="79">
        <v>33336</v>
      </c>
      <c r="P114" s="79"/>
      <c r="Q114" s="79">
        <v>0</v>
      </c>
      <c r="R114" s="79"/>
      <c r="S114" s="79"/>
      <c r="T114" s="85">
        <v>0</v>
      </c>
      <c r="U114" s="1">
        <v>16</v>
      </c>
      <c r="V114" s="1" t="s">
        <v>97</v>
      </c>
      <c r="W114" s="6">
        <v>0</v>
      </c>
      <c r="X114" s="79">
        <v>33336</v>
      </c>
      <c r="Y114" s="79">
        <v>33336</v>
      </c>
      <c r="Z114" s="79">
        <v>0</v>
      </c>
      <c r="AA114" s="79">
        <v>0</v>
      </c>
      <c r="AB114" s="79">
        <v>0</v>
      </c>
      <c r="AC114" s="79">
        <v>0</v>
      </c>
      <c r="AD114" s="85">
        <f t="shared" si="100"/>
        <v>0</v>
      </c>
      <c r="AE114" s="1">
        <v>16</v>
      </c>
      <c r="AF114" s="1" t="s">
        <v>97</v>
      </c>
      <c r="AG114" s="6"/>
      <c r="AH114" s="79">
        <v>33336</v>
      </c>
      <c r="AI114" s="79">
        <v>33336</v>
      </c>
      <c r="AJ114" s="79"/>
      <c r="AK114" s="79">
        <v>0</v>
      </c>
      <c r="AL114" s="79"/>
      <c r="AM114" s="79"/>
      <c r="AN114" s="85">
        <f t="shared" si="101"/>
        <v>0</v>
      </c>
      <c r="AO114" s="1">
        <v>16</v>
      </c>
      <c r="AP114" s="1" t="s">
        <v>97</v>
      </c>
      <c r="AQ114" s="6"/>
      <c r="AR114" s="79">
        <v>33336</v>
      </c>
      <c r="AS114" s="79">
        <v>33336</v>
      </c>
      <c r="AT114" s="79"/>
      <c r="AU114" s="79">
        <v>0</v>
      </c>
      <c r="AV114" s="79"/>
      <c r="AW114" s="79"/>
      <c r="AX114" s="85">
        <f t="shared" si="102"/>
        <v>0</v>
      </c>
      <c r="AY114" s="1">
        <v>16</v>
      </c>
      <c r="AZ114" s="1" t="s">
        <v>97</v>
      </c>
      <c r="BA114" s="6"/>
      <c r="BB114" s="79">
        <v>33336</v>
      </c>
      <c r="BC114" s="79">
        <v>33336</v>
      </c>
      <c r="BD114" s="79"/>
      <c r="BE114" s="40">
        <v>0</v>
      </c>
      <c r="BF114" s="79"/>
      <c r="BG114" s="79"/>
      <c r="BH114" s="85">
        <f t="shared" si="103"/>
        <v>0</v>
      </c>
      <c r="BI114" s="1">
        <v>16</v>
      </c>
      <c r="BJ114" s="1" t="s">
        <v>97</v>
      </c>
      <c r="BK114" s="79"/>
      <c r="BL114" s="79">
        <v>33336</v>
      </c>
      <c r="BM114" s="79">
        <v>33336</v>
      </c>
      <c r="BN114" s="79"/>
      <c r="BO114" s="79">
        <v>0</v>
      </c>
      <c r="BP114" s="79"/>
      <c r="BQ114" s="79"/>
      <c r="BR114" s="79">
        <f t="shared" si="82"/>
        <v>0</v>
      </c>
      <c r="BS114" s="1">
        <v>16</v>
      </c>
      <c r="BT114" s="1" t="s">
        <v>97</v>
      </c>
      <c r="BU114" s="6"/>
      <c r="BV114" s="79">
        <v>33336</v>
      </c>
      <c r="BW114" s="79">
        <v>33336</v>
      </c>
      <c r="BX114" s="79"/>
      <c r="BY114" s="40">
        <v>0</v>
      </c>
      <c r="BZ114" s="79"/>
      <c r="CA114" s="79"/>
      <c r="CB114" s="79">
        <f t="shared" si="83"/>
        <v>0</v>
      </c>
      <c r="CC114" s="1">
        <v>16</v>
      </c>
      <c r="CD114" s="1" t="s">
        <v>97</v>
      </c>
      <c r="CE114" s="6"/>
      <c r="CF114" s="79">
        <v>33336</v>
      </c>
      <c r="CG114" s="79">
        <v>33336</v>
      </c>
      <c r="CH114" s="79"/>
      <c r="CI114" s="79">
        <v>0</v>
      </c>
      <c r="CJ114" s="79"/>
      <c r="CK114" s="79"/>
      <c r="CL114" s="79">
        <f t="shared" si="84"/>
        <v>0</v>
      </c>
      <c r="CM114" s="1">
        <v>16</v>
      </c>
      <c r="CN114" s="1" t="s">
        <v>97</v>
      </c>
      <c r="CO114" s="6"/>
      <c r="CP114" s="79">
        <v>33336</v>
      </c>
      <c r="CQ114" s="79">
        <v>33336</v>
      </c>
      <c r="CR114" s="79"/>
      <c r="CS114" s="79">
        <v>0</v>
      </c>
      <c r="CT114" s="79"/>
      <c r="CU114" s="79"/>
      <c r="CV114" s="85">
        <f t="shared" si="104"/>
        <v>0</v>
      </c>
      <c r="CW114" s="1">
        <v>16</v>
      </c>
      <c r="CX114" s="1" t="s">
        <v>97</v>
      </c>
      <c r="CY114" s="6"/>
      <c r="CZ114" s="79">
        <v>33336</v>
      </c>
      <c r="DA114" s="79">
        <v>33336</v>
      </c>
      <c r="DB114" s="79"/>
      <c r="DC114" s="40">
        <v>0</v>
      </c>
      <c r="DD114" s="79"/>
      <c r="DE114" s="79"/>
      <c r="DF114" s="79">
        <f t="shared" si="85"/>
        <v>0</v>
      </c>
      <c r="DG114" s="1">
        <v>16</v>
      </c>
      <c r="DH114" s="1" t="s">
        <v>97</v>
      </c>
      <c r="DI114" s="6"/>
      <c r="DJ114" s="79">
        <v>33336</v>
      </c>
      <c r="DK114" s="79">
        <v>33336</v>
      </c>
      <c r="DL114" s="79"/>
      <c r="DM114" s="40">
        <v>0</v>
      </c>
      <c r="DN114" s="79"/>
      <c r="DO114" s="79"/>
      <c r="DP114" s="79">
        <f t="shared" si="86"/>
        <v>0</v>
      </c>
      <c r="DQ114" s="1">
        <v>16</v>
      </c>
      <c r="DR114" s="1" t="s">
        <v>97</v>
      </c>
      <c r="DS114" s="122">
        <f t="shared" si="90"/>
        <v>0</v>
      </c>
      <c r="DT114" s="79">
        <f t="shared" si="95"/>
        <v>400032</v>
      </c>
      <c r="DU114" s="79">
        <f t="shared" si="105"/>
        <v>400032</v>
      </c>
      <c r="DV114" s="79">
        <v>0</v>
      </c>
      <c r="DW114" s="79">
        <f t="shared" si="97"/>
        <v>0</v>
      </c>
      <c r="DX114" s="79">
        <f t="shared" si="98"/>
        <v>0</v>
      </c>
      <c r="DY114" s="79">
        <f t="shared" si="99"/>
        <v>0</v>
      </c>
      <c r="DZ114" s="85">
        <f t="shared" si="106"/>
        <v>0</v>
      </c>
    </row>
    <row r="115" spans="1:144" x14ac:dyDescent="0.3">
      <c r="A115" s="1">
        <v>17</v>
      </c>
      <c r="B115" s="1" t="s">
        <v>98</v>
      </c>
      <c r="C115" s="6"/>
      <c r="D115" s="79">
        <v>33336</v>
      </c>
      <c r="E115" s="79">
        <v>33336</v>
      </c>
      <c r="F115" s="79"/>
      <c r="G115" s="79">
        <v>2.2999999999999998</v>
      </c>
      <c r="H115" s="79"/>
      <c r="I115" s="79"/>
      <c r="J115" s="85">
        <f t="shared" si="92"/>
        <v>6.8994480441564676E-5</v>
      </c>
      <c r="K115" s="1">
        <v>17</v>
      </c>
      <c r="L115" s="1" t="s">
        <v>98</v>
      </c>
      <c r="M115" s="6"/>
      <c r="N115" s="79">
        <v>33336</v>
      </c>
      <c r="O115" s="79">
        <v>33336</v>
      </c>
      <c r="P115" s="79"/>
      <c r="Q115" s="79">
        <v>1.5</v>
      </c>
      <c r="R115" s="79"/>
      <c r="S115" s="79"/>
      <c r="T115" s="85">
        <v>0</v>
      </c>
      <c r="U115" s="1">
        <v>17</v>
      </c>
      <c r="V115" s="1" t="s">
        <v>98</v>
      </c>
      <c r="W115" s="6">
        <v>0</v>
      </c>
      <c r="X115" s="79">
        <v>33336</v>
      </c>
      <c r="Y115" s="79">
        <v>33336</v>
      </c>
      <c r="Z115" s="79">
        <v>0</v>
      </c>
      <c r="AA115" s="79">
        <v>0</v>
      </c>
      <c r="AB115" s="79">
        <v>0</v>
      </c>
      <c r="AC115" s="79">
        <v>0</v>
      </c>
      <c r="AD115" s="85">
        <f t="shared" si="100"/>
        <v>0</v>
      </c>
      <c r="AE115" s="1">
        <v>17</v>
      </c>
      <c r="AF115" s="1" t="s">
        <v>98</v>
      </c>
      <c r="AG115" s="6"/>
      <c r="AH115" s="79">
        <v>33336</v>
      </c>
      <c r="AI115" s="79">
        <v>33336</v>
      </c>
      <c r="AJ115" s="79"/>
      <c r="AK115" s="79">
        <v>0.1</v>
      </c>
      <c r="AL115" s="79"/>
      <c r="AM115" s="79"/>
      <c r="AN115" s="85">
        <f t="shared" si="101"/>
        <v>2.9997600191984645E-6</v>
      </c>
      <c r="AO115" s="1">
        <v>17</v>
      </c>
      <c r="AP115" s="1" t="s">
        <v>98</v>
      </c>
      <c r="AQ115" s="6"/>
      <c r="AR115" s="79">
        <v>33336</v>
      </c>
      <c r="AS115" s="79">
        <v>33336</v>
      </c>
      <c r="AT115" s="79"/>
      <c r="AU115" s="79">
        <v>0</v>
      </c>
      <c r="AV115" s="79"/>
      <c r="AW115" s="79"/>
      <c r="AX115" s="85">
        <f t="shared" si="102"/>
        <v>0</v>
      </c>
      <c r="AY115" s="1">
        <v>17</v>
      </c>
      <c r="AZ115" s="1" t="s">
        <v>98</v>
      </c>
      <c r="BA115" s="6"/>
      <c r="BB115" s="79">
        <v>33336</v>
      </c>
      <c r="BC115" s="79">
        <v>33336</v>
      </c>
      <c r="BD115" s="79"/>
      <c r="BE115" s="40">
        <v>0.1</v>
      </c>
      <c r="BF115" s="79"/>
      <c r="BG115" s="79"/>
      <c r="BH115" s="85">
        <f t="shared" si="103"/>
        <v>2.9997600191984645E-6</v>
      </c>
      <c r="BI115" s="1">
        <v>17</v>
      </c>
      <c r="BJ115" s="1" t="s">
        <v>98</v>
      </c>
      <c r="BK115" s="79"/>
      <c r="BL115" s="79">
        <v>33336</v>
      </c>
      <c r="BM115" s="79">
        <v>33336</v>
      </c>
      <c r="BN115" s="79"/>
      <c r="BO115" s="79">
        <v>0</v>
      </c>
      <c r="BP115" s="79"/>
      <c r="BQ115" s="79"/>
      <c r="BR115" s="79">
        <f t="shared" si="82"/>
        <v>0</v>
      </c>
      <c r="BS115" s="1">
        <v>17</v>
      </c>
      <c r="BT115" s="1" t="s">
        <v>98</v>
      </c>
      <c r="BU115" s="6"/>
      <c r="BV115" s="79">
        <v>33336</v>
      </c>
      <c r="BW115" s="79">
        <v>33336</v>
      </c>
      <c r="BX115" s="79"/>
      <c r="BY115" s="40">
        <v>0</v>
      </c>
      <c r="BZ115" s="79"/>
      <c r="CA115" s="79"/>
      <c r="CB115" s="79">
        <f t="shared" si="83"/>
        <v>0</v>
      </c>
      <c r="CC115" s="1">
        <v>17</v>
      </c>
      <c r="CD115" s="1" t="s">
        <v>98</v>
      </c>
      <c r="CE115" s="6"/>
      <c r="CF115" s="79">
        <v>33336</v>
      </c>
      <c r="CG115" s="79">
        <v>33336</v>
      </c>
      <c r="CH115" s="79"/>
      <c r="CI115" s="79">
        <v>0</v>
      </c>
      <c r="CJ115" s="79"/>
      <c r="CK115" s="79"/>
      <c r="CL115" s="79">
        <f t="shared" si="84"/>
        <v>0</v>
      </c>
      <c r="CM115" s="1">
        <v>17</v>
      </c>
      <c r="CN115" s="1" t="s">
        <v>98</v>
      </c>
      <c r="CO115" s="6"/>
      <c r="CP115" s="79">
        <v>33336</v>
      </c>
      <c r="CQ115" s="79">
        <v>33336</v>
      </c>
      <c r="CR115" s="79"/>
      <c r="CS115" s="79">
        <v>0</v>
      </c>
      <c r="CT115" s="79"/>
      <c r="CU115" s="79"/>
      <c r="CV115" s="85">
        <f t="shared" si="104"/>
        <v>0</v>
      </c>
      <c r="CW115" s="1">
        <v>17</v>
      </c>
      <c r="CX115" s="1" t="s">
        <v>98</v>
      </c>
      <c r="CY115" s="6"/>
      <c r="CZ115" s="79">
        <v>33336</v>
      </c>
      <c r="DA115" s="79">
        <v>33336</v>
      </c>
      <c r="DB115" s="79"/>
      <c r="DC115" s="40">
        <v>0</v>
      </c>
      <c r="DD115" s="79"/>
      <c r="DE115" s="79"/>
      <c r="DF115" s="79">
        <f t="shared" si="85"/>
        <v>0</v>
      </c>
      <c r="DG115" s="1">
        <v>17</v>
      </c>
      <c r="DH115" s="1" t="s">
        <v>98</v>
      </c>
      <c r="DI115" s="6"/>
      <c r="DJ115" s="79">
        <v>33336</v>
      </c>
      <c r="DK115" s="79">
        <v>33336</v>
      </c>
      <c r="DL115" s="79"/>
      <c r="DM115" s="40">
        <v>0</v>
      </c>
      <c r="DN115" s="79"/>
      <c r="DO115" s="79"/>
      <c r="DP115" s="79">
        <f t="shared" si="86"/>
        <v>0</v>
      </c>
      <c r="DQ115" s="1">
        <v>17</v>
      </c>
      <c r="DR115" s="1" t="s">
        <v>98</v>
      </c>
      <c r="DS115" s="122">
        <f t="shared" si="90"/>
        <v>0</v>
      </c>
      <c r="DT115" s="79">
        <f t="shared" si="95"/>
        <v>400032</v>
      </c>
      <c r="DU115" s="79">
        <f t="shared" si="105"/>
        <v>400032</v>
      </c>
      <c r="DV115" s="79">
        <v>0</v>
      </c>
      <c r="DW115" s="79">
        <f t="shared" si="97"/>
        <v>4</v>
      </c>
      <c r="DX115" s="79">
        <f t="shared" si="98"/>
        <v>0</v>
      </c>
      <c r="DY115" s="79">
        <f t="shared" si="99"/>
        <v>0</v>
      </c>
      <c r="DZ115" s="85">
        <f t="shared" si="106"/>
        <v>9.9992000639948798E-6</v>
      </c>
    </row>
    <row r="116" spans="1:144" x14ac:dyDescent="0.3">
      <c r="A116" s="1">
        <v>18</v>
      </c>
      <c r="B116" s="1" t="s">
        <v>99</v>
      </c>
      <c r="C116" s="6"/>
      <c r="D116" s="79">
        <v>33336</v>
      </c>
      <c r="E116" s="79">
        <v>33336</v>
      </c>
      <c r="F116" s="79"/>
      <c r="G116" s="79">
        <v>2.6</v>
      </c>
      <c r="H116" s="79"/>
      <c r="I116" s="79"/>
      <c r="J116" s="85">
        <f t="shared" si="92"/>
        <v>7.7993760499160076E-5</v>
      </c>
      <c r="K116" s="1">
        <v>18</v>
      </c>
      <c r="L116" s="1" t="s">
        <v>99</v>
      </c>
      <c r="M116" s="6"/>
      <c r="N116" s="79">
        <v>33336</v>
      </c>
      <c r="O116" s="79">
        <v>33336</v>
      </c>
      <c r="P116" s="79"/>
      <c r="Q116" s="79">
        <v>2.1</v>
      </c>
      <c r="R116" s="79"/>
      <c r="S116" s="79"/>
      <c r="T116" s="85">
        <v>0</v>
      </c>
      <c r="U116" s="1">
        <v>18</v>
      </c>
      <c r="V116" s="1" t="s">
        <v>99</v>
      </c>
      <c r="W116" s="6">
        <v>0</v>
      </c>
      <c r="X116" s="79">
        <v>33336</v>
      </c>
      <c r="Y116" s="79">
        <v>33336</v>
      </c>
      <c r="Z116" s="79">
        <v>0</v>
      </c>
      <c r="AA116" s="79">
        <v>0</v>
      </c>
      <c r="AB116" s="79">
        <v>0</v>
      </c>
      <c r="AC116" s="79">
        <v>0</v>
      </c>
      <c r="AD116" s="85">
        <f t="shared" si="100"/>
        <v>0</v>
      </c>
      <c r="AE116" s="1">
        <v>18</v>
      </c>
      <c r="AF116" s="1" t="s">
        <v>99</v>
      </c>
      <c r="AG116" s="6"/>
      <c r="AH116" s="79">
        <v>33336</v>
      </c>
      <c r="AI116" s="79">
        <v>33336</v>
      </c>
      <c r="AJ116" s="79"/>
      <c r="AK116" s="79">
        <v>0.2</v>
      </c>
      <c r="AL116" s="79"/>
      <c r="AM116" s="79"/>
      <c r="AN116" s="85">
        <f t="shared" si="101"/>
        <v>5.9995200383969289E-6</v>
      </c>
      <c r="AO116" s="1">
        <v>18</v>
      </c>
      <c r="AP116" s="1" t="s">
        <v>99</v>
      </c>
      <c r="AQ116" s="6"/>
      <c r="AR116" s="79">
        <v>33336</v>
      </c>
      <c r="AS116" s="79">
        <v>33336</v>
      </c>
      <c r="AT116" s="79"/>
      <c r="AU116" s="79">
        <v>0</v>
      </c>
      <c r="AV116" s="79"/>
      <c r="AW116" s="79"/>
      <c r="AX116" s="85">
        <f t="shared" si="102"/>
        <v>0</v>
      </c>
      <c r="AY116" s="1">
        <v>18</v>
      </c>
      <c r="AZ116" s="1" t="s">
        <v>99</v>
      </c>
      <c r="BA116" s="6"/>
      <c r="BB116" s="79">
        <v>33336</v>
      </c>
      <c r="BC116" s="79">
        <v>33336</v>
      </c>
      <c r="BD116" s="79"/>
      <c r="BE116" s="40">
        <v>0</v>
      </c>
      <c r="BF116" s="79"/>
      <c r="BG116" s="79"/>
      <c r="BH116" s="85">
        <f t="shared" si="103"/>
        <v>0</v>
      </c>
      <c r="BI116" s="1">
        <v>18</v>
      </c>
      <c r="BJ116" s="1" t="s">
        <v>99</v>
      </c>
      <c r="BK116" s="79"/>
      <c r="BL116" s="79">
        <v>33336</v>
      </c>
      <c r="BM116" s="79">
        <v>33336</v>
      </c>
      <c r="BN116" s="79"/>
      <c r="BO116" s="79">
        <v>0</v>
      </c>
      <c r="BP116" s="79"/>
      <c r="BQ116" s="79"/>
      <c r="BR116" s="79">
        <f t="shared" si="82"/>
        <v>0</v>
      </c>
      <c r="BS116" s="1">
        <v>18</v>
      </c>
      <c r="BT116" s="1" t="s">
        <v>99</v>
      </c>
      <c r="BU116" s="6"/>
      <c r="BV116" s="79">
        <v>33336</v>
      </c>
      <c r="BW116" s="79">
        <v>33336</v>
      </c>
      <c r="BX116" s="79"/>
      <c r="BY116" s="40">
        <v>0</v>
      </c>
      <c r="BZ116" s="79"/>
      <c r="CA116" s="79"/>
      <c r="CB116" s="79">
        <f t="shared" si="83"/>
        <v>0</v>
      </c>
      <c r="CC116" s="1">
        <v>18</v>
      </c>
      <c r="CD116" s="1" t="s">
        <v>99</v>
      </c>
      <c r="CE116" s="6"/>
      <c r="CF116" s="79">
        <v>33336</v>
      </c>
      <c r="CG116" s="79">
        <v>33336</v>
      </c>
      <c r="CH116" s="79"/>
      <c r="CI116" s="79">
        <v>0</v>
      </c>
      <c r="CJ116" s="79"/>
      <c r="CK116" s="79"/>
      <c r="CL116" s="79">
        <f t="shared" si="84"/>
        <v>0</v>
      </c>
      <c r="CM116" s="1">
        <v>18</v>
      </c>
      <c r="CN116" s="1" t="s">
        <v>99</v>
      </c>
      <c r="CO116" s="6"/>
      <c r="CP116" s="79">
        <v>33336</v>
      </c>
      <c r="CQ116" s="79">
        <v>33336</v>
      </c>
      <c r="CR116" s="79"/>
      <c r="CS116" s="79">
        <v>0.3</v>
      </c>
      <c r="CT116" s="79"/>
      <c r="CU116" s="79"/>
      <c r="CV116" s="85">
        <f t="shared" si="104"/>
        <v>8.9992800575953917E-6</v>
      </c>
      <c r="CW116" s="1">
        <v>18</v>
      </c>
      <c r="CX116" s="1" t="s">
        <v>99</v>
      </c>
      <c r="CY116" s="6"/>
      <c r="CZ116" s="79">
        <v>33336</v>
      </c>
      <c r="DA116" s="79">
        <v>33336</v>
      </c>
      <c r="DB116" s="79"/>
      <c r="DC116" s="40">
        <v>0.3</v>
      </c>
      <c r="DD116" s="79"/>
      <c r="DE116" s="79"/>
      <c r="DF116" s="79">
        <f t="shared" si="85"/>
        <v>8.9992800575953917E-6</v>
      </c>
      <c r="DG116" s="1">
        <v>18</v>
      </c>
      <c r="DH116" s="1" t="s">
        <v>99</v>
      </c>
      <c r="DI116" s="6"/>
      <c r="DJ116" s="79">
        <v>33336</v>
      </c>
      <c r="DK116" s="79">
        <v>33336</v>
      </c>
      <c r="DL116" s="79"/>
      <c r="DM116" s="40">
        <v>0.4</v>
      </c>
      <c r="DN116" s="79"/>
      <c r="DO116" s="79"/>
      <c r="DP116" s="79">
        <f t="shared" si="86"/>
        <v>1.1999040076793858E-5</v>
      </c>
      <c r="DQ116" s="1">
        <v>18</v>
      </c>
      <c r="DR116" s="1" t="s">
        <v>99</v>
      </c>
      <c r="DS116" s="122">
        <f t="shared" si="90"/>
        <v>0</v>
      </c>
      <c r="DT116" s="79">
        <f t="shared" si="95"/>
        <v>400032</v>
      </c>
      <c r="DU116" s="79">
        <f t="shared" si="105"/>
        <v>400032</v>
      </c>
      <c r="DV116" s="79">
        <v>0</v>
      </c>
      <c r="DW116" s="79">
        <f t="shared" si="97"/>
        <v>5.9</v>
      </c>
      <c r="DX116" s="79">
        <f t="shared" si="98"/>
        <v>0</v>
      </c>
      <c r="DY116" s="79">
        <f t="shared" si="99"/>
        <v>0</v>
      </c>
      <c r="DZ116" s="85">
        <f t="shared" si="106"/>
        <v>1.474882009439245E-5</v>
      </c>
    </row>
    <row r="117" spans="1:144" x14ac:dyDescent="0.3">
      <c r="A117" s="1">
        <v>19</v>
      </c>
      <c r="B117" s="1" t="s">
        <v>100</v>
      </c>
      <c r="C117" s="6"/>
      <c r="D117" s="79">
        <v>33336</v>
      </c>
      <c r="E117" s="79">
        <v>33336</v>
      </c>
      <c r="F117" s="79"/>
      <c r="G117" s="79">
        <v>16.899999999999999</v>
      </c>
      <c r="H117" s="79"/>
      <c r="I117" s="79"/>
      <c r="J117" s="85">
        <f t="shared" si="92"/>
        <v>5.0695944324454043E-4</v>
      </c>
      <c r="K117" s="1">
        <v>19</v>
      </c>
      <c r="L117" s="1" t="s">
        <v>100</v>
      </c>
      <c r="M117" s="6"/>
      <c r="N117" s="79">
        <v>33336</v>
      </c>
      <c r="O117" s="79">
        <v>33336</v>
      </c>
      <c r="P117" s="79"/>
      <c r="Q117" s="79">
        <v>0.6</v>
      </c>
      <c r="R117" s="79"/>
      <c r="S117" s="79"/>
      <c r="T117" s="85">
        <v>0</v>
      </c>
      <c r="U117" s="1">
        <v>19</v>
      </c>
      <c r="V117" s="1" t="s">
        <v>100</v>
      </c>
      <c r="W117" s="6">
        <v>0</v>
      </c>
      <c r="X117" s="79">
        <v>33336</v>
      </c>
      <c r="Y117" s="79">
        <v>33336</v>
      </c>
      <c r="Z117" s="79">
        <v>0</v>
      </c>
      <c r="AA117" s="79">
        <v>0</v>
      </c>
      <c r="AB117" s="79">
        <v>0</v>
      </c>
      <c r="AC117" s="79">
        <v>0</v>
      </c>
      <c r="AD117" s="85">
        <f t="shared" si="100"/>
        <v>0</v>
      </c>
      <c r="AE117" s="1">
        <v>19</v>
      </c>
      <c r="AF117" s="1" t="s">
        <v>100</v>
      </c>
      <c r="AG117" s="6"/>
      <c r="AH117" s="79">
        <v>33336</v>
      </c>
      <c r="AI117" s="79">
        <v>33336</v>
      </c>
      <c r="AJ117" s="79"/>
      <c r="AK117" s="79">
        <v>0</v>
      </c>
      <c r="AL117" s="79"/>
      <c r="AM117" s="79"/>
      <c r="AN117" s="85">
        <f t="shared" si="101"/>
        <v>0</v>
      </c>
      <c r="AO117" s="1">
        <v>19</v>
      </c>
      <c r="AP117" s="1" t="s">
        <v>100</v>
      </c>
      <c r="AQ117" s="6"/>
      <c r="AR117" s="79">
        <v>33336</v>
      </c>
      <c r="AS117" s="79">
        <v>33336</v>
      </c>
      <c r="AT117" s="79"/>
      <c r="AU117" s="79">
        <v>0</v>
      </c>
      <c r="AV117" s="79"/>
      <c r="AW117" s="79"/>
      <c r="AX117" s="85">
        <f t="shared" si="102"/>
        <v>0</v>
      </c>
      <c r="AY117" s="1">
        <v>19</v>
      </c>
      <c r="AZ117" s="1" t="s">
        <v>100</v>
      </c>
      <c r="BA117" s="6"/>
      <c r="BB117" s="79">
        <v>33336</v>
      </c>
      <c r="BC117" s="79">
        <v>33336</v>
      </c>
      <c r="BD117" s="79"/>
      <c r="BE117" s="40">
        <v>0.1</v>
      </c>
      <c r="BF117" s="79"/>
      <c r="BG117" s="79"/>
      <c r="BH117" s="85">
        <f t="shared" si="103"/>
        <v>2.9997600191984645E-6</v>
      </c>
      <c r="BI117" s="1">
        <v>19</v>
      </c>
      <c r="BJ117" s="1" t="s">
        <v>100</v>
      </c>
      <c r="BK117" s="79"/>
      <c r="BL117" s="79">
        <v>33336</v>
      </c>
      <c r="BM117" s="79">
        <v>33336</v>
      </c>
      <c r="BN117" s="79"/>
      <c r="BO117" s="79">
        <v>0.6</v>
      </c>
      <c r="BP117" s="79"/>
      <c r="BQ117" s="79"/>
      <c r="BR117" s="79">
        <f t="shared" si="82"/>
        <v>1.7998560115190783E-5</v>
      </c>
      <c r="BS117" s="1">
        <v>19</v>
      </c>
      <c r="BT117" s="1" t="s">
        <v>100</v>
      </c>
      <c r="BU117" s="6"/>
      <c r="BV117" s="79">
        <v>33336</v>
      </c>
      <c r="BW117" s="79">
        <v>33336</v>
      </c>
      <c r="BX117" s="79"/>
      <c r="BY117" s="40">
        <v>1.5</v>
      </c>
      <c r="BZ117" s="79"/>
      <c r="CA117" s="79"/>
      <c r="CB117" s="79">
        <f t="shared" si="83"/>
        <v>4.499640028797696E-5</v>
      </c>
      <c r="CC117" s="1">
        <v>19</v>
      </c>
      <c r="CD117" s="1" t="s">
        <v>100</v>
      </c>
      <c r="CE117" s="6"/>
      <c r="CF117" s="79">
        <v>33336</v>
      </c>
      <c r="CG117" s="79">
        <v>33336</v>
      </c>
      <c r="CH117" s="79"/>
      <c r="CI117" s="79">
        <v>1.2</v>
      </c>
      <c r="CJ117" s="79"/>
      <c r="CK117" s="79"/>
      <c r="CL117" s="79">
        <f t="shared" si="84"/>
        <v>3.5997120230381567E-5</v>
      </c>
      <c r="CM117" s="1">
        <v>19</v>
      </c>
      <c r="CN117" s="1" t="s">
        <v>100</v>
      </c>
      <c r="CO117" s="6"/>
      <c r="CP117" s="79">
        <v>33336</v>
      </c>
      <c r="CQ117" s="79">
        <v>33336</v>
      </c>
      <c r="CR117" s="79"/>
      <c r="CS117" s="79">
        <v>2.2999999999999998</v>
      </c>
      <c r="CT117" s="79"/>
      <c r="CU117" s="79"/>
      <c r="CV117" s="85">
        <f t="shared" si="104"/>
        <v>6.8994480441564676E-5</v>
      </c>
      <c r="CW117" s="1">
        <v>19</v>
      </c>
      <c r="CX117" s="1" t="s">
        <v>100</v>
      </c>
      <c r="CY117" s="6"/>
      <c r="CZ117" s="79">
        <v>33336</v>
      </c>
      <c r="DA117" s="79">
        <v>33336</v>
      </c>
      <c r="DB117" s="79"/>
      <c r="DC117" s="40">
        <v>3.9</v>
      </c>
      <c r="DD117" s="79"/>
      <c r="DE117" s="79"/>
      <c r="DF117" s="79">
        <f t="shared" si="85"/>
        <v>1.1699064074874009E-4</v>
      </c>
      <c r="DG117" s="1">
        <v>19</v>
      </c>
      <c r="DH117" s="1" t="s">
        <v>100</v>
      </c>
      <c r="DI117" s="6"/>
      <c r="DJ117" s="79">
        <v>33336</v>
      </c>
      <c r="DK117" s="79">
        <v>33336</v>
      </c>
      <c r="DL117" s="79"/>
      <c r="DM117" s="40">
        <v>4.5</v>
      </c>
      <c r="DN117" s="79"/>
      <c r="DO117" s="79"/>
      <c r="DP117" s="79">
        <f t="shared" si="86"/>
        <v>1.3498920086393089E-4</v>
      </c>
      <c r="DQ117" s="1">
        <v>19</v>
      </c>
      <c r="DR117" s="1" t="s">
        <v>100</v>
      </c>
      <c r="DS117" s="122">
        <f t="shared" si="90"/>
        <v>0</v>
      </c>
      <c r="DT117" s="79">
        <f t="shared" si="95"/>
        <v>400032</v>
      </c>
      <c r="DU117" s="79">
        <f t="shared" si="105"/>
        <v>400032</v>
      </c>
      <c r="DV117" s="79">
        <v>0</v>
      </c>
      <c r="DW117" s="79">
        <f t="shared" si="97"/>
        <v>31.6</v>
      </c>
      <c r="DX117" s="79">
        <f t="shared" si="98"/>
        <v>0</v>
      </c>
      <c r="DY117" s="79">
        <f t="shared" si="99"/>
        <v>0</v>
      </c>
      <c r="DZ117" s="85">
        <f t="shared" si="106"/>
        <v>7.8993680505559557E-5</v>
      </c>
    </row>
    <row r="118" spans="1:144" x14ac:dyDescent="0.3">
      <c r="A118" s="1">
        <v>20</v>
      </c>
      <c r="B118" s="1" t="s">
        <v>165</v>
      </c>
      <c r="C118" s="6"/>
      <c r="D118" s="79">
        <v>33336</v>
      </c>
      <c r="E118" s="79">
        <v>33336</v>
      </c>
      <c r="F118" s="79"/>
      <c r="G118" s="79">
        <v>162.69999999999999</v>
      </c>
      <c r="H118" s="79"/>
      <c r="I118" s="79"/>
      <c r="J118" s="85">
        <f t="shared" si="92"/>
        <v>4.8806095512359008E-3</v>
      </c>
      <c r="K118" s="1">
        <v>20</v>
      </c>
      <c r="L118" s="1" t="s">
        <v>165</v>
      </c>
      <c r="M118" s="6"/>
      <c r="N118" s="79">
        <v>33336</v>
      </c>
      <c r="O118" s="79">
        <v>33336</v>
      </c>
      <c r="P118" s="79"/>
      <c r="Q118" s="79">
        <v>131.69999999999999</v>
      </c>
      <c r="R118" s="79"/>
      <c r="S118" s="79"/>
      <c r="T118" s="85">
        <v>0</v>
      </c>
      <c r="U118" s="1">
        <v>20</v>
      </c>
      <c r="V118" s="1" t="s">
        <v>165</v>
      </c>
      <c r="W118" s="6">
        <v>0</v>
      </c>
      <c r="X118" s="79">
        <v>33336</v>
      </c>
      <c r="Y118" s="79">
        <v>33336</v>
      </c>
      <c r="Z118" s="79">
        <v>0</v>
      </c>
      <c r="AA118" s="79">
        <v>57.2</v>
      </c>
      <c r="AB118" s="79">
        <v>0</v>
      </c>
      <c r="AC118" s="79">
        <v>0</v>
      </c>
      <c r="AD118" s="85">
        <f t="shared" si="100"/>
        <v>1.7158627309815215E-3</v>
      </c>
      <c r="AE118" s="1">
        <v>20</v>
      </c>
      <c r="AF118" s="1" t="s">
        <v>165</v>
      </c>
      <c r="AG118" s="6"/>
      <c r="AH118" s="79">
        <v>33336</v>
      </c>
      <c r="AI118" s="79">
        <v>33336</v>
      </c>
      <c r="AJ118" s="79"/>
      <c r="AK118" s="79">
        <v>139.1</v>
      </c>
      <c r="AL118" s="79"/>
      <c r="AM118" s="79"/>
      <c r="AN118" s="85">
        <f t="shared" si="101"/>
        <v>4.1726661867050631E-3</v>
      </c>
      <c r="AO118" s="1">
        <v>20</v>
      </c>
      <c r="AP118" s="1" t="s">
        <v>165</v>
      </c>
      <c r="AQ118" s="6"/>
      <c r="AR118" s="79">
        <v>33336</v>
      </c>
      <c r="AS118" s="79">
        <v>33336</v>
      </c>
      <c r="AT118" s="79"/>
      <c r="AU118" s="79">
        <v>250.3</v>
      </c>
      <c r="AV118" s="79"/>
      <c r="AW118" s="79"/>
      <c r="AX118" s="85">
        <f t="shared" si="102"/>
        <v>7.5083993280537558E-3</v>
      </c>
      <c r="AY118" s="1">
        <v>20</v>
      </c>
      <c r="AZ118" s="1" t="s">
        <v>165</v>
      </c>
      <c r="BA118" s="6"/>
      <c r="BB118" s="79">
        <v>33336</v>
      </c>
      <c r="BC118" s="79">
        <v>33336</v>
      </c>
      <c r="BD118" s="79"/>
      <c r="BE118" s="40">
        <v>40.799999999999997</v>
      </c>
      <c r="BF118" s="79"/>
      <c r="BG118" s="79"/>
      <c r="BH118" s="85">
        <f t="shared" si="103"/>
        <v>1.2239020878329733E-3</v>
      </c>
      <c r="BI118" s="1">
        <v>20</v>
      </c>
      <c r="BJ118" s="1" t="s">
        <v>165</v>
      </c>
      <c r="BK118" s="79"/>
      <c r="BL118" s="79">
        <v>33336</v>
      </c>
      <c r="BM118" s="79">
        <v>33336</v>
      </c>
      <c r="BN118" s="79"/>
      <c r="BO118" s="79">
        <v>111.3</v>
      </c>
      <c r="BP118" s="79"/>
      <c r="BQ118" s="79"/>
      <c r="BR118" s="79">
        <f t="shared" si="82"/>
        <v>3.3387329013678906E-3</v>
      </c>
      <c r="BS118" s="1">
        <v>20</v>
      </c>
      <c r="BT118" s="1" t="s">
        <v>165</v>
      </c>
      <c r="BU118" s="6"/>
      <c r="BV118" s="79">
        <v>33336</v>
      </c>
      <c r="BW118" s="79">
        <v>33336</v>
      </c>
      <c r="BX118" s="79"/>
      <c r="BY118" s="40">
        <v>186.5</v>
      </c>
      <c r="BZ118" s="79"/>
      <c r="CA118" s="79"/>
      <c r="CB118" s="79">
        <f t="shared" si="83"/>
        <v>5.5945524358051359E-3</v>
      </c>
      <c r="CC118" s="1">
        <v>20</v>
      </c>
      <c r="CD118" s="1" t="s">
        <v>165</v>
      </c>
      <c r="CE118" s="6"/>
      <c r="CF118" s="79">
        <v>33336</v>
      </c>
      <c r="CG118" s="79">
        <v>33336</v>
      </c>
      <c r="CH118" s="79"/>
      <c r="CI118" s="79">
        <v>409.9</v>
      </c>
      <c r="CJ118" s="79"/>
      <c r="CK118" s="79"/>
      <c r="CL118" s="79">
        <f t="shared" si="84"/>
        <v>1.2296016318694503E-2</v>
      </c>
      <c r="CM118" s="1">
        <v>20</v>
      </c>
      <c r="CN118" s="1" t="s">
        <v>165</v>
      </c>
      <c r="CO118" s="6"/>
      <c r="CP118" s="79">
        <v>33336</v>
      </c>
      <c r="CQ118" s="79">
        <v>33336</v>
      </c>
      <c r="CR118" s="79"/>
      <c r="CS118" s="79">
        <v>223.8</v>
      </c>
      <c r="CT118" s="79"/>
      <c r="CU118" s="79"/>
      <c r="CV118" s="85">
        <f t="shared" si="104"/>
        <v>6.7134629229661635E-3</v>
      </c>
      <c r="CW118" s="1">
        <v>20</v>
      </c>
      <c r="CX118" s="1" t="s">
        <v>165</v>
      </c>
      <c r="CY118" s="6"/>
      <c r="CZ118" s="79">
        <v>33336</v>
      </c>
      <c r="DA118" s="79">
        <v>33336</v>
      </c>
      <c r="DB118" s="79"/>
      <c r="DC118" s="40">
        <v>62.5</v>
      </c>
      <c r="DD118" s="79"/>
      <c r="DE118" s="79"/>
      <c r="DF118" s="79">
        <f t="shared" si="85"/>
        <v>1.8748500119990402E-3</v>
      </c>
      <c r="DG118" s="1">
        <v>20</v>
      </c>
      <c r="DH118" s="1" t="s">
        <v>165</v>
      </c>
      <c r="DI118" s="6"/>
      <c r="DJ118" s="79">
        <v>33336</v>
      </c>
      <c r="DK118" s="79">
        <v>33336</v>
      </c>
      <c r="DL118" s="79"/>
      <c r="DM118" s="40">
        <v>4.8</v>
      </c>
      <c r="DN118" s="79"/>
      <c r="DO118" s="79"/>
      <c r="DP118" s="79">
        <f t="shared" si="86"/>
        <v>1.4398848092152627E-4</v>
      </c>
      <c r="DQ118" s="1">
        <v>20</v>
      </c>
      <c r="DR118" s="1" t="s">
        <v>165</v>
      </c>
      <c r="DS118" s="122">
        <f t="shared" si="90"/>
        <v>0</v>
      </c>
      <c r="DT118" s="79">
        <f t="shared" si="95"/>
        <v>400032</v>
      </c>
      <c r="DU118" s="79">
        <f t="shared" si="105"/>
        <v>400032</v>
      </c>
      <c r="DV118" s="79">
        <v>0</v>
      </c>
      <c r="DW118" s="79">
        <f t="shared" si="97"/>
        <v>1780.6</v>
      </c>
      <c r="DX118" s="79">
        <f t="shared" si="98"/>
        <v>0</v>
      </c>
      <c r="DY118" s="79">
        <f t="shared" si="99"/>
        <v>0</v>
      </c>
      <c r="DZ118" s="85">
        <f t="shared" si="106"/>
        <v>4.4511439084873204E-3</v>
      </c>
    </row>
    <row r="119" spans="1:144" ht="30" customHeight="1" x14ac:dyDescent="0.3">
      <c r="A119" s="211" t="s">
        <v>3</v>
      </c>
      <c r="B119" s="213" t="s">
        <v>2</v>
      </c>
      <c r="C119" s="121" t="s">
        <v>217</v>
      </c>
      <c r="D119" s="82" t="s">
        <v>198</v>
      </c>
      <c r="E119" s="82" t="s">
        <v>0</v>
      </c>
      <c r="F119" s="63" t="s">
        <v>5</v>
      </c>
      <c r="G119" s="9" t="s">
        <v>1</v>
      </c>
      <c r="H119" s="215" t="s">
        <v>4</v>
      </c>
      <c r="I119" s="216"/>
      <c r="J119" s="82" t="s">
        <v>125</v>
      </c>
      <c r="K119" s="211" t="s">
        <v>3</v>
      </c>
      <c r="L119" s="213" t="s">
        <v>2</v>
      </c>
      <c r="M119" s="121" t="s">
        <v>217</v>
      </c>
      <c r="N119" s="82" t="s">
        <v>198</v>
      </c>
      <c r="O119" s="82" t="s">
        <v>0</v>
      </c>
      <c r="P119" s="63" t="s">
        <v>5</v>
      </c>
      <c r="Q119" s="9" t="s">
        <v>1</v>
      </c>
      <c r="R119" s="215" t="s">
        <v>4</v>
      </c>
      <c r="S119" s="216"/>
      <c r="T119" s="82" t="s">
        <v>125</v>
      </c>
      <c r="U119" s="211" t="s">
        <v>3</v>
      </c>
      <c r="V119" s="213" t="s">
        <v>2</v>
      </c>
      <c r="W119" s="121" t="s">
        <v>217</v>
      </c>
      <c r="X119" s="82" t="s">
        <v>198</v>
      </c>
      <c r="Y119" s="82" t="s">
        <v>0</v>
      </c>
      <c r="Z119" s="63" t="s">
        <v>5</v>
      </c>
      <c r="AA119" s="9" t="s">
        <v>1</v>
      </c>
      <c r="AB119" s="215" t="s">
        <v>4</v>
      </c>
      <c r="AC119" s="216"/>
      <c r="AD119" s="82" t="s">
        <v>125</v>
      </c>
      <c r="AE119" s="211" t="s">
        <v>3</v>
      </c>
      <c r="AF119" s="213" t="s">
        <v>2</v>
      </c>
      <c r="AG119" s="121" t="s">
        <v>217</v>
      </c>
      <c r="AH119" s="82" t="s">
        <v>198</v>
      </c>
      <c r="AI119" s="82" t="s">
        <v>0</v>
      </c>
      <c r="AJ119" s="63" t="s">
        <v>5</v>
      </c>
      <c r="AK119" s="9" t="s">
        <v>1</v>
      </c>
      <c r="AL119" s="215" t="s">
        <v>4</v>
      </c>
      <c r="AM119" s="216"/>
      <c r="AN119" s="82" t="s">
        <v>125</v>
      </c>
      <c r="AO119" s="211" t="s">
        <v>3</v>
      </c>
      <c r="AP119" s="213" t="s">
        <v>2</v>
      </c>
      <c r="AQ119" s="121" t="s">
        <v>217</v>
      </c>
      <c r="AR119" s="82" t="s">
        <v>198</v>
      </c>
      <c r="AS119" s="82" t="s">
        <v>0</v>
      </c>
      <c r="AT119" s="63" t="s">
        <v>5</v>
      </c>
      <c r="AU119" s="9" t="s">
        <v>1</v>
      </c>
      <c r="AV119" s="215" t="s">
        <v>4</v>
      </c>
      <c r="AW119" s="216"/>
      <c r="AX119" s="82" t="s">
        <v>125</v>
      </c>
      <c r="AY119" s="211" t="s">
        <v>3</v>
      </c>
      <c r="AZ119" s="213" t="s">
        <v>2</v>
      </c>
      <c r="BA119" s="121" t="s">
        <v>217</v>
      </c>
      <c r="BB119" s="82" t="s">
        <v>198</v>
      </c>
      <c r="BC119" s="82" t="s">
        <v>0</v>
      </c>
      <c r="BD119" s="63" t="s">
        <v>5</v>
      </c>
      <c r="BE119" s="9" t="s">
        <v>1</v>
      </c>
      <c r="BF119" s="215" t="s">
        <v>4</v>
      </c>
      <c r="BG119" s="216"/>
      <c r="BH119" s="82" t="s">
        <v>125</v>
      </c>
      <c r="BI119" s="211" t="s">
        <v>3</v>
      </c>
      <c r="BJ119" s="213" t="s">
        <v>2</v>
      </c>
      <c r="BK119" s="121" t="s">
        <v>217</v>
      </c>
      <c r="BL119" s="82" t="s">
        <v>198</v>
      </c>
      <c r="BM119" s="82" t="s">
        <v>0</v>
      </c>
      <c r="BN119" s="63" t="s">
        <v>5</v>
      </c>
      <c r="BO119" s="9" t="s">
        <v>1</v>
      </c>
      <c r="BP119" s="215" t="s">
        <v>4</v>
      </c>
      <c r="BQ119" s="216"/>
      <c r="BR119" s="82" t="s">
        <v>125</v>
      </c>
      <c r="BS119" s="211" t="s">
        <v>3</v>
      </c>
      <c r="BT119" s="213" t="s">
        <v>2</v>
      </c>
      <c r="BU119" s="121" t="s">
        <v>217</v>
      </c>
      <c r="BV119" s="82" t="s">
        <v>198</v>
      </c>
      <c r="BW119" s="82" t="s">
        <v>0</v>
      </c>
      <c r="BX119" s="63" t="s">
        <v>5</v>
      </c>
      <c r="BY119" s="9" t="s">
        <v>1</v>
      </c>
      <c r="BZ119" s="215" t="s">
        <v>4</v>
      </c>
      <c r="CA119" s="216"/>
      <c r="CB119" s="82" t="s">
        <v>125</v>
      </c>
      <c r="CC119" s="211" t="s">
        <v>3</v>
      </c>
      <c r="CD119" s="213" t="s">
        <v>2</v>
      </c>
      <c r="CE119" s="121" t="s">
        <v>217</v>
      </c>
      <c r="CF119" s="82" t="s">
        <v>198</v>
      </c>
      <c r="CG119" s="82" t="s">
        <v>0</v>
      </c>
      <c r="CH119" s="63" t="s">
        <v>5</v>
      </c>
      <c r="CI119" s="9" t="s">
        <v>1</v>
      </c>
      <c r="CJ119" s="215" t="s">
        <v>4</v>
      </c>
      <c r="CK119" s="216"/>
      <c r="CL119" s="82" t="s">
        <v>125</v>
      </c>
      <c r="CM119" s="211" t="s">
        <v>3</v>
      </c>
      <c r="CN119" s="213" t="s">
        <v>2</v>
      </c>
      <c r="CO119" s="121" t="s">
        <v>217</v>
      </c>
      <c r="CP119" s="82" t="s">
        <v>198</v>
      </c>
      <c r="CQ119" s="82" t="s">
        <v>0</v>
      </c>
      <c r="CR119" s="63" t="s">
        <v>5</v>
      </c>
      <c r="CS119" s="9" t="s">
        <v>1</v>
      </c>
      <c r="CT119" s="215" t="s">
        <v>4</v>
      </c>
      <c r="CU119" s="216"/>
      <c r="CV119" s="82" t="s">
        <v>125</v>
      </c>
      <c r="CW119" s="211" t="s">
        <v>3</v>
      </c>
      <c r="CX119" s="213" t="s">
        <v>2</v>
      </c>
      <c r="CY119" s="121" t="s">
        <v>217</v>
      </c>
      <c r="CZ119" s="82" t="s">
        <v>198</v>
      </c>
      <c r="DA119" s="82" t="s">
        <v>0</v>
      </c>
      <c r="DB119" s="63" t="s">
        <v>5</v>
      </c>
      <c r="DC119" s="9" t="s">
        <v>1</v>
      </c>
      <c r="DD119" s="215" t="s">
        <v>4</v>
      </c>
      <c r="DE119" s="216"/>
      <c r="DF119" s="82" t="s">
        <v>125</v>
      </c>
      <c r="DG119" s="211" t="s">
        <v>3</v>
      </c>
      <c r="DH119" s="213" t="s">
        <v>2</v>
      </c>
      <c r="DI119" s="121" t="s">
        <v>217</v>
      </c>
      <c r="DJ119" s="82" t="s">
        <v>198</v>
      </c>
      <c r="DK119" s="82" t="s">
        <v>0</v>
      </c>
      <c r="DL119" s="63" t="s">
        <v>5</v>
      </c>
      <c r="DM119" s="9" t="s">
        <v>1</v>
      </c>
      <c r="DN119" s="215" t="s">
        <v>4</v>
      </c>
      <c r="DO119" s="216"/>
      <c r="DP119" s="82" t="s">
        <v>125</v>
      </c>
      <c r="DQ119" s="211" t="s">
        <v>3</v>
      </c>
      <c r="DR119" s="213" t="s">
        <v>2</v>
      </c>
      <c r="DS119" s="121" t="s">
        <v>217</v>
      </c>
      <c r="DT119" s="82" t="s">
        <v>198</v>
      </c>
      <c r="DU119" s="82" t="s">
        <v>0</v>
      </c>
      <c r="DV119" s="63" t="s">
        <v>5</v>
      </c>
      <c r="DW119" s="9" t="s">
        <v>1</v>
      </c>
      <c r="DX119" s="215" t="s">
        <v>4</v>
      </c>
      <c r="DY119" s="216"/>
      <c r="DZ119" s="82" t="s">
        <v>125</v>
      </c>
    </row>
    <row r="120" spans="1:144" ht="15" customHeight="1" x14ac:dyDescent="0.3">
      <c r="A120" s="212"/>
      <c r="B120" s="214"/>
      <c r="C120" s="82" t="s">
        <v>7</v>
      </c>
      <c r="D120" s="82" t="s">
        <v>7</v>
      </c>
      <c r="E120" s="82" t="s">
        <v>7</v>
      </c>
      <c r="F120" s="63" t="s">
        <v>10</v>
      </c>
      <c r="G120" s="9" t="s">
        <v>6</v>
      </c>
      <c r="H120" s="63" t="s">
        <v>8</v>
      </c>
      <c r="I120" s="63" t="s">
        <v>9</v>
      </c>
      <c r="J120" s="93" t="s">
        <v>128</v>
      </c>
      <c r="K120" s="212"/>
      <c r="L120" s="214"/>
      <c r="M120" s="82" t="s">
        <v>7</v>
      </c>
      <c r="N120" s="82" t="s">
        <v>7</v>
      </c>
      <c r="O120" s="82" t="s">
        <v>7</v>
      </c>
      <c r="P120" s="63" t="s">
        <v>10</v>
      </c>
      <c r="Q120" s="9" t="s">
        <v>6</v>
      </c>
      <c r="R120" s="63" t="s">
        <v>8</v>
      </c>
      <c r="S120" s="63" t="s">
        <v>9</v>
      </c>
      <c r="T120" s="93" t="s">
        <v>128</v>
      </c>
      <c r="U120" s="212"/>
      <c r="V120" s="214"/>
      <c r="W120" s="82" t="s">
        <v>7</v>
      </c>
      <c r="X120" s="82" t="s">
        <v>7</v>
      </c>
      <c r="Y120" s="82" t="s">
        <v>7</v>
      </c>
      <c r="Z120" s="63" t="s">
        <v>10</v>
      </c>
      <c r="AA120" s="9" t="s">
        <v>6</v>
      </c>
      <c r="AB120" s="63" t="s">
        <v>8</v>
      </c>
      <c r="AC120" s="63" t="s">
        <v>9</v>
      </c>
      <c r="AD120" s="93" t="s">
        <v>128</v>
      </c>
      <c r="AE120" s="212"/>
      <c r="AF120" s="214"/>
      <c r="AG120" s="82" t="s">
        <v>7</v>
      </c>
      <c r="AH120" s="82" t="s">
        <v>7</v>
      </c>
      <c r="AI120" s="82" t="s">
        <v>7</v>
      </c>
      <c r="AJ120" s="63" t="s">
        <v>10</v>
      </c>
      <c r="AK120" s="9" t="s">
        <v>6</v>
      </c>
      <c r="AL120" s="63" t="s">
        <v>8</v>
      </c>
      <c r="AM120" s="63" t="s">
        <v>9</v>
      </c>
      <c r="AN120" s="93" t="s">
        <v>128</v>
      </c>
      <c r="AO120" s="212"/>
      <c r="AP120" s="214"/>
      <c r="AQ120" s="82" t="s">
        <v>7</v>
      </c>
      <c r="AR120" s="82" t="s">
        <v>7</v>
      </c>
      <c r="AS120" s="82" t="s">
        <v>7</v>
      </c>
      <c r="AT120" s="63" t="s">
        <v>10</v>
      </c>
      <c r="AU120" s="9" t="s">
        <v>6</v>
      </c>
      <c r="AV120" s="63" t="s">
        <v>8</v>
      </c>
      <c r="AW120" s="63" t="s">
        <v>9</v>
      </c>
      <c r="AX120" s="93" t="s">
        <v>128</v>
      </c>
      <c r="AY120" s="212"/>
      <c r="AZ120" s="214"/>
      <c r="BA120" s="82" t="s">
        <v>7</v>
      </c>
      <c r="BB120" s="82" t="s">
        <v>7</v>
      </c>
      <c r="BC120" s="82" t="s">
        <v>7</v>
      </c>
      <c r="BD120" s="63" t="s">
        <v>10</v>
      </c>
      <c r="BE120" s="9" t="s">
        <v>6</v>
      </c>
      <c r="BF120" s="63" t="s">
        <v>8</v>
      </c>
      <c r="BG120" s="63" t="s">
        <v>9</v>
      </c>
      <c r="BH120" s="93" t="s">
        <v>128</v>
      </c>
      <c r="BI120" s="212"/>
      <c r="BJ120" s="214"/>
      <c r="BK120" s="82" t="s">
        <v>7</v>
      </c>
      <c r="BL120" s="82" t="s">
        <v>7</v>
      </c>
      <c r="BM120" s="82" t="s">
        <v>7</v>
      </c>
      <c r="BN120" s="63" t="s">
        <v>10</v>
      </c>
      <c r="BO120" s="9" t="s">
        <v>6</v>
      </c>
      <c r="BP120" s="63" t="s">
        <v>8</v>
      </c>
      <c r="BQ120" s="63" t="s">
        <v>9</v>
      </c>
      <c r="BR120" s="93" t="s">
        <v>128</v>
      </c>
      <c r="BS120" s="212"/>
      <c r="BT120" s="214"/>
      <c r="BU120" s="82" t="s">
        <v>7</v>
      </c>
      <c r="BV120" s="82" t="s">
        <v>7</v>
      </c>
      <c r="BW120" s="82" t="s">
        <v>7</v>
      </c>
      <c r="BX120" s="63" t="s">
        <v>10</v>
      </c>
      <c r="BY120" s="9" t="s">
        <v>6</v>
      </c>
      <c r="BZ120" s="63" t="s">
        <v>8</v>
      </c>
      <c r="CA120" s="63" t="s">
        <v>9</v>
      </c>
      <c r="CB120" s="93" t="s">
        <v>128</v>
      </c>
      <c r="CC120" s="212"/>
      <c r="CD120" s="214"/>
      <c r="CE120" s="82" t="s">
        <v>7</v>
      </c>
      <c r="CF120" s="82" t="s">
        <v>7</v>
      </c>
      <c r="CG120" s="82" t="s">
        <v>7</v>
      </c>
      <c r="CH120" s="63" t="s">
        <v>10</v>
      </c>
      <c r="CI120" s="9" t="s">
        <v>6</v>
      </c>
      <c r="CJ120" s="63" t="s">
        <v>8</v>
      </c>
      <c r="CK120" s="63" t="s">
        <v>9</v>
      </c>
      <c r="CL120" s="93" t="s">
        <v>128</v>
      </c>
      <c r="CM120" s="212"/>
      <c r="CN120" s="214"/>
      <c r="CO120" s="82" t="s">
        <v>7</v>
      </c>
      <c r="CP120" s="82" t="s">
        <v>7</v>
      </c>
      <c r="CQ120" s="82" t="s">
        <v>7</v>
      </c>
      <c r="CR120" s="63" t="s">
        <v>10</v>
      </c>
      <c r="CS120" s="9" t="s">
        <v>6</v>
      </c>
      <c r="CT120" s="63" t="s">
        <v>8</v>
      </c>
      <c r="CU120" s="63" t="s">
        <v>9</v>
      </c>
      <c r="CV120" s="93" t="s">
        <v>128</v>
      </c>
      <c r="CW120" s="212"/>
      <c r="CX120" s="214"/>
      <c r="CY120" s="82" t="s">
        <v>7</v>
      </c>
      <c r="CZ120" s="82" t="s">
        <v>7</v>
      </c>
      <c r="DA120" s="82" t="s">
        <v>7</v>
      </c>
      <c r="DB120" s="63" t="s">
        <v>10</v>
      </c>
      <c r="DC120" s="9" t="s">
        <v>6</v>
      </c>
      <c r="DD120" s="63" t="s">
        <v>8</v>
      </c>
      <c r="DE120" s="63" t="s">
        <v>9</v>
      </c>
      <c r="DF120" s="93" t="s">
        <v>128</v>
      </c>
      <c r="DG120" s="212"/>
      <c r="DH120" s="214"/>
      <c r="DI120" s="82" t="s">
        <v>7</v>
      </c>
      <c r="DJ120" s="82" t="s">
        <v>7</v>
      </c>
      <c r="DK120" s="82" t="s">
        <v>7</v>
      </c>
      <c r="DL120" s="63" t="s">
        <v>10</v>
      </c>
      <c r="DM120" s="9" t="s">
        <v>6</v>
      </c>
      <c r="DN120" s="63" t="s">
        <v>8</v>
      </c>
      <c r="DO120" s="63" t="s">
        <v>9</v>
      </c>
      <c r="DP120" s="93" t="s">
        <v>128</v>
      </c>
      <c r="DQ120" s="212"/>
      <c r="DR120" s="214"/>
      <c r="DS120" s="82" t="s">
        <v>7</v>
      </c>
      <c r="DT120" s="82" t="s">
        <v>7</v>
      </c>
      <c r="DU120" s="82" t="s">
        <v>7</v>
      </c>
      <c r="DV120" s="63" t="s">
        <v>10</v>
      </c>
      <c r="DW120" s="9" t="s">
        <v>6</v>
      </c>
      <c r="DX120" s="63" t="s">
        <v>8</v>
      </c>
      <c r="DY120" s="63" t="s">
        <v>9</v>
      </c>
      <c r="DZ120" s="93" t="s">
        <v>128</v>
      </c>
    </row>
    <row r="121" spans="1:144" s="19" customFormat="1" ht="9.75" customHeight="1" x14ac:dyDescent="0.2">
      <c r="A121" s="99">
        <v>1</v>
      </c>
      <c r="B121" s="100">
        <v>2</v>
      </c>
      <c r="C121" s="100"/>
      <c r="D121" s="99">
        <v>3</v>
      </c>
      <c r="E121" s="99">
        <v>4</v>
      </c>
      <c r="F121" s="99">
        <v>5</v>
      </c>
      <c r="G121" s="99"/>
      <c r="H121" s="99">
        <v>6</v>
      </c>
      <c r="I121" s="99">
        <v>7</v>
      </c>
      <c r="J121" s="99">
        <v>8</v>
      </c>
      <c r="K121" s="99">
        <v>1</v>
      </c>
      <c r="L121" s="100">
        <v>2</v>
      </c>
      <c r="M121" s="100"/>
      <c r="N121" s="99">
        <v>3</v>
      </c>
      <c r="O121" s="99">
        <v>4</v>
      </c>
      <c r="P121" s="99">
        <v>5</v>
      </c>
      <c r="Q121" s="99"/>
      <c r="R121" s="99">
        <v>6</v>
      </c>
      <c r="S121" s="99">
        <v>7</v>
      </c>
      <c r="T121" s="99">
        <v>8</v>
      </c>
      <c r="U121" s="99">
        <v>1</v>
      </c>
      <c r="V121" s="100">
        <v>2</v>
      </c>
      <c r="W121" s="100"/>
      <c r="X121" s="99">
        <v>3</v>
      </c>
      <c r="Y121" s="99">
        <v>4</v>
      </c>
      <c r="Z121" s="99">
        <v>5</v>
      </c>
      <c r="AA121" s="99"/>
      <c r="AB121" s="99">
        <v>6</v>
      </c>
      <c r="AC121" s="99">
        <v>7</v>
      </c>
      <c r="AD121" s="99">
        <v>8</v>
      </c>
      <c r="AE121" s="99">
        <v>1</v>
      </c>
      <c r="AF121" s="100">
        <v>2</v>
      </c>
      <c r="AG121" s="100"/>
      <c r="AH121" s="99">
        <v>3</v>
      </c>
      <c r="AI121" s="99">
        <v>4</v>
      </c>
      <c r="AJ121" s="99">
        <v>5</v>
      </c>
      <c r="AK121" s="99"/>
      <c r="AL121" s="99">
        <v>6</v>
      </c>
      <c r="AM121" s="99">
        <v>7</v>
      </c>
      <c r="AN121" s="99">
        <v>8</v>
      </c>
      <c r="AO121" s="99">
        <v>1</v>
      </c>
      <c r="AP121" s="100">
        <v>2</v>
      </c>
      <c r="AQ121" s="100"/>
      <c r="AR121" s="99">
        <v>3</v>
      </c>
      <c r="AS121" s="99">
        <v>4</v>
      </c>
      <c r="AT121" s="99">
        <v>5</v>
      </c>
      <c r="AU121" s="99"/>
      <c r="AV121" s="99">
        <v>6</v>
      </c>
      <c r="AW121" s="99">
        <v>7</v>
      </c>
      <c r="AX121" s="99">
        <v>8</v>
      </c>
      <c r="AY121" s="99">
        <v>1</v>
      </c>
      <c r="AZ121" s="100">
        <v>2</v>
      </c>
      <c r="BA121" s="100"/>
      <c r="BB121" s="99">
        <v>3</v>
      </c>
      <c r="BC121" s="99">
        <v>4</v>
      </c>
      <c r="BD121" s="99">
        <v>5</v>
      </c>
      <c r="BE121" s="195"/>
      <c r="BF121" s="99">
        <v>6</v>
      </c>
      <c r="BG121" s="99">
        <v>7</v>
      </c>
      <c r="BH121" s="99">
        <v>8</v>
      </c>
      <c r="BI121" s="99">
        <v>1</v>
      </c>
      <c r="BJ121" s="100">
        <v>2</v>
      </c>
      <c r="BK121" s="100"/>
      <c r="BL121" s="99">
        <v>3</v>
      </c>
      <c r="BM121" s="99">
        <v>4</v>
      </c>
      <c r="BN121" s="99">
        <v>5</v>
      </c>
      <c r="BO121" s="99"/>
      <c r="BP121" s="99">
        <v>6</v>
      </c>
      <c r="BQ121" s="99">
        <v>7</v>
      </c>
      <c r="BR121" s="99">
        <v>8</v>
      </c>
      <c r="BS121" s="99">
        <v>1</v>
      </c>
      <c r="BT121" s="100">
        <v>2</v>
      </c>
      <c r="BU121" s="100"/>
      <c r="BV121" s="99">
        <v>3</v>
      </c>
      <c r="BW121" s="99">
        <v>4</v>
      </c>
      <c r="BX121" s="99">
        <v>5</v>
      </c>
      <c r="BY121" s="195"/>
      <c r="BZ121" s="99">
        <v>6</v>
      </c>
      <c r="CA121" s="99">
        <v>7</v>
      </c>
      <c r="CB121" s="99">
        <v>8</v>
      </c>
      <c r="CC121" s="99">
        <v>1</v>
      </c>
      <c r="CD121" s="100">
        <v>2</v>
      </c>
      <c r="CE121" s="100"/>
      <c r="CF121" s="99">
        <v>3</v>
      </c>
      <c r="CG121" s="99">
        <v>4</v>
      </c>
      <c r="CH121" s="99">
        <v>5</v>
      </c>
      <c r="CI121" s="99"/>
      <c r="CJ121" s="99">
        <v>6</v>
      </c>
      <c r="CK121" s="99">
        <v>7</v>
      </c>
      <c r="CL121" s="99">
        <v>8</v>
      </c>
      <c r="CM121" s="99">
        <v>1</v>
      </c>
      <c r="CN121" s="100">
        <v>2</v>
      </c>
      <c r="CO121" s="100"/>
      <c r="CP121" s="99">
        <v>3</v>
      </c>
      <c r="CQ121" s="99">
        <v>4</v>
      </c>
      <c r="CR121" s="99">
        <v>5</v>
      </c>
      <c r="CS121" s="99"/>
      <c r="CT121" s="99">
        <v>6</v>
      </c>
      <c r="CU121" s="99">
        <v>7</v>
      </c>
      <c r="CV121" s="99">
        <v>8</v>
      </c>
      <c r="CW121" s="99">
        <v>1</v>
      </c>
      <c r="CX121" s="100">
        <v>2</v>
      </c>
      <c r="CY121" s="100"/>
      <c r="CZ121" s="99">
        <v>3</v>
      </c>
      <c r="DA121" s="99">
        <v>4</v>
      </c>
      <c r="DB121" s="99">
        <v>5</v>
      </c>
      <c r="DC121" s="195"/>
      <c r="DD121" s="99">
        <v>6</v>
      </c>
      <c r="DE121" s="99">
        <v>7</v>
      </c>
      <c r="DF121" s="99">
        <v>8</v>
      </c>
      <c r="DG121" s="99">
        <v>1</v>
      </c>
      <c r="DH121" s="100">
        <v>2</v>
      </c>
      <c r="DI121" s="100"/>
      <c r="DJ121" s="99">
        <v>3</v>
      </c>
      <c r="DK121" s="99">
        <v>4</v>
      </c>
      <c r="DL121" s="99">
        <v>5</v>
      </c>
      <c r="DM121" s="195"/>
      <c r="DN121" s="99">
        <v>6</v>
      </c>
      <c r="DO121" s="99">
        <v>7</v>
      </c>
      <c r="DP121" s="99">
        <v>8</v>
      </c>
      <c r="DQ121" s="99">
        <v>1</v>
      </c>
      <c r="DR121" s="100">
        <v>2</v>
      </c>
      <c r="DS121" s="100"/>
      <c r="DT121" s="99">
        <v>3</v>
      </c>
      <c r="DU121" s="99">
        <v>4</v>
      </c>
      <c r="DV121" s="99">
        <v>5</v>
      </c>
      <c r="DW121" s="99"/>
      <c r="DX121" s="99">
        <v>6</v>
      </c>
      <c r="DY121" s="99">
        <v>7</v>
      </c>
      <c r="DZ121" s="99">
        <v>8</v>
      </c>
    </row>
    <row r="122" spans="1:144" x14ac:dyDescent="0.3">
      <c r="A122" s="37"/>
      <c r="B122" s="31" t="s">
        <v>101</v>
      </c>
      <c r="C122" s="31"/>
      <c r="D122" s="38"/>
      <c r="E122" s="29"/>
      <c r="F122" s="29"/>
      <c r="G122" s="29">
        <f>SUM(G123:G131)</f>
        <v>1576.7199999999998</v>
      </c>
      <c r="H122" s="26"/>
      <c r="I122" s="26"/>
      <c r="J122" s="26"/>
      <c r="K122" s="37"/>
      <c r="L122" s="31" t="s">
        <v>101</v>
      </c>
      <c r="M122" s="128"/>
      <c r="N122" s="38"/>
      <c r="O122" s="29"/>
      <c r="P122" s="29"/>
      <c r="Q122" s="29"/>
      <c r="R122" s="26"/>
      <c r="S122" s="26"/>
      <c r="T122" s="26"/>
      <c r="U122" s="37"/>
      <c r="V122" s="31" t="s">
        <v>101</v>
      </c>
      <c r="W122" s="128"/>
      <c r="X122" s="38"/>
      <c r="Y122" s="29"/>
      <c r="Z122" s="29"/>
      <c r="AA122" s="29"/>
      <c r="AB122" s="26"/>
      <c r="AC122" s="26"/>
      <c r="AD122" s="26"/>
      <c r="AE122" s="37"/>
      <c r="AF122" s="31" t="s">
        <v>101</v>
      </c>
      <c r="AG122" s="128"/>
      <c r="AH122" s="38"/>
      <c r="AI122" s="29"/>
      <c r="AJ122" s="29"/>
      <c r="AK122" s="29">
        <f>SUM(AK123:AK131)</f>
        <v>1375.3999999999999</v>
      </c>
      <c r="AL122" s="26"/>
      <c r="AM122" s="26"/>
      <c r="AN122" s="26"/>
      <c r="AO122" s="37"/>
      <c r="AP122" s="31" t="s">
        <v>101</v>
      </c>
      <c r="AQ122" s="128"/>
      <c r="AR122" s="38"/>
      <c r="AS122" s="29"/>
      <c r="AT122" s="29"/>
      <c r="AU122" s="193">
        <f>SUM(AU123:AU130)</f>
        <v>1466</v>
      </c>
      <c r="AV122" s="26"/>
      <c r="AW122" s="26"/>
      <c r="AX122" s="26"/>
      <c r="AY122" s="37"/>
      <c r="AZ122" s="31" t="s">
        <v>101</v>
      </c>
      <c r="BA122" s="128"/>
      <c r="BB122" s="38"/>
      <c r="BC122" s="29"/>
      <c r="BD122" s="29"/>
      <c r="BE122" s="200">
        <f>SUM(BE123:BE130)</f>
        <v>1641.3500000000001</v>
      </c>
      <c r="BF122" s="26"/>
      <c r="BG122" s="26"/>
      <c r="BH122" s="26"/>
      <c r="BI122" s="37"/>
      <c r="BJ122" s="31" t="s">
        <v>101</v>
      </c>
      <c r="BK122" s="128"/>
      <c r="BL122" s="193"/>
      <c r="BM122" s="29"/>
      <c r="BN122" s="29"/>
      <c r="BO122" s="29"/>
      <c r="BP122" s="26"/>
      <c r="BQ122" s="26"/>
      <c r="BR122" s="26" t="e">
        <f t="shared" ref="BR122:BR138" si="107">BO122/BM122</f>
        <v>#DIV/0!</v>
      </c>
      <c r="BS122" s="37"/>
      <c r="BT122" s="31" t="s">
        <v>101</v>
      </c>
      <c r="BU122" s="128"/>
      <c r="BV122" s="38"/>
      <c r="BW122" s="29"/>
      <c r="BX122" s="29"/>
      <c r="BY122" s="200">
        <f>SUM(BY123:BY130)</f>
        <v>1500.98</v>
      </c>
      <c r="BZ122" s="26"/>
      <c r="CA122" s="26"/>
      <c r="CB122" s="26" t="e">
        <f t="shared" ref="CB122:CB138" si="108">BY122/BW122</f>
        <v>#DIV/0!</v>
      </c>
      <c r="CC122" s="37"/>
      <c r="CD122" s="31" t="s">
        <v>101</v>
      </c>
      <c r="CE122" s="128"/>
      <c r="CF122" s="38"/>
      <c r="CG122" s="29"/>
      <c r="CH122" s="29"/>
      <c r="CI122" s="29">
        <f>SUM(CI123:CI131)</f>
        <v>1499.15</v>
      </c>
      <c r="CJ122" s="26"/>
      <c r="CK122" s="26"/>
      <c r="CL122" s="26" t="e">
        <f t="shared" ref="CL122:CL138" si="109">CI122/CG122</f>
        <v>#DIV/0!</v>
      </c>
      <c r="CM122" s="37"/>
      <c r="CN122" s="31" t="s">
        <v>101</v>
      </c>
      <c r="CO122" s="128"/>
      <c r="CP122" s="38"/>
      <c r="CQ122" s="29"/>
      <c r="CR122" s="29"/>
      <c r="CS122" s="193">
        <f>SUM(CS123:CS130)</f>
        <v>1520.6499999999996</v>
      </c>
      <c r="CT122" s="26"/>
      <c r="CU122" s="26"/>
      <c r="CV122" s="26"/>
      <c r="CW122" s="37"/>
      <c r="CX122" s="31" t="s">
        <v>101</v>
      </c>
      <c r="CY122" s="128"/>
      <c r="CZ122" s="38"/>
      <c r="DA122" s="29"/>
      <c r="DB122" s="29"/>
      <c r="DC122" s="200">
        <f>SUM(DC123:DC130)</f>
        <v>1484.51</v>
      </c>
      <c r="DD122" s="26"/>
      <c r="DE122" s="26"/>
      <c r="DF122" s="26" t="e">
        <f t="shared" ref="DF122:DF138" si="110">DC122/DA122</f>
        <v>#DIV/0!</v>
      </c>
      <c r="DG122" s="37"/>
      <c r="DH122" s="31" t="s">
        <v>101</v>
      </c>
      <c r="DI122" s="128"/>
      <c r="DJ122" s="38"/>
      <c r="DK122" s="29"/>
      <c r="DL122" s="29"/>
      <c r="DM122" s="200">
        <f>SUM(DM123:DM130)</f>
        <v>1482.5500000000002</v>
      </c>
      <c r="DN122" s="26"/>
      <c r="DO122" s="26"/>
      <c r="DP122" s="26" t="e">
        <f t="shared" ref="DP122:DP138" si="111">DM122/DK122</f>
        <v>#DIV/0!</v>
      </c>
      <c r="DQ122" s="37"/>
      <c r="DR122" s="31" t="s">
        <v>101</v>
      </c>
      <c r="DS122" s="128"/>
      <c r="DT122" s="38"/>
      <c r="DU122" s="29"/>
      <c r="DV122" s="29"/>
      <c r="DW122" s="29"/>
      <c r="DX122" s="26"/>
      <c r="DY122" s="26"/>
      <c r="DZ122" s="26"/>
    </row>
    <row r="123" spans="1:144" x14ac:dyDescent="0.3">
      <c r="A123" s="1">
        <v>1</v>
      </c>
      <c r="B123" s="1" t="s">
        <v>102</v>
      </c>
      <c r="C123" s="6"/>
      <c r="D123" s="7">
        <v>3.65</v>
      </c>
      <c r="E123" s="7">
        <v>3.65</v>
      </c>
      <c r="F123" s="7"/>
      <c r="G123" s="7">
        <v>643</v>
      </c>
      <c r="H123" s="7"/>
      <c r="I123" s="7"/>
      <c r="J123" s="86">
        <f>G123/E123</f>
        <v>176.16438356164383</v>
      </c>
      <c r="K123" s="1">
        <v>1</v>
      </c>
      <c r="L123" s="1" t="s">
        <v>102</v>
      </c>
      <c r="M123" s="6"/>
      <c r="N123" s="7">
        <v>3.65</v>
      </c>
      <c r="O123" s="7">
        <v>3.65</v>
      </c>
      <c r="P123" s="7"/>
      <c r="Q123" s="7">
        <v>483.2</v>
      </c>
      <c r="R123" s="7"/>
      <c r="S123" s="7"/>
      <c r="T123" s="86">
        <v>0</v>
      </c>
      <c r="U123" s="1">
        <v>1</v>
      </c>
      <c r="V123" s="1" t="s">
        <v>102</v>
      </c>
      <c r="W123" s="6">
        <v>0</v>
      </c>
      <c r="X123" s="7">
        <v>3.65</v>
      </c>
      <c r="Y123" s="7">
        <v>3.65</v>
      </c>
      <c r="Z123" s="7">
        <v>0</v>
      </c>
      <c r="AA123" s="7">
        <v>459</v>
      </c>
      <c r="AB123" s="7">
        <v>0</v>
      </c>
      <c r="AC123" s="7">
        <v>0</v>
      </c>
      <c r="AD123" s="86">
        <f>AA123/Y123</f>
        <v>125.75342465753425</v>
      </c>
      <c r="AE123" s="1">
        <v>1</v>
      </c>
      <c r="AF123" s="1" t="s">
        <v>102</v>
      </c>
      <c r="AG123" s="6"/>
      <c r="AH123" s="7">
        <v>3.65</v>
      </c>
      <c r="AI123" s="7">
        <v>3.65</v>
      </c>
      <c r="AJ123" s="7"/>
      <c r="AK123" s="7">
        <v>457</v>
      </c>
      <c r="AL123" s="7"/>
      <c r="AM123" s="7"/>
      <c r="AN123" s="86">
        <f>AK123/AI123</f>
        <v>125.2054794520548</v>
      </c>
      <c r="AO123" s="1">
        <v>1</v>
      </c>
      <c r="AP123" s="1" t="s">
        <v>102</v>
      </c>
      <c r="AQ123" s="6"/>
      <c r="AR123" s="7">
        <v>3.65</v>
      </c>
      <c r="AS123" s="7">
        <v>3.65</v>
      </c>
      <c r="AT123" s="7"/>
      <c r="AU123" s="7">
        <v>521.5</v>
      </c>
      <c r="AV123" s="7"/>
      <c r="AW123" s="7"/>
      <c r="AX123" s="86">
        <f>AU123/AS123</f>
        <v>142.87671232876713</v>
      </c>
      <c r="AY123" s="1">
        <v>1</v>
      </c>
      <c r="AZ123" s="1" t="s">
        <v>102</v>
      </c>
      <c r="BA123" s="6"/>
      <c r="BB123" s="7">
        <v>3.65</v>
      </c>
      <c r="BC123" s="7">
        <v>3.65</v>
      </c>
      <c r="BD123" s="7"/>
      <c r="BE123" s="201">
        <v>656.1</v>
      </c>
      <c r="BF123" s="7"/>
      <c r="BG123" s="7"/>
      <c r="BH123" s="86">
        <f>BE123/BC123</f>
        <v>179.75342465753425</v>
      </c>
      <c r="BI123" s="1">
        <v>1</v>
      </c>
      <c r="BJ123" s="1" t="s">
        <v>102</v>
      </c>
      <c r="BK123" s="6"/>
      <c r="BL123" s="6">
        <v>5.24</v>
      </c>
      <c r="BM123" s="6">
        <v>5.24</v>
      </c>
      <c r="BN123" s="7"/>
      <c r="BO123" s="7">
        <v>601</v>
      </c>
      <c r="BP123" s="7"/>
      <c r="BQ123" s="7"/>
      <c r="BR123" s="79">
        <f t="shared" si="107"/>
        <v>114.69465648854961</v>
      </c>
      <c r="BS123" s="1">
        <v>1</v>
      </c>
      <c r="BT123" s="1" t="s">
        <v>102</v>
      </c>
      <c r="BU123" s="6"/>
      <c r="BV123" s="6">
        <v>5.24</v>
      </c>
      <c r="BW123" s="7">
        <v>3.65</v>
      </c>
      <c r="BX123" s="7"/>
      <c r="BY123" s="201">
        <v>615.9</v>
      </c>
      <c r="BZ123" s="7"/>
      <c r="CA123" s="7"/>
      <c r="CB123" s="79">
        <f t="shared" si="108"/>
        <v>168.73972602739727</v>
      </c>
      <c r="CC123" s="1">
        <v>1</v>
      </c>
      <c r="CD123" s="1" t="s">
        <v>102</v>
      </c>
      <c r="CE123" s="6"/>
      <c r="CF123" s="7">
        <v>3.65</v>
      </c>
      <c r="CG123" s="7">
        <v>3.65</v>
      </c>
      <c r="CH123" s="7"/>
      <c r="CI123" s="7">
        <v>614.20000000000005</v>
      </c>
      <c r="CJ123" s="7"/>
      <c r="CK123" s="7"/>
      <c r="CL123" s="79">
        <f t="shared" si="109"/>
        <v>168.27397260273975</v>
      </c>
      <c r="CM123" s="1">
        <v>1</v>
      </c>
      <c r="CN123" s="1" t="s">
        <v>102</v>
      </c>
      <c r="CO123" s="6"/>
      <c r="CP123" s="7">
        <v>3.65</v>
      </c>
      <c r="CQ123" s="7">
        <v>3.65</v>
      </c>
      <c r="CR123" s="7"/>
      <c r="CS123" s="7">
        <v>621.9</v>
      </c>
      <c r="CT123" s="7"/>
      <c r="CU123" s="7"/>
      <c r="CV123" s="86">
        <f>CS123/CQ123</f>
        <v>170.38356164383561</v>
      </c>
      <c r="CW123" s="1">
        <v>1</v>
      </c>
      <c r="CX123" s="1" t="s">
        <v>102</v>
      </c>
      <c r="CY123" s="6"/>
      <c r="CZ123" s="7">
        <v>3.65</v>
      </c>
      <c r="DA123" s="7">
        <v>3.65</v>
      </c>
      <c r="DB123" s="7"/>
      <c r="DC123" s="201">
        <v>600.5</v>
      </c>
      <c r="DD123" s="7"/>
      <c r="DE123" s="7"/>
      <c r="DF123" s="79">
        <f t="shared" si="110"/>
        <v>164.52054794520549</v>
      </c>
      <c r="DG123" s="1">
        <v>1</v>
      </c>
      <c r="DH123" s="1" t="s">
        <v>102</v>
      </c>
      <c r="DI123" s="6"/>
      <c r="DJ123" s="7">
        <v>3.65</v>
      </c>
      <c r="DK123" s="7">
        <v>3.65</v>
      </c>
      <c r="DL123" s="7"/>
      <c r="DM123" s="201">
        <v>611.70000000000005</v>
      </c>
      <c r="DN123" s="7"/>
      <c r="DO123" s="7"/>
      <c r="DP123" s="79">
        <f t="shared" si="111"/>
        <v>167.58904109589042</v>
      </c>
      <c r="DQ123" s="1">
        <v>1</v>
      </c>
      <c r="DR123" s="1" t="s">
        <v>102</v>
      </c>
      <c r="DS123" s="6">
        <v>0</v>
      </c>
      <c r="DT123" s="7">
        <f>SUM(D123+N123+X123+AH123+AR123+BB123+BL123+BV123+CF123+CP123+CZ123+DJ123)</f>
        <v>46.98</v>
      </c>
      <c r="DU123" s="7">
        <f>SUM(E123+O123+Y123+AI123+AS123+BC123+BM123+BW123+CG123+CQ123+DA123+DK123)</f>
        <v>45.389999999999993</v>
      </c>
      <c r="DV123" s="7">
        <v>0</v>
      </c>
      <c r="DW123" s="7">
        <f>SUM(G123+Q123+AA123+AK123+AU123+BE123+BO123+BY123+CI123+CS123+DC123+DM123)</f>
        <v>6884.9999999999991</v>
      </c>
      <c r="DX123" s="79">
        <f t="shared" ref="DX123:DX131" si="112">SUM(H123+R123+AB123+AV123+BF123+BP123+BZ123+CJ123+CT123+DD123+DN123+AL123)</f>
        <v>0</v>
      </c>
      <c r="DY123" s="79">
        <f t="shared" ref="DY123:DY131" si="113">SUM(I123+S123+AC123+AM123+AW123+BG123+BQ123+CA123+CK123+CU123+DE123+DO123)</f>
        <v>0</v>
      </c>
      <c r="DZ123" s="86">
        <f>DW123/DU123</f>
        <v>151.68539325842696</v>
      </c>
    </row>
    <row r="124" spans="1:144" x14ac:dyDescent="0.3">
      <c r="A124" s="94">
        <v>2</v>
      </c>
      <c r="B124" s="94" t="s">
        <v>103</v>
      </c>
      <c r="C124" s="51"/>
      <c r="D124" s="95">
        <v>0.24</v>
      </c>
      <c r="E124" s="95">
        <v>0.24</v>
      </c>
      <c r="F124" s="95"/>
      <c r="G124" s="95">
        <v>9.1</v>
      </c>
      <c r="H124" s="95"/>
      <c r="I124" s="95"/>
      <c r="J124" s="86">
        <f t="shared" ref="J124:J131" si="114">G124/E124</f>
        <v>37.916666666666664</v>
      </c>
      <c r="K124" s="94">
        <v>2</v>
      </c>
      <c r="L124" s="94" t="s">
        <v>103</v>
      </c>
      <c r="M124" s="51"/>
      <c r="N124" s="95">
        <v>0.24</v>
      </c>
      <c r="O124" s="95">
        <v>0.24</v>
      </c>
      <c r="P124" s="95"/>
      <c r="Q124" s="95">
        <v>8.8000000000000007</v>
      </c>
      <c r="R124" s="95"/>
      <c r="S124" s="95"/>
      <c r="T124" s="86">
        <v>0</v>
      </c>
      <c r="U124" s="94">
        <v>2</v>
      </c>
      <c r="V124" s="94" t="s">
        <v>103</v>
      </c>
      <c r="W124" s="51">
        <v>0</v>
      </c>
      <c r="X124" s="95">
        <v>0.24</v>
      </c>
      <c r="Y124" s="95">
        <v>0.24</v>
      </c>
      <c r="Z124" s="7">
        <v>0</v>
      </c>
      <c r="AA124" s="95">
        <v>8.9</v>
      </c>
      <c r="AB124" s="95">
        <v>0</v>
      </c>
      <c r="AC124" s="95">
        <v>0</v>
      </c>
      <c r="AD124" s="86">
        <f t="shared" ref="AD124:AD130" si="115">AA124/Y124</f>
        <v>37.083333333333336</v>
      </c>
      <c r="AE124" s="94">
        <v>2</v>
      </c>
      <c r="AF124" s="94" t="s">
        <v>103</v>
      </c>
      <c r="AG124" s="51"/>
      <c r="AH124" s="95">
        <v>0.24</v>
      </c>
      <c r="AI124" s="95">
        <v>0.24</v>
      </c>
      <c r="AJ124" s="95"/>
      <c r="AK124" s="95">
        <v>12.4</v>
      </c>
      <c r="AL124" s="95"/>
      <c r="AM124" s="95"/>
      <c r="AN124" s="86">
        <f>AK124/AI124</f>
        <v>51.666666666666671</v>
      </c>
      <c r="AO124" s="94">
        <v>2</v>
      </c>
      <c r="AP124" s="94" t="s">
        <v>103</v>
      </c>
      <c r="AQ124" s="51"/>
      <c r="AR124" s="95">
        <v>0.24</v>
      </c>
      <c r="AS124" s="95">
        <v>0.24</v>
      </c>
      <c r="AT124" s="95"/>
      <c r="AU124" s="95">
        <v>12.9</v>
      </c>
      <c r="AV124" s="95"/>
      <c r="AW124" s="95"/>
      <c r="AX124" s="86">
        <f>AU124/AS124</f>
        <v>53.75</v>
      </c>
      <c r="AY124" s="94">
        <v>2</v>
      </c>
      <c r="AZ124" s="94" t="s">
        <v>103</v>
      </c>
      <c r="BA124" s="51"/>
      <c r="BB124" s="95">
        <v>0.24</v>
      </c>
      <c r="BC124" s="95">
        <v>0.24</v>
      </c>
      <c r="BD124" s="95"/>
      <c r="BE124" s="204">
        <v>12.6</v>
      </c>
      <c r="BF124" s="95"/>
      <c r="BG124" s="95"/>
      <c r="BH124" s="86">
        <f>BE124/BC124</f>
        <v>52.5</v>
      </c>
      <c r="BI124" s="94">
        <v>2</v>
      </c>
      <c r="BJ124" s="94" t="s">
        <v>103</v>
      </c>
      <c r="BK124" s="6"/>
      <c r="BL124" s="6">
        <v>0.25</v>
      </c>
      <c r="BM124" s="6">
        <v>0.25</v>
      </c>
      <c r="BN124" s="7"/>
      <c r="BO124" s="7">
        <v>14.5</v>
      </c>
      <c r="BP124" s="7"/>
      <c r="BQ124" s="7"/>
      <c r="BR124" s="79">
        <f t="shared" si="107"/>
        <v>58</v>
      </c>
      <c r="BS124" s="94">
        <v>2</v>
      </c>
      <c r="BT124" s="94" t="s">
        <v>103</v>
      </c>
      <c r="BU124" s="6"/>
      <c r="BV124" s="6">
        <v>0.25</v>
      </c>
      <c r="BW124" s="95">
        <v>0.24</v>
      </c>
      <c r="BX124" s="7"/>
      <c r="BY124" s="201">
        <v>15.5</v>
      </c>
      <c r="BZ124" s="7"/>
      <c r="CA124" s="7"/>
      <c r="CB124" s="79">
        <f t="shared" si="108"/>
        <v>64.583333333333343</v>
      </c>
      <c r="CC124" s="94">
        <v>2</v>
      </c>
      <c r="CD124" s="94" t="s">
        <v>103</v>
      </c>
      <c r="CE124" s="6"/>
      <c r="CF124" s="95">
        <v>0.24</v>
      </c>
      <c r="CG124" s="95">
        <v>0.24</v>
      </c>
      <c r="CH124" s="7"/>
      <c r="CI124" s="7">
        <v>15</v>
      </c>
      <c r="CJ124" s="7"/>
      <c r="CK124" s="7"/>
      <c r="CL124" s="79">
        <f t="shared" si="109"/>
        <v>62.5</v>
      </c>
      <c r="CM124" s="94">
        <v>2</v>
      </c>
      <c r="CN124" s="94" t="s">
        <v>103</v>
      </c>
      <c r="CO124" s="6"/>
      <c r="CP124" s="95">
        <v>0.24</v>
      </c>
      <c r="CQ124" s="95">
        <v>0.24</v>
      </c>
      <c r="CR124" s="7"/>
      <c r="CS124" s="7">
        <v>15.8</v>
      </c>
      <c r="CT124" s="7"/>
      <c r="CU124" s="7"/>
      <c r="CV124" s="86">
        <f t="shared" ref="CV124:CV130" si="116">CS124/CQ124</f>
        <v>65.833333333333343</v>
      </c>
      <c r="CW124" s="94">
        <v>2</v>
      </c>
      <c r="CX124" s="94" t="s">
        <v>103</v>
      </c>
      <c r="CY124" s="6"/>
      <c r="CZ124" s="95">
        <v>0.24</v>
      </c>
      <c r="DA124" s="95">
        <v>0.24</v>
      </c>
      <c r="DB124" s="7"/>
      <c r="DC124" s="201">
        <v>13.4</v>
      </c>
      <c r="DD124" s="7"/>
      <c r="DE124" s="7"/>
      <c r="DF124" s="79">
        <f t="shared" si="110"/>
        <v>55.833333333333336</v>
      </c>
      <c r="DG124" s="94">
        <v>2</v>
      </c>
      <c r="DH124" s="94" t="s">
        <v>103</v>
      </c>
      <c r="DI124" s="6"/>
      <c r="DJ124" s="95">
        <v>0.24</v>
      </c>
      <c r="DK124" s="95">
        <v>0.24</v>
      </c>
      <c r="DL124" s="7"/>
      <c r="DM124" s="201">
        <v>11.6</v>
      </c>
      <c r="DN124" s="7"/>
      <c r="DO124" s="7"/>
      <c r="DP124" s="79">
        <f t="shared" si="111"/>
        <v>48.333333333333336</v>
      </c>
      <c r="DQ124" s="94">
        <v>2</v>
      </c>
      <c r="DR124" s="94" t="s">
        <v>103</v>
      </c>
      <c r="DS124" s="6">
        <v>0</v>
      </c>
      <c r="DT124" s="7">
        <f t="shared" ref="DT124:DT131" si="117">SUM(D124+N124+X124+AH124+AR124+BB124+BL124+BV124+CF124+CP124+CZ124+DJ124)</f>
        <v>2.9000000000000004</v>
      </c>
      <c r="DU124" s="7">
        <f t="shared" ref="DU124:DU131" si="118">SUM(E124+O124+Y124+AI124+AS124+BC124+BM124+BW124+CG124+CQ124+DA124+DK124)</f>
        <v>2.8900000000000006</v>
      </c>
      <c r="DV124" s="7">
        <v>0</v>
      </c>
      <c r="DW124" s="7">
        <f t="shared" ref="DW124:DW131" si="119">SUM(G124+Q124+AA124+AK124+AU124+BE124+BO124+BY124+CI124+CS124+DC124+DM124)</f>
        <v>150.49999999999997</v>
      </c>
      <c r="DX124" s="79">
        <f t="shared" si="112"/>
        <v>0</v>
      </c>
      <c r="DY124" s="79">
        <f t="shared" si="113"/>
        <v>0</v>
      </c>
      <c r="DZ124" s="86">
        <f t="shared" ref="DZ124:DZ130" si="120">DW124/DU124</f>
        <v>52.076124567474025</v>
      </c>
    </row>
    <row r="125" spans="1:144" x14ac:dyDescent="0.3">
      <c r="A125" s="1">
        <v>3</v>
      </c>
      <c r="B125" s="1" t="s">
        <v>78</v>
      </c>
      <c r="C125" s="6"/>
      <c r="D125" s="7">
        <v>4.1900000000000004</v>
      </c>
      <c r="E125" s="7">
        <v>4.1900000000000004</v>
      </c>
      <c r="F125" s="7"/>
      <c r="G125" s="7">
        <v>850</v>
      </c>
      <c r="H125" s="7"/>
      <c r="I125" s="7"/>
      <c r="J125" s="86">
        <f t="shared" si="114"/>
        <v>202.86396181384245</v>
      </c>
      <c r="K125" s="1">
        <v>3</v>
      </c>
      <c r="L125" s="1" t="s">
        <v>78</v>
      </c>
      <c r="M125" s="6"/>
      <c r="N125" s="7">
        <v>4.1900000000000004</v>
      </c>
      <c r="O125" s="7">
        <v>4.1900000000000004</v>
      </c>
      <c r="P125" s="7"/>
      <c r="Q125" s="7">
        <v>825</v>
      </c>
      <c r="R125" s="7"/>
      <c r="S125" s="7"/>
      <c r="T125" s="86">
        <v>0</v>
      </c>
      <c r="U125" s="1">
        <v>3</v>
      </c>
      <c r="V125" s="1" t="s">
        <v>78</v>
      </c>
      <c r="W125" s="6">
        <v>0</v>
      </c>
      <c r="X125" s="7">
        <v>4.1900000000000004</v>
      </c>
      <c r="Y125" s="7">
        <v>4.1900000000000004</v>
      </c>
      <c r="Z125" s="7">
        <v>0</v>
      </c>
      <c r="AA125" s="7">
        <v>800.1</v>
      </c>
      <c r="AB125" s="7">
        <v>0</v>
      </c>
      <c r="AC125" s="7">
        <v>0</v>
      </c>
      <c r="AD125" s="86">
        <f t="shared" si="115"/>
        <v>190.95465393794748</v>
      </c>
      <c r="AE125" s="1">
        <v>3</v>
      </c>
      <c r="AF125" s="1" t="s">
        <v>78</v>
      </c>
      <c r="AG125" s="6"/>
      <c r="AH125" s="7">
        <v>4.1900000000000004</v>
      </c>
      <c r="AI125" s="7">
        <v>4.1900000000000004</v>
      </c>
      <c r="AJ125" s="7"/>
      <c r="AK125" s="7">
        <v>839</v>
      </c>
      <c r="AL125" s="7"/>
      <c r="AM125" s="7"/>
      <c r="AN125" s="86">
        <f>AK125/AI125</f>
        <v>200.23866348448686</v>
      </c>
      <c r="AO125" s="1">
        <v>3</v>
      </c>
      <c r="AP125" s="1" t="s">
        <v>78</v>
      </c>
      <c r="AQ125" s="6"/>
      <c r="AR125" s="7">
        <v>4.1900000000000004</v>
      </c>
      <c r="AS125" s="7">
        <v>4.1900000000000004</v>
      </c>
      <c r="AT125" s="7"/>
      <c r="AU125" s="7">
        <v>855</v>
      </c>
      <c r="AV125" s="7"/>
      <c r="AW125" s="7"/>
      <c r="AX125" s="86">
        <f>AU125/AS125</f>
        <v>204.05727923627683</v>
      </c>
      <c r="AY125" s="1">
        <v>3</v>
      </c>
      <c r="AZ125" s="1" t="s">
        <v>78</v>
      </c>
      <c r="BA125" s="6"/>
      <c r="BB125" s="7">
        <v>4.1900000000000004</v>
      </c>
      <c r="BC125" s="7">
        <v>4.1900000000000004</v>
      </c>
      <c r="BD125" s="7"/>
      <c r="BE125" s="201">
        <v>891</v>
      </c>
      <c r="BF125" s="7"/>
      <c r="BG125" s="7"/>
      <c r="BH125" s="86">
        <f>BE125/BC125</f>
        <v>212.64916467780427</v>
      </c>
      <c r="BI125" s="1">
        <v>3</v>
      </c>
      <c r="BJ125" s="1" t="s">
        <v>78</v>
      </c>
      <c r="BK125" s="6"/>
      <c r="BL125" s="6">
        <v>4.45</v>
      </c>
      <c r="BM125" s="6">
        <v>4.45</v>
      </c>
      <c r="BN125" s="7"/>
      <c r="BO125" s="7">
        <v>814.2</v>
      </c>
      <c r="BP125" s="7"/>
      <c r="BQ125" s="7"/>
      <c r="BR125" s="79">
        <f t="shared" si="107"/>
        <v>182.96629213483146</v>
      </c>
      <c r="BS125" s="1">
        <v>3</v>
      </c>
      <c r="BT125" s="1" t="s">
        <v>78</v>
      </c>
      <c r="BU125" s="6"/>
      <c r="BV125" s="6">
        <v>4.45</v>
      </c>
      <c r="BW125" s="7">
        <v>4.1900000000000004</v>
      </c>
      <c r="BX125" s="7"/>
      <c r="BY125" s="201">
        <v>809</v>
      </c>
      <c r="BZ125" s="7"/>
      <c r="CA125" s="7"/>
      <c r="CB125" s="79">
        <f t="shared" si="108"/>
        <v>193.07875894988064</v>
      </c>
      <c r="CC125" s="1">
        <v>3</v>
      </c>
      <c r="CD125" s="1" t="s">
        <v>78</v>
      </c>
      <c r="CE125" s="6"/>
      <c r="CF125" s="7">
        <v>4.1900000000000004</v>
      </c>
      <c r="CG125" s="7">
        <v>4.1900000000000004</v>
      </c>
      <c r="CH125" s="7"/>
      <c r="CI125" s="7">
        <v>810.5</v>
      </c>
      <c r="CJ125" s="7"/>
      <c r="CK125" s="7"/>
      <c r="CL125" s="79">
        <f t="shared" si="109"/>
        <v>193.43675417661095</v>
      </c>
      <c r="CM125" s="1">
        <v>3</v>
      </c>
      <c r="CN125" s="1" t="s">
        <v>78</v>
      </c>
      <c r="CO125" s="6"/>
      <c r="CP125" s="7">
        <v>4.1900000000000004</v>
      </c>
      <c r="CQ125" s="7">
        <v>4.1900000000000004</v>
      </c>
      <c r="CR125" s="7"/>
      <c r="CS125" s="7">
        <v>828.5</v>
      </c>
      <c r="CT125" s="7"/>
      <c r="CU125" s="7"/>
      <c r="CV125" s="86">
        <f t="shared" si="116"/>
        <v>197.73269689737469</v>
      </c>
      <c r="CW125" s="1">
        <v>3</v>
      </c>
      <c r="CX125" s="1" t="s">
        <v>78</v>
      </c>
      <c r="CY125" s="6"/>
      <c r="CZ125" s="7">
        <v>4.1900000000000004</v>
      </c>
      <c r="DA125" s="7">
        <v>4.1900000000000004</v>
      </c>
      <c r="DB125" s="7"/>
      <c r="DC125" s="201">
        <v>816</v>
      </c>
      <c r="DD125" s="7"/>
      <c r="DE125" s="7"/>
      <c r="DF125" s="79">
        <f t="shared" si="110"/>
        <v>194.74940334128877</v>
      </c>
      <c r="DG125" s="1">
        <v>3</v>
      </c>
      <c r="DH125" s="1" t="s">
        <v>78</v>
      </c>
      <c r="DI125" s="6"/>
      <c r="DJ125" s="7">
        <v>4.1900000000000004</v>
      </c>
      <c r="DK125" s="7">
        <v>4.1900000000000004</v>
      </c>
      <c r="DL125" s="7"/>
      <c r="DM125" s="201">
        <v>805</v>
      </c>
      <c r="DN125" s="7"/>
      <c r="DO125" s="7"/>
      <c r="DP125" s="79">
        <f t="shared" si="111"/>
        <v>192.12410501193315</v>
      </c>
      <c r="DQ125" s="1">
        <v>3</v>
      </c>
      <c r="DR125" s="1" t="s">
        <v>78</v>
      </c>
      <c r="DS125" s="6">
        <v>0</v>
      </c>
      <c r="DT125" s="7">
        <f t="shared" si="117"/>
        <v>50.8</v>
      </c>
      <c r="DU125" s="7">
        <f t="shared" si="118"/>
        <v>50.539999999999992</v>
      </c>
      <c r="DV125" s="7">
        <v>0</v>
      </c>
      <c r="DW125" s="7">
        <f t="shared" si="119"/>
        <v>9943.2999999999993</v>
      </c>
      <c r="DX125" s="79">
        <f t="shared" si="112"/>
        <v>0</v>
      </c>
      <c r="DY125" s="79">
        <f t="shared" si="113"/>
        <v>0</v>
      </c>
      <c r="DZ125" s="86">
        <f t="shared" si="120"/>
        <v>196.74119509299567</v>
      </c>
    </row>
    <row r="126" spans="1:144" x14ac:dyDescent="0.3">
      <c r="A126" s="1">
        <v>4</v>
      </c>
      <c r="B126" s="1" t="s">
        <v>77</v>
      </c>
      <c r="C126" s="6"/>
      <c r="D126" s="7">
        <v>0.65</v>
      </c>
      <c r="E126" s="7">
        <v>0.65</v>
      </c>
      <c r="F126" s="7"/>
      <c r="G126" s="7">
        <v>36.5</v>
      </c>
      <c r="H126" s="7"/>
      <c r="I126" s="7"/>
      <c r="J126" s="86">
        <f t="shared" si="114"/>
        <v>56.153846153846153</v>
      </c>
      <c r="K126" s="1">
        <v>4</v>
      </c>
      <c r="L126" s="1" t="s">
        <v>77</v>
      </c>
      <c r="M126" s="6"/>
      <c r="N126" s="7">
        <v>0.65</v>
      </c>
      <c r="O126" s="7">
        <v>0.65</v>
      </c>
      <c r="P126" s="7"/>
      <c r="Q126" s="7">
        <v>33.9</v>
      </c>
      <c r="R126" s="7"/>
      <c r="S126" s="7"/>
      <c r="T126" s="86">
        <v>0</v>
      </c>
      <c r="U126" s="1">
        <v>4</v>
      </c>
      <c r="V126" s="1" t="s">
        <v>77</v>
      </c>
      <c r="W126" s="6">
        <v>0</v>
      </c>
      <c r="X126" s="7">
        <v>0.65</v>
      </c>
      <c r="Y126" s="7">
        <v>0.65</v>
      </c>
      <c r="Z126" s="7">
        <v>0</v>
      </c>
      <c r="AA126" s="7">
        <v>26.6</v>
      </c>
      <c r="AB126" s="7">
        <v>0</v>
      </c>
      <c r="AC126" s="7">
        <v>0</v>
      </c>
      <c r="AD126" s="86">
        <f t="shared" si="115"/>
        <v>40.923076923076927</v>
      </c>
      <c r="AE126" s="1">
        <v>4</v>
      </c>
      <c r="AF126" s="1" t="s">
        <v>77</v>
      </c>
      <c r="AG126" s="6"/>
      <c r="AH126" s="7">
        <v>0.65</v>
      </c>
      <c r="AI126" s="7">
        <v>0.65</v>
      </c>
      <c r="AJ126" s="7"/>
      <c r="AK126" s="7">
        <v>32.6</v>
      </c>
      <c r="AL126" s="7"/>
      <c r="AM126" s="7"/>
      <c r="AN126" s="86">
        <f>AK126/AI126</f>
        <v>50.153846153846153</v>
      </c>
      <c r="AO126" s="1">
        <v>4</v>
      </c>
      <c r="AP126" s="1" t="s">
        <v>77</v>
      </c>
      <c r="AQ126" s="6"/>
      <c r="AR126" s="7">
        <v>0.65</v>
      </c>
      <c r="AS126" s="7">
        <v>0.65</v>
      </c>
      <c r="AT126" s="7"/>
      <c r="AU126" s="7">
        <v>41.8</v>
      </c>
      <c r="AV126" s="7"/>
      <c r="AW126" s="7"/>
      <c r="AX126" s="86">
        <f>AU126/AS126</f>
        <v>64.307692307692307</v>
      </c>
      <c r="AY126" s="1">
        <v>4</v>
      </c>
      <c r="AZ126" s="1" t="s">
        <v>77</v>
      </c>
      <c r="BA126" s="6"/>
      <c r="BB126" s="7">
        <v>0.65</v>
      </c>
      <c r="BC126" s="7">
        <v>0.65</v>
      </c>
      <c r="BD126" s="7"/>
      <c r="BE126" s="201">
        <v>42.95</v>
      </c>
      <c r="BF126" s="7"/>
      <c r="BG126" s="7"/>
      <c r="BH126" s="86">
        <f>BE126/BC126</f>
        <v>66.07692307692308</v>
      </c>
      <c r="BI126" s="1">
        <v>4</v>
      </c>
      <c r="BJ126" s="1" t="s">
        <v>77</v>
      </c>
      <c r="BK126" s="6"/>
      <c r="BL126" s="6">
        <v>0.85</v>
      </c>
      <c r="BM126" s="6">
        <v>0.85</v>
      </c>
      <c r="BN126" s="7"/>
      <c r="BO126" s="7">
        <v>20.98</v>
      </c>
      <c r="BP126" s="7"/>
      <c r="BQ126" s="7"/>
      <c r="BR126" s="79">
        <f t="shared" si="107"/>
        <v>24.682352941176472</v>
      </c>
      <c r="BS126" s="1">
        <v>4</v>
      </c>
      <c r="BT126" s="1" t="s">
        <v>77</v>
      </c>
      <c r="BU126" s="6"/>
      <c r="BV126" s="6">
        <v>0.85</v>
      </c>
      <c r="BW126" s="7">
        <v>0.65</v>
      </c>
      <c r="BX126" s="7"/>
      <c r="BY126" s="201">
        <v>21.78</v>
      </c>
      <c r="BZ126" s="7"/>
      <c r="CA126" s="7"/>
      <c r="CB126" s="79">
        <f t="shared" si="108"/>
        <v>33.507692307692309</v>
      </c>
      <c r="CC126" s="1">
        <v>4</v>
      </c>
      <c r="CD126" s="1" t="s">
        <v>77</v>
      </c>
      <c r="CE126" s="6"/>
      <c r="CF126" s="7">
        <v>0.65</v>
      </c>
      <c r="CG126" s="7">
        <v>0.65</v>
      </c>
      <c r="CH126" s="7"/>
      <c r="CI126" s="7">
        <v>20.95</v>
      </c>
      <c r="CJ126" s="7"/>
      <c r="CK126" s="7"/>
      <c r="CL126" s="79">
        <f t="shared" si="109"/>
        <v>32.230769230769226</v>
      </c>
      <c r="CM126" s="1">
        <v>4</v>
      </c>
      <c r="CN126" s="1" t="s">
        <v>77</v>
      </c>
      <c r="CO126" s="6"/>
      <c r="CP126" s="7">
        <v>0.65</v>
      </c>
      <c r="CQ126" s="7">
        <v>0.65</v>
      </c>
      <c r="CR126" s="7"/>
      <c r="CS126" s="7">
        <v>22.25</v>
      </c>
      <c r="CT126" s="7"/>
      <c r="CU126" s="7"/>
      <c r="CV126" s="86">
        <f t="shared" si="116"/>
        <v>34.230769230769226</v>
      </c>
      <c r="CW126" s="1">
        <v>4</v>
      </c>
      <c r="CX126" s="1" t="s">
        <v>77</v>
      </c>
      <c r="CY126" s="6"/>
      <c r="CZ126" s="7">
        <v>0.65</v>
      </c>
      <c r="DA126" s="7">
        <v>0.65</v>
      </c>
      <c r="DB126" s="7"/>
      <c r="DC126" s="201">
        <v>22.31</v>
      </c>
      <c r="DD126" s="7"/>
      <c r="DE126" s="7"/>
      <c r="DF126" s="79">
        <f t="shared" si="110"/>
        <v>34.323076923076918</v>
      </c>
      <c r="DG126" s="1">
        <v>4</v>
      </c>
      <c r="DH126" s="1" t="s">
        <v>77</v>
      </c>
      <c r="DI126" s="6"/>
      <c r="DJ126" s="7">
        <v>0.65</v>
      </c>
      <c r="DK126" s="7">
        <v>0.65</v>
      </c>
      <c r="DL126" s="7"/>
      <c r="DM126" s="201">
        <v>22.5</v>
      </c>
      <c r="DN126" s="7"/>
      <c r="DO126" s="7"/>
      <c r="DP126" s="79">
        <f t="shared" si="111"/>
        <v>34.615384615384613</v>
      </c>
      <c r="DQ126" s="1">
        <v>4</v>
      </c>
      <c r="DR126" s="1" t="s">
        <v>77</v>
      </c>
      <c r="DS126" s="6">
        <v>0</v>
      </c>
      <c r="DT126" s="7">
        <f t="shared" si="117"/>
        <v>8.2000000000000011</v>
      </c>
      <c r="DU126" s="7">
        <f t="shared" si="118"/>
        <v>8.0000000000000018</v>
      </c>
      <c r="DV126" s="7">
        <v>0</v>
      </c>
      <c r="DW126" s="7">
        <f t="shared" si="119"/>
        <v>345.11999999999995</v>
      </c>
      <c r="DX126" s="79">
        <f t="shared" si="112"/>
        <v>0</v>
      </c>
      <c r="DY126" s="79">
        <f t="shared" si="113"/>
        <v>0</v>
      </c>
      <c r="DZ126" s="86">
        <f t="shared" si="120"/>
        <v>43.139999999999986</v>
      </c>
    </row>
    <row r="127" spans="1:144" x14ac:dyDescent="0.3">
      <c r="A127" s="1">
        <v>5</v>
      </c>
      <c r="B127" s="1" t="s">
        <v>76</v>
      </c>
      <c r="C127" s="6"/>
      <c r="D127" s="7">
        <v>0</v>
      </c>
      <c r="E127" s="7">
        <v>0</v>
      </c>
      <c r="F127" s="7"/>
      <c r="G127" s="7">
        <v>0</v>
      </c>
      <c r="H127" s="7"/>
      <c r="I127" s="7"/>
      <c r="J127" s="86" t="e">
        <f t="shared" si="114"/>
        <v>#DIV/0!</v>
      </c>
      <c r="K127" s="1">
        <v>5</v>
      </c>
      <c r="L127" s="1" t="s">
        <v>76</v>
      </c>
      <c r="M127" s="6"/>
      <c r="N127" s="7">
        <v>0</v>
      </c>
      <c r="O127" s="7">
        <v>0</v>
      </c>
      <c r="P127" s="7"/>
      <c r="Q127" s="7">
        <v>0</v>
      </c>
      <c r="R127" s="7"/>
      <c r="S127" s="7"/>
      <c r="T127" s="86">
        <v>0</v>
      </c>
      <c r="U127" s="1">
        <v>5</v>
      </c>
      <c r="V127" s="1" t="s">
        <v>76</v>
      </c>
      <c r="W127" s="6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86">
        <v>0</v>
      </c>
      <c r="AE127" s="1">
        <v>5</v>
      </c>
      <c r="AF127" s="1" t="s">
        <v>76</v>
      </c>
      <c r="AG127" s="6"/>
      <c r="AH127" s="7">
        <v>0</v>
      </c>
      <c r="AI127" s="7">
        <v>0</v>
      </c>
      <c r="AJ127" s="7"/>
      <c r="AK127" s="7">
        <v>0</v>
      </c>
      <c r="AL127" s="7"/>
      <c r="AM127" s="7"/>
      <c r="AN127" s="86">
        <v>0</v>
      </c>
      <c r="AO127" s="1">
        <v>5</v>
      </c>
      <c r="AP127" s="1" t="s">
        <v>76</v>
      </c>
      <c r="AQ127" s="6"/>
      <c r="AR127" s="7">
        <v>0</v>
      </c>
      <c r="AS127" s="7">
        <v>0</v>
      </c>
      <c r="AT127" s="7"/>
      <c r="AU127" s="7">
        <v>0</v>
      </c>
      <c r="AV127" s="7"/>
      <c r="AW127" s="7"/>
      <c r="AX127" s="86">
        <v>0</v>
      </c>
      <c r="AY127" s="1">
        <v>5</v>
      </c>
      <c r="AZ127" s="1" t="s">
        <v>76</v>
      </c>
      <c r="BA127" s="6"/>
      <c r="BB127" s="7"/>
      <c r="BC127" s="7"/>
      <c r="BD127" s="7"/>
      <c r="BE127" s="201">
        <v>0</v>
      </c>
      <c r="BF127" s="7"/>
      <c r="BG127" s="7"/>
      <c r="BH127" s="86">
        <v>0</v>
      </c>
      <c r="BI127" s="1">
        <v>5</v>
      </c>
      <c r="BJ127" s="1" t="s">
        <v>76</v>
      </c>
      <c r="BK127" s="6"/>
      <c r="BL127" s="6"/>
      <c r="BM127" s="6"/>
      <c r="BN127" s="7"/>
      <c r="BO127" s="7">
        <v>0</v>
      </c>
      <c r="BP127" s="7"/>
      <c r="BQ127" s="7"/>
      <c r="BR127" s="79" t="e">
        <f t="shared" si="107"/>
        <v>#DIV/0!</v>
      </c>
      <c r="BS127" s="1">
        <v>5</v>
      </c>
      <c r="BT127" s="1" t="s">
        <v>76</v>
      </c>
      <c r="BU127" s="6"/>
      <c r="BV127" s="6"/>
      <c r="BW127" s="7"/>
      <c r="BX127" s="7"/>
      <c r="BY127" s="201">
        <v>0</v>
      </c>
      <c r="BZ127" s="7"/>
      <c r="CA127" s="7"/>
      <c r="CB127" s="79" t="e">
        <f t="shared" si="108"/>
        <v>#DIV/0!</v>
      </c>
      <c r="CC127" s="1">
        <v>5</v>
      </c>
      <c r="CD127" s="1" t="s">
        <v>76</v>
      </c>
      <c r="CE127" s="6"/>
      <c r="CF127" s="7"/>
      <c r="CG127" s="7"/>
      <c r="CH127" s="7"/>
      <c r="CI127" s="7">
        <v>0</v>
      </c>
      <c r="CJ127" s="7"/>
      <c r="CK127" s="7"/>
      <c r="CL127" s="79" t="e">
        <f t="shared" si="109"/>
        <v>#DIV/0!</v>
      </c>
      <c r="CM127" s="1">
        <v>5</v>
      </c>
      <c r="CN127" s="1" t="s">
        <v>76</v>
      </c>
      <c r="CO127" s="6"/>
      <c r="CP127" s="7"/>
      <c r="CQ127" s="7"/>
      <c r="CR127" s="7"/>
      <c r="CS127" s="7">
        <v>0</v>
      </c>
      <c r="CT127" s="7"/>
      <c r="CU127" s="7"/>
      <c r="CV127" s="86">
        <v>0</v>
      </c>
      <c r="CW127" s="1">
        <v>5</v>
      </c>
      <c r="CX127" s="1" t="s">
        <v>76</v>
      </c>
      <c r="CY127" s="6"/>
      <c r="CZ127" s="7"/>
      <c r="DA127" s="7"/>
      <c r="DB127" s="7"/>
      <c r="DC127" s="201">
        <v>0</v>
      </c>
      <c r="DD127" s="7"/>
      <c r="DE127" s="7"/>
      <c r="DF127" s="79" t="e">
        <f t="shared" si="110"/>
        <v>#DIV/0!</v>
      </c>
      <c r="DG127" s="1">
        <v>5</v>
      </c>
      <c r="DH127" s="1" t="s">
        <v>76</v>
      </c>
      <c r="DI127" s="6"/>
      <c r="DJ127" s="7"/>
      <c r="DK127" s="7"/>
      <c r="DL127" s="7"/>
      <c r="DM127" s="201">
        <v>0</v>
      </c>
      <c r="DN127" s="7"/>
      <c r="DO127" s="7"/>
      <c r="DP127" s="79" t="e">
        <f t="shared" si="111"/>
        <v>#DIV/0!</v>
      </c>
      <c r="DQ127" s="1">
        <v>5</v>
      </c>
      <c r="DR127" s="1" t="s">
        <v>76</v>
      </c>
      <c r="DS127" s="6">
        <v>0</v>
      </c>
      <c r="DT127" s="7">
        <f t="shared" si="117"/>
        <v>0</v>
      </c>
      <c r="DU127" s="7">
        <f t="shared" si="118"/>
        <v>0</v>
      </c>
      <c r="DV127" s="7">
        <v>0</v>
      </c>
      <c r="DW127" s="7">
        <f t="shared" si="119"/>
        <v>0</v>
      </c>
      <c r="DX127" s="79">
        <f t="shared" si="112"/>
        <v>0</v>
      </c>
      <c r="DY127" s="79">
        <f t="shared" si="113"/>
        <v>0</v>
      </c>
      <c r="DZ127" s="86">
        <v>0</v>
      </c>
    </row>
    <row r="128" spans="1:144" s="30" customFormat="1" x14ac:dyDescent="0.3">
      <c r="A128" s="1">
        <v>6</v>
      </c>
      <c r="B128" s="1" t="s">
        <v>79</v>
      </c>
      <c r="C128" s="6"/>
      <c r="D128" s="7">
        <v>0.03</v>
      </c>
      <c r="E128" s="7">
        <v>0.03</v>
      </c>
      <c r="F128" s="7"/>
      <c r="G128" s="7">
        <v>1.1200000000000001</v>
      </c>
      <c r="H128" s="7"/>
      <c r="I128" s="7"/>
      <c r="J128" s="86">
        <f t="shared" si="114"/>
        <v>37.333333333333336</v>
      </c>
      <c r="K128" s="1">
        <v>6</v>
      </c>
      <c r="L128" s="1" t="s">
        <v>79</v>
      </c>
      <c r="M128" s="6"/>
      <c r="N128" s="7">
        <v>0.03</v>
      </c>
      <c r="O128" s="7">
        <v>0.03</v>
      </c>
      <c r="P128" s="7"/>
      <c r="Q128" s="7">
        <v>1.1000000000000001</v>
      </c>
      <c r="R128" s="7"/>
      <c r="S128" s="7"/>
      <c r="T128" s="86">
        <v>0</v>
      </c>
      <c r="U128" s="1">
        <v>6</v>
      </c>
      <c r="V128" s="1" t="s">
        <v>79</v>
      </c>
      <c r="W128" s="6">
        <v>0</v>
      </c>
      <c r="X128" s="7">
        <v>0.03</v>
      </c>
      <c r="Y128" s="7">
        <v>0.03</v>
      </c>
      <c r="Z128" s="7">
        <v>0</v>
      </c>
      <c r="AA128" s="7">
        <v>1.4</v>
      </c>
      <c r="AB128" s="7">
        <v>0</v>
      </c>
      <c r="AC128" s="7">
        <v>0</v>
      </c>
      <c r="AD128" s="86">
        <f t="shared" si="115"/>
        <v>46.666666666666664</v>
      </c>
      <c r="AE128" s="1">
        <v>6</v>
      </c>
      <c r="AF128" s="1" t="s">
        <v>79</v>
      </c>
      <c r="AG128" s="6"/>
      <c r="AH128" s="7">
        <v>0.03</v>
      </c>
      <c r="AI128" s="7">
        <v>0.03</v>
      </c>
      <c r="AJ128" s="7"/>
      <c r="AK128" s="7">
        <v>1.6</v>
      </c>
      <c r="AL128" s="7"/>
      <c r="AM128" s="7"/>
      <c r="AN128" s="86">
        <f>AK128/AI128</f>
        <v>53.333333333333336</v>
      </c>
      <c r="AO128" s="1">
        <v>6</v>
      </c>
      <c r="AP128" s="1" t="s">
        <v>79</v>
      </c>
      <c r="AQ128" s="6"/>
      <c r="AR128" s="7">
        <v>0.03</v>
      </c>
      <c r="AS128" s="7">
        <v>0.03</v>
      </c>
      <c r="AT128" s="7"/>
      <c r="AU128" s="7">
        <v>1.6</v>
      </c>
      <c r="AV128" s="7"/>
      <c r="AW128" s="7"/>
      <c r="AX128" s="86">
        <f>AU128/AS128</f>
        <v>53.333333333333336</v>
      </c>
      <c r="AY128" s="1">
        <v>6</v>
      </c>
      <c r="AZ128" s="1" t="s">
        <v>79</v>
      </c>
      <c r="BA128" s="6"/>
      <c r="BB128" s="7">
        <v>0.03</v>
      </c>
      <c r="BC128" s="7">
        <v>0.03</v>
      </c>
      <c r="BD128" s="7"/>
      <c r="BE128" s="201">
        <v>1.2</v>
      </c>
      <c r="BF128" s="7"/>
      <c r="BG128" s="7"/>
      <c r="BH128" s="86">
        <f>BE128/BC128</f>
        <v>40</v>
      </c>
      <c r="BI128" s="1">
        <v>6</v>
      </c>
      <c r="BJ128" s="1" t="s">
        <v>79</v>
      </c>
      <c r="BK128" s="6"/>
      <c r="BL128" s="6">
        <v>0.02</v>
      </c>
      <c r="BM128" s="6">
        <v>0.02</v>
      </c>
      <c r="BN128" s="7"/>
      <c r="BO128" s="7">
        <v>1.1000000000000001</v>
      </c>
      <c r="BP128" s="7"/>
      <c r="BQ128" s="7"/>
      <c r="BR128" s="79">
        <f t="shared" si="107"/>
        <v>55</v>
      </c>
      <c r="BS128" s="1">
        <v>6</v>
      </c>
      <c r="BT128" s="1" t="s">
        <v>79</v>
      </c>
      <c r="BU128" s="6"/>
      <c r="BV128" s="6">
        <v>0.02</v>
      </c>
      <c r="BW128" s="7">
        <v>0.03</v>
      </c>
      <c r="BX128" s="7"/>
      <c r="BY128" s="201">
        <v>1</v>
      </c>
      <c r="BZ128" s="7"/>
      <c r="CA128" s="7"/>
      <c r="CB128" s="79">
        <f t="shared" si="108"/>
        <v>33.333333333333336</v>
      </c>
      <c r="CC128" s="1">
        <v>6</v>
      </c>
      <c r="CD128" s="1" t="s">
        <v>79</v>
      </c>
      <c r="CE128" s="6"/>
      <c r="CF128" s="7">
        <v>0.03</v>
      </c>
      <c r="CG128" s="7">
        <v>0.03</v>
      </c>
      <c r="CH128" s="7"/>
      <c r="CI128" s="7">
        <v>1</v>
      </c>
      <c r="CJ128" s="7"/>
      <c r="CK128" s="7"/>
      <c r="CL128" s="79">
        <f t="shared" si="109"/>
        <v>33.333333333333336</v>
      </c>
      <c r="CM128" s="1">
        <v>6</v>
      </c>
      <c r="CN128" s="1" t="s">
        <v>79</v>
      </c>
      <c r="CO128" s="6"/>
      <c r="CP128" s="7">
        <v>0.03</v>
      </c>
      <c r="CQ128" s="7">
        <v>0.03</v>
      </c>
      <c r="CR128" s="7"/>
      <c r="CS128" s="7">
        <v>1.1000000000000001</v>
      </c>
      <c r="CT128" s="7"/>
      <c r="CU128" s="7"/>
      <c r="CV128" s="86">
        <f t="shared" si="116"/>
        <v>36.666666666666671</v>
      </c>
      <c r="CW128" s="1">
        <v>6</v>
      </c>
      <c r="CX128" s="1" t="s">
        <v>79</v>
      </c>
      <c r="CY128" s="6"/>
      <c r="CZ128" s="7">
        <v>0.03</v>
      </c>
      <c r="DA128" s="7">
        <v>0.03</v>
      </c>
      <c r="DB128" s="7"/>
      <c r="DC128" s="201">
        <v>0.8</v>
      </c>
      <c r="DD128" s="7"/>
      <c r="DE128" s="7"/>
      <c r="DF128" s="79">
        <f t="shared" si="110"/>
        <v>26.666666666666668</v>
      </c>
      <c r="DG128" s="1">
        <v>6</v>
      </c>
      <c r="DH128" s="1" t="s">
        <v>79</v>
      </c>
      <c r="DI128" s="6"/>
      <c r="DJ128" s="7">
        <v>0.03</v>
      </c>
      <c r="DK128" s="7">
        <v>0.03</v>
      </c>
      <c r="DL128" s="7"/>
      <c r="DM128" s="201">
        <v>0.75</v>
      </c>
      <c r="DN128" s="7"/>
      <c r="DO128" s="7"/>
      <c r="DP128" s="79">
        <f t="shared" si="111"/>
        <v>25</v>
      </c>
      <c r="DQ128" s="1">
        <v>6</v>
      </c>
      <c r="DR128" s="1" t="s">
        <v>79</v>
      </c>
      <c r="DS128" s="6">
        <v>0</v>
      </c>
      <c r="DT128" s="7">
        <f t="shared" si="117"/>
        <v>0.33999999999999997</v>
      </c>
      <c r="DU128" s="7">
        <f t="shared" si="118"/>
        <v>0.35000000000000009</v>
      </c>
      <c r="DV128" s="7">
        <v>0</v>
      </c>
      <c r="DW128" s="7">
        <f t="shared" si="119"/>
        <v>13.77</v>
      </c>
      <c r="DX128" s="79">
        <f t="shared" si="112"/>
        <v>0</v>
      </c>
      <c r="DY128" s="79">
        <f t="shared" si="113"/>
        <v>0</v>
      </c>
      <c r="DZ128" s="86">
        <f t="shared" si="120"/>
        <v>39.342857142857135</v>
      </c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</row>
    <row r="129" spans="1:144" x14ac:dyDescent="0.3">
      <c r="A129" s="1">
        <v>7</v>
      </c>
      <c r="B129" s="1" t="s">
        <v>80</v>
      </c>
      <c r="C129" s="6"/>
      <c r="D129" s="7">
        <v>0</v>
      </c>
      <c r="E129" s="7">
        <v>0</v>
      </c>
      <c r="F129" s="7"/>
      <c r="G129" s="7">
        <v>0</v>
      </c>
      <c r="H129" s="7"/>
      <c r="I129" s="7"/>
      <c r="J129" s="86" t="e">
        <f t="shared" si="114"/>
        <v>#DIV/0!</v>
      </c>
      <c r="K129" s="1">
        <v>7</v>
      </c>
      <c r="L129" s="1" t="s">
        <v>80</v>
      </c>
      <c r="M129" s="6"/>
      <c r="N129" s="7">
        <v>0</v>
      </c>
      <c r="O129" s="7">
        <v>0</v>
      </c>
      <c r="P129" s="7"/>
      <c r="Q129" s="7">
        <v>0</v>
      </c>
      <c r="R129" s="7"/>
      <c r="S129" s="7"/>
      <c r="T129" s="86">
        <v>0</v>
      </c>
      <c r="U129" s="1">
        <v>7</v>
      </c>
      <c r="V129" s="1" t="s">
        <v>80</v>
      </c>
      <c r="W129" s="6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86">
        <v>0</v>
      </c>
      <c r="AE129" s="1">
        <v>7</v>
      </c>
      <c r="AF129" s="1" t="s">
        <v>80</v>
      </c>
      <c r="AG129" s="6"/>
      <c r="AH129" s="7">
        <v>0</v>
      </c>
      <c r="AI129" s="7">
        <v>0</v>
      </c>
      <c r="AJ129" s="7"/>
      <c r="AK129" s="7">
        <v>0</v>
      </c>
      <c r="AL129" s="7"/>
      <c r="AM129" s="7"/>
      <c r="AN129" s="86">
        <v>0</v>
      </c>
      <c r="AO129" s="1">
        <v>7</v>
      </c>
      <c r="AP129" s="1" t="s">
        <v>80</v>
      </c>
      <c r="AQ129" s="6"/>
      <c r="AR129" s="7">
        <v>0</v>
      </c>
      <c r="AS129" s="7">
        <v>0</v>
      </c>
      <c r="AT129" s="7"/>
      <c r="AU129" s="7">
        <v>0</v>
      </c>
      <c r="AV129" s="7"/>
      <c r="AW129" s="7"/>
      <c r="AX129" s="86">
        <v>0</v>
      </c>
      <c r="AY129" s="1">
        <v>7</v>
      </c>
      <c r="AZ129" s="1" t="s">
        <v>80</v>
      </c>
      <c r="BA129" s="6"/>
      <c r="BB129" s="7"/>
      <c r="BC129" s="7"/>
      <c r="BD129" s="7"/>
      <c r="BE129" s="201">
        <v>0</v>
      </c>
      <c r="BF129" s="7"/>
      <c r="BG129" s="7"/>
      <c r="BH129" s="86">
        <v>0</v>
      </c>
      <c r="BI129" s="1">
        <v>7</v>
      </c>
      <c r="BJ129" s="1" t="s">
        <v>80</v>
      </c>
      <c r="BK129" s="6"/>
      <c r="BL129" s="6"/>
      <c r="BM129" s="6"/>
      <c r="BN129" s="7"/>
      <c r="BO129" s="7">
        <v>0</v>
      </c>
      <c r="BP129" s="7"/>
      <c r="BQ129" s="7"/>
      <c r="BR129" s="79" t="e">
        <f t="shared" si="107"/>
        <v>#DIV/0!</v>
      </c>
      <c r="BS129" s="1">
        <v>7</v>
      </c>
      <c r="BT129" s="1" t="s">
        <v>80</v>
      </c>
      <c r="BU129" s="6"/>
      <c r="BV129" s="6"/>
      <c r="BW129" s="7"/>
      <c r="BX129" s="7"/>
      <c r="BY129" s="201">
        <v>0</v>
      </c>
      <c r="BZ129" s="7"/>
      <c r="CA129" s="7"/>
      <c r="CB129" s="79" t="e">
        <f t="shared" si="108"/>
        <v>#DIV/0!</v>
      </c>
      <c r="CC129" s="1">
        <v>7</v>
      </c>
      <c r="CD129" s="1" t="s">
        <v>80</v>
      </c>
      <c r="CE129" s="6"/>
      <c r="CF129" s="7"/>
      <c r="CG129" s="7"/>
      <c r="CH129" s="7"/>
      <c r="CI129" s="7">
        <v>0</v>
      </c>
      <c r="CJ129" s="7"/>
      <c r="CK129" s="7"/>
      <c r="CL129" s="79" t="e">
        <f t="shared" si="109"/>
        <v>#DIV/0!</v>
      </c>
      <c r="CM129" s="1">
        <v>7</v>
      </c>
      <c r="CN129" s="1" t="s">
        <v>80</v>
      </c>
      <c r="CO129" s="6"/>
      <c r="CP129" s="7"/>
      <c r="CQ129" s="7"/>
      <c r="CR129" s="7"/>
      <c r="CS129" s="7">
        <v>0</v>
      </c>
      <c r="CT129" s="7"/>
      <c r="CU129" s="7"/>
      <c r="CV129" s="86">
        <v>0</v>
      </c>
      <c r="CW129" s="1">
        <v>7</v>
      </c>
      <c r="CX129" s="1" t="s">
        <v>80</v>
      </c>
      <c r="CY129" s="6"/>
      <c r="CZ129" s="7"/>
      <c r="DA129" s="7"/>
      <c r="DB129" s="7"/>
      <c r="DC129" s="201">
        <v>0</v>
      </c>
      <c r="DD129" s="7"/>
      <c r="DE129" s="7"/>
      <c r="DF129" s="79" t="e">
        <f t="shared" si="110"/>
        <v>#DIV/0!</v>
      </c>
      <c r="DG129" s="1">
        <v>7</v>
      </c>
      <c r="DH129" s="1" t="s">
        <v>80</v>
      </c>
      <c r="DI129" s="6"/>
      <c r="DJ129" s="7"/>
      <c r="DK129" s="7"/>
      <c r="DL129" s="7"/>
      <c r="DM129" s="201">
        <v>0</v>
      </c>
      <c r="DN129" s="7"/>
      <c r="DO129" s="7"/>
      <c r="DP129" s="79" t="e">
        <f t="shared" si="111"/>
        <v>#DIV/0!</v>
      </c>
      <c r="DQ129" s="1">
        <v>7</v>
      </c>
      <c r="DR129" s="1" t="s">
        <v>80</v>
      </c>
      <c r="DS129" s="6">
        <v>0</v>
      </c>
      <c r="DT129" s="7">
        <f t="shared" si="117"/>
        <v>0</v>
      </c>
      <c r="DU129" s="7">
        <f t="shared" si="118"/>
        <v>0</v>
      </c>
      <c r="DV129" s="7">
        <v>0</v>
      </c>
      <c r="DW129" s="7">
        <f t="shared" si="119"/>
        <v>0</v>
      </c>
      <c r="DX129" s="79">
        <f t="shared" si="112"/>
        <v>0</v>
      </c>
      <c r="DY129" s="79">
        <f t="shared" si="113"/>
        <v>0</v>
      </c>
      <c r="DZ129" s="86">
        <v>0</v>
      </c>
    </row>
    <row r="130" spans="1:144" x14ac:dyDescent="0.3">
      <c r="A130" s="1">
        <v>8</v>
      </c>
      <c r="B130" s="1" t="s">
        <v>127</v>
      </c>
      <c r="C130" s="6"/>
      <c r="D130" s="7">
        <v>0.88</v>
      </c>
      <c r="E130" s="7">
        <v>0.88</v>
      </c>
      <c r="F130" s="7"/>
      <c r="G130" s="7">
        <v>37</v>
      </c>
      <c r="H130" s="7"/>
      <c r="I130" s="7"/>
      <c r="J130" s="86">
        <f t="shared" si="114"/>
        <v>42.045454545454547</v>
      </c>
      <c r="K130" s="1">
        <v>8</v>
      </c>
      <c r="L130" s="1" t="s">
        <v>127</v>
      </c>
      <c r="M130" s="6"/>
      <c r="N130" s="7">
        <v>0.88</v>
      </c>
      <c r="O130" s="7">
        <v>0.88</v>
      </c>
      <c r="P130" s="7"/>
      <c r="Q130" s="7">
        <v>35.799999999999997</v>
      </c>
      <c r="R130" s="7"/>
      <c r="S130" s="7"/>
      <c r="T130" s="86">
        <v>0</v>
      </c>
      <c r="U130" s="1">
        <v>8</v>
      </c>
      <c r="V130" s="1" t="s">
        <v>127</v>
      </c>
      <c r="W130" s="6">
        <v>0</v>
      </c>
      <c r="X130" s="7">
        <v>0.88</v>
      </c>
      <c r="Y130" s="7">
        <v>0.88</v>
      </c>
      <c r="Z130" s="7">
        <v>0</v>
      </c>
      <c r="AA130" s="7">
        <v>35.799999999999997</v>
      </c>
      <c r="AB130" s="7">
        <v>0</v>
      </c>
      <c r="AC130" s="7">
        <v>0</v>
      </c>
      <c r="AD130" s="86">
        <f t="shared" si="115"/>
        <v>40.68181818181818</v>
      </c>
      <c r="AE130" s="1">
        <v>8</v>
      </c>
      <c r="AF130" s="1" t="s">
        <v>127</v>
      </c>
      <c r="AG130" s="6"/>
      <c r="AH130" s="7">
        <v>0.88</v>
      </c>
      <c r="AI130" s="7">
        <v>0.88</v>
      </c>
      <c r="AJ130" s="7"/>
      <c r="AK130" s="7">
        <v>32.799999999999997</v>
      </c>
      <c r="AL130" s="7"/>
      <c r="AM130" s="7"/>
      <c r="AN130" s="86">
        <f>AK130/AI130</f>
        <v>37.272727272727266</v>
      </c>
      <c r="AO130" s="1">
        <v>8</v>
      </c>
      <c r="AP130" s="1" t="s">
        <v>127</v>
      </c>
      <c r="AQ130" s="6"/>
      <c r="AR130" s="7">
        <v>0.88</v>
      </c>
      <c r="AS130" s="7">
        <v>0.88</v>
      </c>
      <c r="AT130" s="7"/>
      <c r="AU130" s="7">
        <v>33.200000000000003</v>
      </c>
      <c r="AV130" s="7"/>
      <c r="AW130" s="7"/>
      <c r="AX130" s="86">
        <f>AU130/AS130</f>
        <v>37.727272727272734</v>
      </c>
      <c r="AY130" s="1">
        <v>8</v>
      </c>
      <c r="AZ130" s="1" t="s">
        <v>127</v>
      </c>
      <c r="BA130" s="6"/>
      <c r="BB130" s="7">
        <v>0.88</v>
      </c>
      <c r="BC130" s="7">
        <v>0.88</v>
      </c>
      <c r="BD130" s="7"/>
      <c r="BE130" s="201">
        <v>37.5</v>
      </c>
      <c r="BF130" s="7"/>
      <c r="BG130" s="7"/>
      <c r="BH130" s="86">
        <f>BE130/BC130</f>
        <v>42.613636363636367</v>
      </c>
      <c r="BI130" s="1">
        <v>8</v>
      </c>
      <c r="BJ130" s="1" t="s">
        <v>127</v>
      </c>
      <c r="BK130" s="6"/>
      <c r="BL130" s="6">
        <v>0.93</v>
      </c>
      <c r="BM130" s="6">
        <v>0.93</v>
      </c>
      <c r="BN130" s="7"/>
      <c r="BO130" s="7">
        <v>38.5</v>
      </c>
      <c r="BP130" s="7"/>
      <c r="BQ130" s="7"/>
      <c r="BR130" s="79">
        <f t="shared" si="107"/>
        <v>41.397849462365592</v>
      </c>
      <c r="BS130" s="1">
        <v>8</v>
      </c>
      <c r="BT130" s="1" t="s">
        <v>127</v>
      </c>
      <c r="BU130" s="6"/>
      <c r="BV130" s="6">
        <v>0.93</v>
      </c>
      <c r="BW130" s="7">
        <v>0.88</v>
      </c>
      <c r="BX130" s="7"/>
      <c r="BY130" s="201">
        <v>37.799999999999997</v>
      </c>
      <c r="BZ130" s="7"/>
      <c r="CA130" s="7"/>
      <c r="CB130" s="79">
        <f t="shared" si="108"/>
        <v>42.954545454545453</v>
      </c>
      <c r="CC130" s="1">
        <v>8</v>
      </c>
      <c r="CD130" s="1" t="s">
        <v>127</v>
      </c>
      <c r="CE130" s="6"/>
      <c r="CF130" s="7">
        <v>0.88</v>
      </c>
      <c r="CG130" s="7">
        <v>0.88</v>
      </c>
      <c r="CH130" s="7"/>
      <c r="CI130" s="7">
        <v>37.5</v>
      </c>
      <c r="CJ130" s="7"/>
      <c r="CK130" s="7"/>
      <c r="CL130" s="79">
        <f t="shared" si="109"/>
        <v>42.613636363636367</v>
      </c>
      <c r="CM130" s="1">
        <v>8</v>
      </c>
      <c r="CN130" s="1" t="s">
        <v>127</v>
      </c>
      <c r="CO130" s="6"/>
      <c r="CP130" s="7">
        <v>0.88</v>
      </c>
      <c r="CQ130" s="7">
        <v>0.88</v>
      </c>
      <c r="CR130" s="7"/>
      <c r="CS130" s="7">
        <v>31.1</v>
      </c>
      <c r="CT130" s="7"/>
      <c r="CU130" s="7"/>
      <c r="CV130" s="86">
        <f t="shared" si="116"/>
        <v>35.340909090909093</v>
      </c>
      <c r="CW130" s="1">
        <v>8</v>
      </c>
      <c r="CX130" s="1" t="s">
        <v>127</v>
      </c>
      <c r="CY130" s="6"/>
      <c r="CZ130" s="7">
        <v>0.88</v>
      </c>
      <c r="DA130" s="7">
        <v>0.88</v>
      </c>
      <c r="DB130" s="7"/>
      <c r="DC130" s="201">
        <v>31.5</v>
      </c>
      <c r="DD130" s="7"/>
      <c r="DE130" s="7"/>
      <c r="DF130" s="79">
        <f t="shared" si="110"/>
        <v>35.795454545454547</v>
      </c>
      <c r="DG130" s="1">
        <v>8</v>
      </c>
      <c r="DH130" s="1" t="s">
        <v>127</v>
      </c>
      <c r="DI130" s="6"/>
      <c r="DJ130" s="7">
        <v>0.88</v>
      </c>
      <c r="DK130" s="7">
        <v>0.88</v>
      </c>
      <c r="DL130" s="7"/>
      <c r="DM130" s="201">
        <v>31</v>
      </c>
      <c r="DN130" s="7"/>
      <c r="DO130" s="7"/>
      <c r="DP130" s="79">
        <f t="shared" si="111"/>
        <v>35.227272727272727</v>
      </c>
      <c r="DQ130" s="1">
        <v>8</v>
      </c>
      <c r="DR130" s="1" t="s">
        <v>127</v>
      </c>
      <c r="DS130" s="6">
        <v>0</v>
      </c>
      <c r="DT130" s="7">
        <f t="shared" si="117"/>
        <v>10.660000000000002</v>
      </c>
      <c r="DU130" s="7">
        <f t="shared" si="118"/>
        <v>10.610000000000001</v>
      </c>
      <c r="DV130" s="7">
        <v>0</v>
      </c>
      <c r="DW130" s="7">
        <f t="shared" si="119"/>
        <v>419.5</v>
      </c>
      <c r="DX130" s="79">
        <f t="shared" si="112"/>
        <v>0</v>
      </c>
      <c r="DY130" s="79">
        <f t="shared" si="113"/>
        <v>0</v>
      </c>
      <c r="DZ130" s="86">
        <f t="shared" si="120"/>
        <v>39.538171536286519</v>
      </c>
    </row>
    <row r="131" spans="1:144" x14ac:dyDescent="0.3">
      <c r="A131" s="1">
        <v>9</v>
      </c>
      <c r="B131" s="1" t="s">
        <v>207</v>
      </c>
      <c r="C131" s="6"/>
      <c r="D131" s="7">
        <v>0</v>
      </c>
      <c r="E131" s="7">
        <v>0</v>
      </c>
      <c r="F131" s="6"/>
      <c r="G131" s="6">
        <v>0</v>
      </c>
      <c r="H131" s="7"/>
      <c r="I131" s="7"/>
      <c r="J131" s="86" t="e">
        <f t="shared" si="114"/>
        <v>#DIV/0!</v>
      </c>
      <c r="K131" s="1">
        <v>9</v>
      </c>
      <c r="L131" s="1" t="s">
        <v>207</v>
      </c>
      <c r="M131" s="6"/>
      <c r="N131" s="7">
        <v>0</v>
      </c>
      <c r="O131" s="7">
        <v>0</v>
      </c>
      <c r="P131" s="6"/>
      <c r="Q131" s="6">
        <v>0</v>
      </c>
      <c r="R131" s="7"/>
      <c r="S131" s="7"/>
      <c r="T131" s="86">
        <v>0</v>
      </c>
      <c r="U131" s="1">
        <v>9</v>
      </c>
      <c r="V131" s="1" t="s">
        <v>207</v>
      </c>
      <c r="W131" s="6">
        <v>0</v>
      </c>
      <c r="X131" s="7">
        <v>0</v>
      </c>
      <c r="Y131" s="7">
        <v>0</v>
      </c>
      <c r="Z131" s="7">
        <v>0</v>
      </c>
      <c r="AA131" s="6">
        <v>0</v>
      </c>
      <c r="AB131" s="7">
        <v>0</v>
      </c>
      <c r="AC131" s="7">
        <v>0</v>
      </c>
      <c r="AD131" s="86">
        <v>0</v>
      </c>
      <c r="AE131" s="1">
        <v>9</v>
      </c>
      <c r="AF131" s="1" t="s">
        <v>207</v>
      </c>
      <c r="AG131" s="6"/>
      <c r="AH131" s="7">
        <v>0</v>
      </c>
      <c r="AI131" s="7">
        <v>0</v>
      </c>
      <c r="AJ131" s="6"/>
      <c r="AK131" s="6">
        <v>0</v>
      </c>
      <c r="AL131" s="7"/>
      <c r="AM131" s="7"/>
      <c r="AN131" s="86">
        <v>0</v>
      </c>
      <c r="AO131" s="1">
        <v>9</v>
      </c>
      <c r="AP131" s="1" t="s">
        <v>207</v>
      </c>
      <c r="AQ131" s="6"/>
      <c r="AR131" s="7">
        <v>0</v>
      </c>
      <c r="AS131" s="7">
        <v>0</v>
      </c>
      <c r="AT131" s="6"/>
      <c r="AU131" s="6">
        <v>0</v>
      </c>
      <c r="AV131" s="7"/>
      <c r="AW131" s="7"/>
      <c r="AX131" s="86">
        <v>0</v>
      </c>
      <c r="AY131" s="1">
        <v>9</v>
      </c>
      <c r="AZ131" s="1" t="s">
        <v>207</v>
      </c>
      <c r="BA131" s="6"/>
      <c r="BB131" s="7"/>
      <c r="BC131" s="7"/>
      <c r="BD131" s="6"/>
      <c r="BE131" s="122">
        <v>0</v>
      </c>
      <c r="BF131" s="7"/>
      <c r="BG131" s="7"/>
      <c r="BH131" s="86">
        <v>0</v>
      </c>
      <c r="BI131" s="1">
        <v>9</v>
      </c>
      <c r="BJ131" s="1" t="s">
        <v>207</v>
      </c>
      <c r="BK131" s="6"/>
      <c r="BL131" s="6"/>
      <c r="BM131" s="6"/>
      <c r="BN131" s="7"/>
      <c r="BO131" s="7"/>
      <c r="BP131" s="7"/>
      <c r="BQ131" s="7"/>
      <c r="BR131" s="79" t="e">
        <f t="shared" si="107"/>
        <v>#DIV/0!</v>
      </c>
      <c r="BS131" s="1">
        <v>9</v>
      </c>
      <c r="BT131" s="1" t="s">
        <v>207</v>
      </c>
      <c r="BU131" s="6"/>
      <c r="BV131" s="7"/>
      <c r="BW131" s="7"/>
      <c r="BX131" s="7"/>
      <c r="BY131" s="201">
        <v>0</v>
      </c>
      <c r="BZ131" s="7"/>
      <c r="CA131" s="7"/>
      <c r="CB131" s="79" t="e">
        <f t="shared" si="108"/>
        <v>#DIV/0!</v>
      </c>
      <c r="CC131" s="1">
        <v>9</v>
      </c>
      <c r="CD131" s="1" t="s">
        <v>207</v>
      </c>
      <c r="CE131" s="6"/>
      <c r="CF131" s="7"/>
      <c r="CG131" s="7"/>
      <c r="CH131" s="7"/>
      <c r="CI131" s="7">
        <v>0</v>
      </c>
      <c r="CJ131" s="7"/>
      <c r="CK131" s="7"/>
      <c r="CL131" s="79" t="e">
        <f t="shared" si="109"/>
        <v>#DIV/0!</v>
      </c>
      <c r="CM131" s="1">
        <v>9</v>
      </c>
      <c r="CN131" s="1" t="s">
        <v>207</v>
      </c>
      <c r="CO131" s="6"/>
      <c r="CP131" s="7"/>
      <c r="CQ131" s="7"/>
      <c r="CR131" s="7"/>
      <c r="CS131" s="7">
        <v>0</v>
      </c>
      <c r="CT131" s="7"/>
      <c r="CU131" s="7"/>
      <c r="CV131" s="86">
        <v>0</v>
      </c>
      <c r="CW131" s="1">
        <v>9</v>
      </c>
      <c r="CX131" s="1" t="s">
        <v>207</v>
      </c>
      <c r="CY131" s="6"/>
      <c r="CZ131" s="7"/>
      <c r="DA131" s="7"/>
      <c r="DB131" s="7"/>
      <c r="DC131" s="201">
        <v>0</v>
      </c>
      <c r="DD131" s="7"/>
      <c r="DE131" s="7"/>
      <c r="DF131" s="79" t="e">
        <f t="shared" si="110"/>
        <v>#DIV/0!</v>
      </c>
      <c r="DG131" s="1">
        <v>9</v>
      </c>
      <c r="DH131" s="1" t="s">
        <v>207</v>
      </c>
      <c r="DI131" s="6"/>
      <c r="DJ131" s="7"/>
      <c r="DK131" s="7"/>
      <c r="DL131" s="7"/>
      <c r="DM131" s="201">
        <v>0</v>
      </c>
      <c r="DN131" s="7"/>
      <c r="DO131" s="7"/>
      <c r="DP131" s="79" t="e">
        <f t="shared" si="111"/>
        <v>#DIV/0!</v>
      </c>
      <c r="DQ131" s="1">
        <v>9</v>
      </c>
      <c r="DR131" s="1" t="s">
        <v>207</v>
      </c>
      <c r="DS131" s="6">
        <v>0</v>
      </c>
      <c r="DT131" s="7">
        <f t="shared" si="117"/>
        <v>0</v>
      </c>
      <c r="DU131" s="7">
        <f t="shared" si="118"/>
        <v>0</v>
      </c>
      <c r="DV131" s="7">
        <v>0</v>
      </c>
      <c r="DW131" s="7">
        <f t="shared" si="119"/>
        <v>0</v>
      </c>
      <c r="DX131" s="79">
        <f t="shared" si="112"/>
        <v>0</v>
      </c>
      <c r="DY131" s="79">
        <f t="shared" si="113"/>
        <v>0</v>
      </c>
      <c r="DZ131" s="86">
        <v>0</v>
      </c>
    </row>
    <row r="132" spans="1:144" x14ac:dyDescent="0.3">
      <c r="A132" s="101" t="s">
        <v>121</v>
      </c>
      <c r="B132" s="102" t="s">
        <v>126</v>
      </c>
      <c r="C132" s="129"/>
      <c r="D132" s="98" t="s">
        <v>7</v>
      </c>
      <c r="E132" s="98" t="s">
        <v>7</v>
      </c>
      <c r="F132" s="39" t="s">
        <v>230</v>
      </c>
      <c r="G132" s="98" t="s">
        <v>6</v>
      </c>
      <c r="H132" s="26"/>
      <c r="I132" s="26"/>
      <c r="J132" s="87"/>
      <c r="K132" s="101" t="s">
        <v>121</v>
      </c>
      <c r="L132" s="102" t="s">
        <v>126</v>
      </c>
      <c r="M132" s="129"/>
      <c r="N132" s="98" t="s">
        <v>7</v>
      </c>
      <c r="O132" s="98" t="s">
        <v>7</v>
      </c>
      <c r="P132" s="39" t="s">
        <v>230</v>
      </c>
      <c r="Q132" s="98" t="s">
        <v>6</v>
      </c>
      <c r="R132" s="26"/>
      <c r="S132" s="26"/>
      <c r="T132" s="87"/>
      <c r="U132" s="101" t="s">
        <v>121</v>
      </c>
      <c r="V132" s="102" t="s">
        <v>126</v>
      </c>
      <c r="W132" s="129"/>
      <c r="X132" s="98" t="s">
        <v>7</v>
      </c>
      <c r="Y132" s="98" t="s">
        <v>7</v>
      </c>
      <c r="Z132" s="39" t="s">
        <v>230</v>
      </c>
      <c r="AA132" s="98" t="s">
        <v>6</v>
      </c>
      <c r="AB132" s="26"/>
      <c r="AC132" s="26"/>
      <c r="AD132" s="87"/>
      <c r="AE132" s="101" t="s">
        <v>121</v>
      </c>
      <c r="AF132" s="102" t="s">
        <v>126</v>
      </c>
      <c r="AG132" s="129"/>
      <c r="AH132" s="98" t="s">
        <v>7</v>
      </c>
      <c r="AI132" s="98" t="s">
        <v>7</v>
      </c>
      <c r="AJ132" s="39" t="s">
        <v>230</v>
      </c>
      <c r="AK132" s="98" t="s">
        <v>6</v>
      </c>
      <c r="AL132" s="26"/>
      <c r="AM132" s="26"/>
      <c r="AN132" s="87"/>
      <c r="AO132" s="101" t="s">
        <v>121</v>
      </c>
      <c r="AP132" s="102" t="s">
        <v>126</v>
      </c>
      <c r="AQ132" s="129"/>
      <c r="AR132" s="98" t="s">
        <v>7</v>
      </c>
      <c r="AS132" s="98" t="s">
        <v>7</v>
      </c>
      <c r="AT132" s="39" t="s">
        <v>230</v>
      </c>
      <c r="AU132" s="98" t="s">
        <v>6</v>
      </c>
      <c r="AV132" s="26"/>
      <c r="AW132" s="26"/>
      <c r="AX132" s="87"/>
      <c r="AY132" s="101" t="s">
        <v>121</v>
      </c>
      <c r="AZ132" s="102" t="s">
        <v>126</v>
      </c>
      <c r="BA132" s="129"/>
      <c r="BB132" s="98" t="s">
        <v>7</v>
      </c>
      <c r="BC132" s="98" t="s">
        <v>7</v>
      </c>
      <c r="BD132" s="39" t="s">
        <v>230</v>
      </c>
      <c r="BE132" s="98" t="s">
        <v>6</v>
      </c>
      <c r="BF132" s="26"/>
      <c r="BG132" s="26"/>
      <c r="BH132" s="87"/>
      <c r="BI132" s="101" t="s">
        <v>121</v>
      </c>
      <c r="BJ132" s="102" t="s">
        <v>126</v>
      </c>
      <c r="BK132" s="129"/>
      <c r="BL132" s="98" t="s">
        <v>7</v>
      </c>
      <c r="BM132" s="98" t="s">
        <v>7</v>
      </c>
      <c r="BN132" s="39" t="s">
        <v>230</v>
      </c>
      <c r="BO132" s="98" t="s">
        <v>6</v>
      </c>
      <c r="BP132" s="26"/>
      <c r="BQ132" s="26"/>
      <c r="BR132" s="26" t="e">
        <f t="shared" si="107"/>
        <v>#VALUE!</v>
      </c>
      <c r="BS132" s="101" t="s">
        <v>121</v>
      </c>
      <c r="BT132" s="102" t="s">
        <v>126</v>
      </c>
      <c r="BU132" s="129"/>
      <c r="BV132" s="98" t="s">
        <v>7</v>
      </c>
      <c r="BW132" s="98" t="s">
        <v>7</v>
      </c>
      <c r="BX132" s="39" t="s">
        <v>230</v>
      </c>
      <c r="BY132" s="98" t="s">
        <v>6</v>
      </c>
      <c r="BZ132" s="26"/>
      <c r="CA132" s="26"/>
      <c r="CB132" s="26" t="e">
        <f t="shared" si="108"/>
        <v>#VALUE!</v>
      </c>
      <c r="CC132" s="101" t="s">
        <v>121</v>
      </c>
      <c r="CD132" s="102" t="s">
        <v>126</v>
      </c>
      <c r="CE132" s="129"/>
      <c r="CF132" s="98" t="s">
        <v>7</v>
      </c>
      <c r="CG132" s="98" t="s">
        <v>7</v>
      </c>
      <c r="CH132" s="39" t="s">
        <v>230</v>
      </c>
      <c r="CI132" s="98" t="s">
        <v>6</v>
      </c>
      <c r="CJ132" s="26"/>
      <c r="CK132" s="26"/>
      <c r="CL132" s="26" t="e">
        <f t="shared" si="109"/>
        <v>#VALUE!</v>
      </c>
      <c r="CM132" s="101" t="s">
        <v>121</v>
      </c>
      <c r="CN132" s="102" t="s">
        <v>126</v>
      </c>
      <c r="CO132" s="129"/>
      <c r="CP132" s="98" t="s">
        <v>7</v>
      </c>
      <c r="CQ132" s="98" t="s">
        <v>7</v>
      </c>
      <c r="CR132" s="39" t="s">
        <v>230</v>
      </c>
      <c r="CS132" s="98" t="s">
        <v>6</v>
      </c>
      <c r="CT132" s="26"/>
      <c r="CU132" s="26"/>
      <c r="CV132" s="87"/>
      <c r="CW132" s="101" t="s">
        <v>121</v>
      </c>
      <c r="CX132" s="102" t="s">
        <v>126</v>
      </c>
      <c r="CY132" s="129"/>
      <c r="CZ132" s="98" t="s">
        <v>7</v>
      </c>
      <c r="DA132" s="98" t="s">
        <v>7</v>
      </c>
      <c r="DB132" s="39" t="s">
        <v>230</v>
      </c>
      <c r="DC132" s="98" t="s">
        <v>6</v>
      </c>
      <c r="DD132" s="26"/>
      <c r="DE132" s="26"/>
      <c r="DF132" s="26" t="e">
        <f t="shared" si="110"/>
        <v>#VALUE!</v>
      </c>
      <c r="DG132" s="101" t="s">
        <v>121</v>
      </c>
      <c r="DH132" s="102" t="s">
        <v>126</v>
      </c>
      <c r="DI132" s="129"/>
      <c r="DJ132" s="98" t="s">
        <v>7</v>
      </c>
      <c r="DK132" s="98" t="s">
        <v>7</v>
      </c>
      <c r="DL132" s="39" t="s">
        <v>230</v>
      </c>
      <c r="DM132" s="98" t="s">
        <v>6</v>
      </c>
      <c r="DN132" s="26"/>
      <c r="DO132" s="26"/>
      <c r="DP132" s="26" t="e">
        <f t="shared" si="111"/>
        <v>#VALUE!</v>
      </c>
      <c r="DQ132" s="101" t="s">
        <v>121</v>
      </c>
      <c r="DR132" s="102" t="s">
        <v>126</v>
      </c>
      <c r="DS132" s="129"/>
      <c r="DT132" s="98" t="s">
        <v>7</v>
      </c>
      <c r="DU132" s="98" t="s">
        <v>7</v>
      </c>
      <c r="DV132" s="39" t="s">
        <v>230</v>
      </c>
      <c r="DW132" s="98" t="s">
        <v>6</v>
      </c>
      <c r="DX132" s="26"/>
      <c r="DY132" s="26"/>
      <c r="DZ132" s="87"/>
    </row>
    <row r="133" spans="1:144" x14ac:dyDescent="0.3">
      <c r="A133" s="1">
        <v>1</v>
      </c>
      <c r="B133" s="1" t="s">
        <v>122</v>
      </c>
      <c r="C133" s="6"/>
      <c r="D133" s="7">
        <v>2510.6999999999998</v>
      </c>
      <c r="E133" s="6">
        <v>0</v>
      </c>
      <c r="F133" s="6">
        <v>2510.6999999999998</v>
      </c>
      <c r="G133" s="79">
        <v>0</v>
      </c>
      <c r="H133" s="79">
        <v>0</v>
      </c>
      <c r="I133" s="79">
        <v>0</v>
      </c>
      <c r="J133" s="86">
        <v>0</v>
      </c>
      <c r="K133" s="1">
        <v>1</v>
      </c>
      <c r="L133" s="1" t="s">
        <v>122</v>
      </c>
      <c r="M133" s="6"/>
      <c r="N133" s="7">
        <v>2510.6999999999998</v>
      </c>
      <c r="O133" s="6">
        <v>0</v>
      </c>
      <c r="P133" s="6">
        <v>2510.6999999999998</v>
      </c>
      <c r="Q133" s="79">
        <v>0</v>
      </c>
      <c r="R133" s="79">
        <v>0</v>
      </c>
      <c r="S133" s="79">
        <v>0</v>
      </c>
      <c r="T133" s="86">
        <v>0</v>
      </c>
      <c r="U133" s="1">
        <v>1</v>
      </c>
      <c r="V133" s="1" t="s">
        <v>122</v>
      </c>
      <c r="W133" s="6"/>
      <c r="X133" s="7">
        <v>2510.6999999999998</v>
      </c>
      <c r="Y133" s="6">
        <v>0</v>
      </c>
      <c r="Z133" s="6">
        <v>2510.6999999999998</v>
      </c>
      <c r="AA133" s="79">
        <v>0</v>
      </c>
      <c r="AB133" s="79">
        <v>0</v>
      </c>
      <c r="AC133" s="79">
        <v>0</v>
      </c>
      <c r="AD133" s="86">
        <v>0</v>
      </c>
      <c r="AE133" s="1">
        <v>1</v>
      </c>
      <c r="AF133" s="1" t="s">
        <v>122</v>
      </c>
      <c r="AG133" s="6">
        <v>0</v>
      </c>
      <c r="AH133" s="7">
        <v>2510.6999999999998</v>
      </c>
      <c r="AI133" s="6">
        <v>0</v>
      </c>
      <c r="AJ133" s="6">
        <v>2510.6999999999998</v>
      </c>
      <c r="AK133" s="79">
        <v>0</v>
      </c>
      <c r="AL133" s="79">
        <v>0</v>
      </c>
      <c r="AM133" s="79">
        <v>0</v>
      </c>
      <c r="AN133" s="86">
        <v>0</v>
      </c>
      <c r="AO133" s="1">
        <v>1</v>
      </c>
      <c r="AP133" s="1" t="s">
        <v>122</v>
      </c>
      <c r="AQ133" s="6">
        <v>0</v>
      </c>
      <c r="AR133" s="7">
        <v>2533.3000000000002</v>
      </c>
      <c r="AS133" s="6">
        <v>0</v>
      </c>
      <c r="AT133" s="6">
        <v>2533.3000000000002</v>
      </c>
      <c r="AU133" s="79">
        <v>0</v>
      </c>
      <c r="AV133" s="79">
        <v>0</v>
      </c>
      <c r="AW133" s="79">
        <v>0</v>
      </c>
      <c r="AX133" s="86">
        <v>0</v>
      </c>
      <c r="AY133" s="1">
        <v>1</v>
      </c>
      <c r="AZ133" s="1" t="s">
        <v>122</v>
      </c>
      <c r="BA133" s="6">
        <v>0</v>
      </c>
      <c r="BB133" s="7">
        <v>2533.3000000000002</v>
      </c>
      <c r="BC133" s="6">
        <v>307.64999999999998</v>
      </c>
      <c r="BD133" s="6">
        <v>2225.65</v>
      </c>
      <c r="BE133" s="40">
        <v>156747.68</v>
      </c>
      <c r="BF133" s="79">
        <v>0</v>
      </c>
      <c r="BG133" s="79">
        <v>0</v>
      </c>
      <c r="BH133" s="86">
        <v>0</v>
      </c>
      <c r="BI133" s="1">
        <v>1</v>
      </c>
      <c r="BJ133" s="1" t="s">
        <v>122</v>
      </c>
      <c r="BK133" s="6"/>
      <c r="BL133" s="7">
        <v>2533.3000000000002</v>
      </c>
      <c r="BM133" s="6">
        <v>761.78</v>
      </c>
      <c r="BN133" s="6">
        <v>1771.53</v>
      </c>
      <c r="BO133" s="79">
        <v>482.97</v>
      </c>
      <c r="BP133" s="79"/>
      <c r="BQ133" s="79"/>
      <c r="BR133" s="79">
        <f>BO133/BM133</f>
        <v>0.63400194281813649</v>
      </c>
      <c r="BS133" s="1">
        <v>1</v>
      </c>
      <c r="BT133" s="1" t="s">
        <v>122</v>
      </c>
      <c r="BU133" s="6"/>
      <c r="BV133" s="7">
        <v>2533.3000000000002</v>
      </c>
      <c r="BW133" s="6">
        <v>979.43</v>
      </c>
      <c r="BX133" s="6">
        <v>1553.88</v>
      </c>
      <c r="BY133" s="40">
        <v>620.96</v>
      </c>
      <c r="BZ133" s="79"/>
      <c r="CA133" s="79"/>
      <c r="CB133" s="79">
        <f t="shared" si="108"/>
        <v>0.63400140898277579</v>
      </c>
      <c r="CC133" s="1">
        <v>1</v>
      </c>
      <c r="CD133" s="1" t="s">
        <v>122</v>
      </c>
      <c r="CE133" s="6"/>
      <c r="CF133" s="7">
        <v>2533.3000000000002</v>
      </c>
      <c r="CG133" s="6">
        <v>108.83</v>
      </c>
      <c r="CH133" s="6">
        <v>2424.48</v>
      </c>
      <c r="CI133" s="79">
        <v>69</v>
      </c>
      <c r="CJ133" s="79"/>
      <c r="CK133" s="79"/>
      <c r="CL133" s="79">
        <f t="shared" si="109"/>
        <v>0.63401635578425064</v>
      </c>
      <c r="CM133" s="1">
        <v>1</v>
      </c>
      <c r="CN133" s="1" t="s">
        <v>122</v>
      </c>
      <c r="CO133" s="6"/>
      <c r="CP133" s="7">
        <v>2533.3000000000002</v>
      </c>
      <c r="CQ133" s="6">
        <v>0</v>
      </c>
      <c r="CR133" s="6">
        <v>2533.3000000000002</v>
      </c>
      <c r="CS133" s="79">
        <v>0</v>
      </c>
      <c r="CT133" s="79"/>
      <c r="CU133" s="79"/>
      <c r="CV133" s="86">
        <v>0</v>
      </c>
      <c r="CW133" s="1">
        <v>1</v>
      </c>
      <c r="CX133" s="1" t="s">
        <v>122</v>
      </c>
      <c r="CY133" s="6"/>
      <c r="CZ133" s="7">
        <v>2533.3000000000002</v>
      </c>
      <c r="DA133" s="6">
        <v>0</v>
      </c>
      <c r="DB133" s="6">
        <v>2533.3000000000002</v>
      </c>
      <c r="DC133" s="40">
        <v>0</v>
      </c>
      <c r="DD133" s="79"/>
      <c r="DE133" s="79"/>
      <c r="DF133" s="79" t="e">
        <f t="shared" si="110"/>
        <v>#DIV/0!</v>
      </c>
      <c r="DG133" s="1">
        <v>1</v>
      </c>
      <c r="DH133" s="1" t="s">
        <v>122</v>
      </c>
      <c r="DI133" s="6"/>
      <c r="DJ133" s="7">
        <v>2533.3000000000002</v>
      </c>
      <c r="DK133" s="6">
        <v>0</v>
      </c>
      <c r="DL133" s="6">
        <v>2533.3000000000002</v>
      </c>
      <c r="DM133" s="40"/>
      <c r="DN133" s="79"/>
      <c r="DO133" s="79"/>
      <c r="DP133" s="79" t="e">
        <f>DM133/DK133</f>
        <v>#DIV/0!</v>
      </c>
      <c r="DQ133" s="1">
        <v>1</v>
      </c>
      <c r="DR133" s="1" t="s">
        <v>122</v>
      </c>
      <c r="DS133" s="6">
        <v>0</v>
      </c>
      <c r="DT133" s="7">
        <f t="shared" ref="DT133:DT138" si="121">SUM(D133+N133+X133+AH133+AR133+BB133+BL133+BV133+CF133+CP133+CZ133+DJ133)/12</f>
        <v>2525.766666666666</v>
      </c>
      <c r="DU133" s="6">
        <f>SUM(E133+O133+Y133+AI133+AS133+BC133+BM133+BW133+CG133+CQ133+DA133+DK133)</f>
        <v>2157.6899999999996</v>
      </c>
      <c r="DV133" s="6">
        <v>0</v>
      </c>
      <c r="DW133" s="79">
        <f t="shared" ref="DW133:DW138" si="122">SUM(G133+Q133+AA133+AK133+AU133+BE133+BO133+BY133+CI133+CS133+DC133+DM133)</f>
        <v>157920.60999999999</v>
      </c>
      <c r="DX133" s="79">
        <v>0</v>
      </c>
      <c r="DY133" s="79">
        <v>0</v>
      </c>
      <c r="DZ133" s="86">
        <f t="shared" ref="DZ133:DZ138" si="123">DW133/DU133</f>
        <v>73.189665799999077</v>
      </c>
    </row>
    <row r="134" spans="1:144" x14ac:dyDescent="0.3">
      <c r="A134" s="1">
        <v>2</v>
      </c>
      <c r="B134" s="1" t="s">
        <v>123</v>
      </c>
      <c r="C134" s="6"/>
      <c r="D134" s="7">
        <v>4519.3</v>
      </c>
      <c r="E134" s="6">
        <v>3615.44</v>
      </c>
      <c r="F134" s="6">
        <v>1129.83</v>
      </c>
      <c r="G134" s="79">
        <v>182</v>
      </c>
      <c r="H134" s="79">
        <v>0</v>
      </c>
      <c r="I134" s="79">
        <v>0</v>
      </c>
      <c r="J134" s="86">
        <f>G134/E134</f>
        <v>5.0339654371252186E-2</v>
      </c>
      <c r="K134" s="1">
        <v>2</v>
      </c>
      <c r="L134" s="1" t="s">
        <v>123</v>
      </c>
      <c r="M134" s="6"/>
      <c r="N134" s="7">
        <v>4519.3</v>
      </c>
      <c r="O134" s="6">
        <v>3615.44</v>
      </c>
      <c r="P134" s="6">
        <v>1129.83</v>
      </c>
      <c r="Q134" s="79">
        <v>180.59</v>
      </c>
      <c r="R134" s="79">
        <v>0</v>
      </c>
      <c r="S134" s="79">
        <v>0</v>
      </c>
      <c r="T134" s="86">
        <f>Q134/O134</f>
        <v>4.9949660345628748E-2</v>
      </c>
      <c r="U134" s="1">
        <v>2</v>
      </c>
      <c r="V134" s="1" t="s">
        <v>123</v>
      </c>
      <c r="W134" s="6"/>
      <c r="X134" s="7">
        <v>4519.3</v>
      </c>
      <c r="Y134" s="6">
        <v>3615.44</v>
      </c>
      <c r="Z134" s="6">
        <v>1129.83</v>
      </c>
      <c r="AA134" s="79">
        <v>179.18</v>
      </c>
      <c r="AB134" s="79">
        <v>0</v>
      </c>
      <c r="AC134" s="79">
        <v>0</v>
      </c>
      <c r="AD134" s="86">
        <f>AA134/Y134</f>
        <v>4.9559666320005309E-2</v>
      </c>
      <c r="AE134" s="1">
        <v>2</v>
      </c>
      <c r="AF134" s="1" t="s">
        <v>123</v>
      </c>
      <c r="AG134" s="6">
        <v>0</v>
      </c>
      <c r="AH134" s="7">
        <v>4519.3</v>
      </c>
      <c r="AI134" s="6">
        <v>3615.44</v>
      </c>
      <c r="AJ134" s="6">
        <v>1129.83</v>
      </c>
      <c r="AK134" s="79">
        <v>182</v>
      </c>
      <c r="AL134" s="79">
        <v>0</v>
      </c>
      <c r="AM134" s="79">
        <v>0</v>
      </c>
      <c r="AN134" s="86">
        <f>AK134/AI134</f>
        <v>5.0339654371252186E-2</v>
      </c>
      <c r="AO134" s="1">
        <v>2</v>
      </c>
      <c r="AP134" s="1" t="s">
        <v>123</v>
      </c>
      <c r="AQ134" s="6">
        <v>0</v>
      </c>
      <c r="AR134" s="7">
        <v>4514.7</v>
      </c>
      <c r="AS134" s="6">
        <v>3386.1</v>
      </c>
      <c r="AT134" s="6">
        <v>1128.5999999999999</v>
      </c>
      <c r="AU134" s="79">
        <v>183.41</v>
      </c>
      <c r="AV134" s="79">
        <v>0</v>
      </c>
      <c r="AW134" s="79">
        <v>0</v>
      </c>
      <c r="AX134" s="86">
        <f>AU134/AS134</f>
        <v>5.4165559197897284E-2</v>
      </c>
      <c r="AY134" s="1">
        <v>2</v>
      </c>
      <c r="AZ134" s="1" t="s">
        <v>123</v>
      </c>
      <c r="BA134" s="6">
        <v>0</v>
      </c>
      <c r="BB134" s="7">
        <v>4514.7</v>
      </c>
      <c r="BC134" s="6">
        <v>3386.1</v>
      </c>
      <c r="BD134" s="6">
        <v>1128.5999999999999</v>
      </c>
      <c r="BE134" s="40">
        <v>197.52</v>
      </c>
      <c r="BF134" s="79">
        <v>0</v>
      </c>
      <c r="BG134" s="79">
        <v>0</v>
      </c>
      <c r="BH134" s="86">
        <f>BE134/BC134</f>
        <v>5.8332595020820416E-2</v>
      </c>
      <c r="BI134" s="1">
        <v>2</v>
      </c>
      <c r="BJ134" s="1" t="s">
        <v>123</v>
      </c>
      <c r="BK134" s="6"/>
      <c r="BL134" s="7">
        <v>4519.7</v>
      </c>
      <c r="BM134" s="6">
        <v>4081.3</v>
      </c>
      <c r="BN134" s="6">
        <v>438</v>
      </c>
      <c r="BO134" s="79">
        <v>238.08</v>
      </c>
      <c r="BP134" s="79"/>
      <c r="BQ134" s="79"/>
      <c r="BR134" s="79">
        <f t="shared" si="107"/>
        <v>5.8334354249871365E-2</v>
      </c>
      <c r="BS134" s="1">
        <v>2</v>
      </c>
      <c r="BT134" s="1" t="s">
        <v>123</v>
      </c>
      <c r="BU134" s="6"/>
      <c r="BV134" s="7">
        <v>4514.7</v>
      </c>
      <c r="BW134" s="6">
        <v>4081.3</v>
      </c>
      <c r="BX134" s="6">
        <v>433.4</v>
      </c>
      <c r="BY134" s="40">
        <v>238.08</v>
      </c>
      <c r="BZ134" s="79"/>
      <c r="CA134" s="79"/>
      <c r="CB134" s="79">
        <f t="shared" si="108"/>
        <v>5.8334354249871365E-2</v>
      </c>
      <c r="CC134" s="1">
        <v>2</v>
      </c>
      <c r="CD134" s="1" t="s">
        <v>123</v>
      </c>
      <c r="CE134" s="6"/>
      <c r="CF134" s="7">
        <v>4514.7</v>
      </c>
      <c r="CG134" s="6">
        <v>4081.3</v>
      </c>
      <c r="CH134" s="6">
        <v>433.4</v>
      </c>
      <c r="CI134" s="79">
        <v>238.08</v>
      </c>
      <c r="CJ134" s="79"/>
      <c r="CK134" s="79"/>
      <c r="CL134" s="79">
        <f t="shared" si="109"/>
        <v>5.8334354249871365E-2</v>
      </c>
      <c r="CM134" s="1">
        <v>2</v>
      </c>
      <c r="CN134" s="1" t="s">
        <v>123</v>
      </c>
      <c r="CO134" s="6"/>
      <c r="CP134" s="7">
        <v>4514.7</v>
      </c>
      <c r="CQ134" s="6">
        <v>4081.3</v>
      </c>
      <c r="CR134" s="6">
        <v>433.4</v>
      </c>
      <c r="CS134" s="79">
        <v>221.07</v>
      </c>
      <c r="CT134" s="79"/>
      <c r="CU134" s="79"/>
      <c r="CV134" s="86">
        <f>CS134/CQ134</f>
        <v>5.4166564575012857E-2</v>
      </c>
      <c r="CW134" s="1">
        <v>2</v>
      </c>
      <c r="CX134" s="1" t="s">
        <v>123</v>
      </c>
      <c r="CY134" s="6"/>
      <c r="CZ134" s="7">
        <v>4514.7</v>
      </c>
      <c r="DA134" s="6">
        <v>4081.3</v>
      </c>
      <c r="DB134" s="6">
        <v>433.4</v>
      </c>
      <c r="DC134" s="40">
        <v>204.07</v>
      </c>
      <c r="DD134" s="79"/>
      <c r="DE134" s="79"/>
      <c r="DF134" s="79">
        <f t="shared" si="110"/>
        <v>5.0001225099845635E-2</v>
      </c>
      <c r="DG134" s="1">
        <v>2</v>
      </c>
      <c r="DH134" s="1" t="s">
        <v>123</v>
      </c>
      <c r="DI134" s="6"/>
      <c r="DJ134" s="7">
        <v>4514.7</v>
      </c>
      <c r="DK134" s="6">
        <v>4081.3</v>
      </c>
      <c r="DL134" s="6">
        <v>433.4</v>
      </c>
      <c r="DM134" s="40"/>
      <c r="DN134" s="79"/>
      <c r="DO134" s="79"/>
      <c r="DP134" s="79">
        <f t="shared" si="111"/>
        <v>0</v>
      </c>
      <c r="DQ134" s="1">
        <v>2</v>
      </c>
      <c r="DR134" s="1" t="s">
        <v>123</v>
      </c>
      <c r="DS134" s="6">
        <v>0</v>
      </c>
      <c r="DT134" s="7">
        <f t="shared" si="121"/>
        <v>4516.6499999999987</v>
      </c>
      <c r="DU134" s="6">
        <f>SUM(E134+O134+Y134+AI134+AS134+BC134+BM134+BW134+CG134+CQ134+DA134+DK134)/12</f>
        <v>3810.1466666666674</v>
      </c>
      <c r="DV134" s="6">
        <v>0</v>
      </c>
      <c r="DW134" s="79">
        <f t="shared" si="122"/>
        <v>2244.08</v>
      </c>
      <c r="DX134" s="79">
        <v>0</v>
      </c>
      <c r="DY134" s="79">
        <v>0</v>
      </c>
      <c r="DZ134" s="86">
        <f t="shared" si="123"/>
        <v>0.58897470263611884</v>
      </c>
    </row>
    <row r="135" spans="1:144" x14ac:dyDescent="0.3">
      <c r="A135" s="1">
        <v>3</v>
      </c>
      <c r="B135" s="1" t="s">
        <v>137</v>
      </c>
      <c r="C135" s="6"/>
      <c r="D135" s="7">
        <v>16672.990000000002</v>
      </c>
      <c r="E135" s="6">
        <v>13454.55</v>
      </c>
      <c r="F135" s="6">
        <v>3215.1</v>
      </c>
      <c r="G135" s="79">
        <v>2018.63</v>
      </c>
      <c r="H135" s="79">
        <v>0</v>
      </c>
      <c r="I135" s="79">
        <v>0</v>
      </c>
      <c r="J135" s="86">
        <f>G135/E135</f>
        <v>0.15003326012389862</v>
      </c>
      <c r="K135" s="1">
        <v>3</v>
      </c>
      <c r="L135" s="1" t="s">
        <v>137</v>
      </c>
      <c r="M135" s="6"/>
      <c r="N135" s="7">
        <v>16669.650000000001</v>
      </c>
      <c r="O135" s="6">
        <v>13454.55</v>
      </c>
      <c r="P135" s="6">
        <v>3215.1</v>
      </c>
      <c r="Q135" s="79">
        <v>2691.5</v>
      </c>
      <c r="R135" s="79">
        <v>0</v>
      </c>
      <c r="S135" s="79">
        <v>0</v>
      </c>
      <c r="T135" s="86">
        <f>Q135/O135</f>
        <v>0.20004385133653671</v>
      </c>
      <c r="U135" s="1">
        <v>3</v>
      </c>
      <c r="V135" s="1" t="s">
        <v>137</v>
      </c>
      <c r="W135" s="6"/>
      <c r="X135" s="7">
        <v>16669.650000000001</v>
      </c>
      <c r="Y135" s="6">
        <v>13454.55</v>
      </c>
      <c r="Z135" s="6">
        <v>3215.1</v>
      </c>
      <c r="AA135" s="79">
        <v>2018.63</v>
      </c>
      <c r="AB135" s="79">
        <v>0</v>
      </c>
      <c r="AC135" s="79">
        <v>0</v>
      </c>
      <c r="AD135" s="86">
        <f>AA135/Y135</f>
        <v>0.15003326012389862</v>
      </c>
      <c r="AE135" s="1">
        <v>3</v>
      </c>
      <c r="AF135" s="1" t="s">
        <v>137</v>
      </c>
      <c r="AG135" s="6">
        <v>0</v>
      </c>
      <c r="AH135" s="7">
        <v>16672.990000000002</v>
      </c>
      <c r="AI135" s="6">
        <v>13454.55</v>
      </c>
      <c r="AJ135" s="6">
        <v>3215.1</v>
      </c>
      <c r="AK135" s="79">
        <v>2018.63</v>
      </c>
      <c r="AL135" s="79">
        <v>0</v>
      </c>
      <c r="AM135" s="79">
        <v>0</v>
      </c>
      <c r="AN135" s="86">
        <f>AK135/AI135</f>
        <v>0.15003326012389862</v>
      </c>
      <c r="AO135" s="1">
        <v>3</v>
      </c>
      <c r="AP135" s="1" t="s">
        <v>137</v>
      </c>
      <c r="AQ135" s="6">
        <v>0</v>
      </c>
      <c r="AR135" s="7">
        <v>16647.13</v>
      </c>
      <c r="AS135" s="6">
        <v>13205.43</v>
      </c>
      <c r="AT135" s="6">
        <v>3441.7</v>
      </c>
      <c r="AU135" s="79">
        <v>1733.21</v>
      </c>
      <c r="AV135" s="79">
        <v>0</v>
      </c>
      <c r="AW135" s="79">
        <v>0</v>
      </c>
      <c r="AX135" s="86">
        <f>AU135/AS135</f>
        <v>0.13124979648523372</v>
      </c>
      <c r="AY135" s="1">
        <v>3</v>
      </c>
      <c r="AZ135" s="1" t="s">
        <v>137</v>
      </c>
      <c r="BA135" s="6">
        <v>0</v>
      </c>
      <c r="BB135" s="7">
        <v>16647.13</v>
      </c>
      <c r="BC135" s="6">
        <v>13457.51</v>
      </c>
      <c r="BD135" s="6">
        <v>3189.62</v>
      </c>
      <c r="BE135" s="40">
        <v>2691.5</v>
      </c>
      <c r="BF135" s="79">
        <v>0</v>
      </c>
      <c r="BG135" s="79">
        <v>0</v>
      </c>
      <c r="BH135" s="86">
        <f>BE135/BC135</f>
        <v>0.19999985138409707</v>
      </c>
      <c r="BI135" s="1">
        <v>3</v>
      </c>
      <c r="BJ135" s="1" t="s">
        <v>137</v>
      </c>
      <c r="BK135" s="6"/>
      <c r="BL135" s="7">
        <v>16647.13</v>
      </c>
      <c r="BM135" s="6">
        <v>14949.2</v>
      </c>
      <c r="BN135" s="53">
        <v>1697.93</v>
      </c>
      <c r="BO135" s="79">
        <v>2242.38</v>
      </c>
      <c r="BP135" s="79"/>
      <c r="BQ135" s="79"/>
      <c r="BR135" s="79">
        <f t="shared" si="107"/>
        <v>0.15</v>
      </c>
      <c r="BS135" s="1">
        <v>3</v>
      </c>
      <c r="BT135" s="1" t="s">
        <v>137</v>
      </c>
      <c r="BU135" s="6"/>
      <c r="BV135" s="7">
        <v>16647.13</v>
      </c>
      <c r="BW135" s="6">
        <v>14949.2</v>
      </c>
      <c r="BX135" s="6">
        <v>1697.93</v>
      </c>
      <c r="BY135" s="40">
        <v>2242.38</v>
      </c>
      <c r="BZ135" s="79"/>
      <c r="CA135" s="79"/>
      <c r="CB135" s="79">
        <f t="shared" si="108"/>
        <v>0.15</v>
      </c>
      <c r="CC135" s="1">
        <v>3</v>
      </c>
      <c r="CD135" s="1" t="s">
        <v>137</v>
      </c>
      <c r="CE135" s="6"/>
      <c r="CF135" s="7">
        <v>16647.13</v>
      </c>
      <c r="CG135" s="6">
        <v>14949.2</v>
      </c>
      <c r="CH135" s="6">
        <v>1697.93</v>
      </c>
      <c r="CI135" s="79">
        <v>2242.38</v>
      </c>
      <c r="CJ135" s="79"/>
      <c r="CK135" s="79"/>
      <c r="CL135" s="79">
        <f t="shared" si="109"/>
        <v>0.15</v>
      </c>
      <c r="CM135" s="1">
        <v>3</v>
      </c>
      <c r="CN135" s="1" t="s">
        <v>137</v>
      </c>
      <c r="CO135" s="6"/>
      <c r="CP135" s="7">
        <v>16647.13</v>
      </c>
      <c r="CQ135" s="6">
        <v>14949.2</v>
      </c>
      <c r="CR135" s="6">
        <v>1697.93</v>
      </c>
      <c r="CS135" s="79">
        <v>2242.38</v>
      </c>
      <c r="CT135" s="79"/>
      <c r="CU135" s="79"/>
      <c r="CV135" s="86">
        <f>CS135/CQ135</f>
        <v>0.15</v>
      </c>
      <c r="CW135" s="1">
        <v>3</v>
      </c>
      <c r="CX135" s="1" t="s">
        <v>137</v>
      </c>
      <c r="CY135" s="6"/>
      <c r="CZ135" s="7">
        <v>16647.13</v>
      </c>
      <c r="DA135" s="6">
        <v>14949.2</v>
      </c>
      <c r="DB135" s="6">
        <v>1697.93</v>
      </c>
      <c r="DC135" s="40">
        <v>1868.65</v>
      </c>
      <c r="DD135" s="79"/>
      <c r="DE135" s="79"/>
      <c r="DF135" s="79">
        <f t="shared" si="110"/>
        <v>0.125</v>
      </c>
      <c r="DG135" s="1">
        <v>3</v>
      </c>
      <c r="DH135" s="1" t="s">
        <v>137</v>
      </c>
      <c r="DI135" s="6"/>
      <c r="DJ135" s="7">
        <v>16647.13</v>
      </c>
      <c r="DK135" s="6">
        <v>14949.2</v>
      </c>
      <c r="DL135" s="6">
        <v>1697.93</v>
      </c>
      <c r="DM135" s="40"/>
      <c r="DN135" s="79"/>
      <c r="DO135" s="79"/>
      <c r="DP135" s="79">
        <f t="shared" si="111"/>
        <v>0</v>
      </c>
      <c r="DQ135" s="1">
        <v>3</v>
      </c>
      <c r="DR135" s="1" t="s">
        <v>137</v>
      </c>
      <c r="DS135" s="6">
        <v>0</v>
      </c>
      <c r="DT135" s="95">
        <f>SUM(D135+N135+X135+AH135+AR135+BB135+BL135+BV135+CF135+CP135+CZ135+DJ135)/12</f>
        <v>16655.193333333336</v>
      </c>
      <c r="DU135" s="6">
        <f>SUM(E135+O135+Y135+DV135+AI135+AS135+BC135+BM135+BW135+CG135+CQ135+DA135+DK135)/12</f>
        <v>14181.361666666669</v>
      </c>
      <c r="DV135" s="6">
        <v>0</v>
      </c>
      <c r="DW135" s="79">
        <f>SUM(G135+Q135+AA135+AK135+AU135+BE135+BO135+BY135+CI135+CS135+DC135+DM135)</f>
        <v>24010.270000000004</v>
      </c>
      <c r="DX135" s="79">
        <v>0</v>
      </c>
      <c r="DY135" s="79">
        <v>0</v>
      </c>
      <c r="DZ135" s="86">
        <f t="shared" si="123"/>
        <v>1.6930863597136947</v>
      </c>
    </row>
    <row r="136" spans="1:144" x14ac:dyDescent="0.3">
      <c r="A136" s="1">
        <v>4</v>
      </c>
      <c r="B136" s="1" t="s">
        <v>138</v>
      </c>
      <c r="C136" s="6"/>
      <c r="D136" s="7">
        <v>582.9</v>
      </c>
      <c r="E136" s="6">
        <v>582.9</v>
      </c>
      <c r="F136" s="6">
        <v>0</v>
      </c>
      <c r="G136" s="79">
        <v>87.44</v>
      </c>
      <c r="H136" s="79">
        <v>0</v>
      </c>
      <c r="I136" s="79">
        <v>0</v>
      </c>
      <c r="J136" s="86">
        <f>G136/E136</f>
        <v>0.15000857780065191</v>
      </c>
      <c r="K136" s="1">
        <v>4</v>
      </c>
      <c r="L136" s="1" t="s">
        <v>138</v>
      </c>
      <c r="M136" s="6"/>
      <c r="N136" s="7">
        <v>587.98</v>
      </c>
      <c r="O136" s="6">
        <v>587.98</v>
      </c>
      <c r="P136" s="6">
        <v>0</v>
      </c>
      <c r="Q136" s="79">
        <v>116.58</v>
      </c>
      <c r="R136" s="79">
        <v>0</v>
      </c>
      <c r="S136" s="79">
        <v>0</v>
      </c>
      <c r="T136" s="86">
        <f>Q136/O136</f>
        <v>0.19827205006973025</v>
      </c>
      <c r="U136" s="1">
        <v>4</v>
      </c>
      <c r="V136" s="1" t="s">
        <v>138</v>
      </c>
      <c r="W136" s="6"/>
      <c r="X136" s="7">
        <v>587.98</v>
      </c>
      <c r="Y136" s="6">
        <v>587.98</v>
      </c>
      <c r="Z136" s="6">
        <v>0</v>
      </c>
      <c r="AA136" s="79">
        <v>87.44</v>
      </c>
      <c r="AB136" s="79">
        <v>0</v>
      </c>
      <c r="AC136" s="79">
        <v>0</v>
      </c>
      <c r="AD136" s="86">
        <f>AA136/Y136</f>
        <v>0.1487125412428994</v>
      </c>
      <c r="AE136" s="1">
        <v>4</v>
      </c>
      <c r="AF136" s="1" t="s">
        <v>138</v>
      </c>
      <c r="AG136" s="6">
        <v>0</v>
      </c>
      <c r="AH136" s="7">
        <v>582.9</v>
      </c>
      <c r="AI136" s="6">
        <v>582.9</v>
      </c>
      <c r="AJ136" s="6">
        <v>0</v>
      </c>
      <c r="AK136" s="79">
        <v>87.44</v>
      </c>
      <c r="AL136" s="79">
        <v>0</v>
      </c>
      <c r="AM136" s="79">
        <v>0</v>
      </c>
      <c r="AN136" s="86">
        <f>AK136/AI136</f>
        <v>0.15000857780065191</v>
      </c>
      <c r="AO136" s="1">
        <v>4</v>
      </c>
      <c r="AP136" s="1" t="s">
        <v>138</v>
      </c>
      <c r="AQ136" s="6">
        <v>0</v>
      </c>
      <c r="AR136" s="7">
        <v>586.91</v>
      </c>
      <c r="AS136" s="6">
        <v>586.91</v>
      </c>
      <c r="AT136" s="6">
        <v>0</v>
      </c>
      <c r="AU136" s="79">
        <v>84.37</v>
      </c>
      <c r="AV136" s="79">
        <v>0</v>
      </c>
      <c r="AW136" s="79">
        <v>0</v>
      </c>
      <c r="AX136" s="86">
        <f>AU136/AS136</f>
        <v>0.14375287522788846</v>
      </c>
      <c r="AY136" s="1">
        <v>4</v>
      </c>
      <c r="AZ136" s="1" t="s">
        <v>138</v>
      </c>
      <c r="BA136" s="6">
        <v>0</v>
      </c>
      <c r="BB136" s="7">
        <v>586.91</v>
      </c>
      <c r="BC136" s="6">
        <v>586.91</v>
      </c>
      <c r="BD136" s="6">
        <v>0</v>
      </c>
      <c r="BE136" s="40">
        <v>80.7</v>
      </c>
      <c r="BF136" s="79">
        <v>0</v>
      </c>
      <c r="BG136" s="79">
        <v>0</v>
      </c>
      <c r="BH136" s="86">
        <f>BE136/BC136</f>
        <v>0.13749978702015642</v>
      </c>
      <c r="BI136" s="1">
        <v>4</v>
      </c>
      <c r="BJ136" s="1" t="s">
        <v>138</v>
      </c>
      <c r="BK136" s="6"/>
      <c r="BL136" s="7">
        <v>582.9</v>
      </c>
      <c r="BM136" s="6">
        <v>582.9</v>
      </c>
      <c r="BN136" s="6">
        <v>0</v>
      </c>
      <c r="BO136" s="79">
        <v>87.44</v>
      </c>
      <c r="BP136" s="79"/>
      <c r="BQ136" s="79"/>
      <c r="BR136" s="79">
        <f t="shared" si="107"/>
        <v>0.15000857780065191</v>
      </c>
      <c r="BS136" s="1">
        <v>4</v>
      </c>
      <c r="BT136" s="1" t="s">
        <v>138</v>
      </c>
      <c r="BU136" s="6"/>
      <c r="BV136" s="7">
        <v>582.9</v>
      </c>
      <c r="BW136" s="6">
        <v>582.9</v>
      </c>
      <c r="BX136" s="6">
        <v>0</v>
      </c>
      <c r="BY136" s="40">
        <v>87.44</v>
      </c>
      <c r="BZ136" s="79"/>
      <c r="CA136" s="79"/>
      <c r="CB136" s="79">
        <f t="shared" si="108"/>
        <v>0.15000857780065191</v>
      </c>
      <c r="CC136" s="1">
        <v>4</v>
      </c>
      <c r="CD136" s="1" t="s">
        <v>138</v>
      </c>
      <c r="CE136" s="6"/>
      <c r="CF136" s="7">
        <v>582.9</v>
      </c>
      <c r="CG136" s="6">
        <v>582.9</v>
      </c>
      <c r="CH136" s="6">
        <v>0</v>
      </c>
      <c r="CI136" s="79">
        <v>87.44</v>
      </c>
      <c r="CJ136" s="79"/>
      <c r="CK136" s="79"/>
      <c r="CL136" s="79">
        <f t="shared" si="109"/>
        <v>0.15000857780065191</v>
      </c>
      <c r="CM136" s="1">
        <v>4</v>
      </c>
      <c r="CN136" s="1" t="s">
        <v>138</v>
      </c>
      <c r="CO136" s="6"/>
      <c r="CP136" s="7">
        <v>582.9</v>
      </c>
      <c r="CQ136" s="6">
        <v>582.9</v>
      </c>
      <c r="CR136" s="6">
        <v>0</v>
      </c>
      <c r="CS136" s="79">
        <v>80.7</v>
      </c>
      <c r="CT136" s="79"/>
      <c r="CU136" s="79"/>
      <c r="CV136" s="86">
        <f>CS136/CQ136</f>
        <v>0.13844570252187341</v>
      </c>
      <c r="CW136" s="1">
        <v>4</v>
      </c>
      <c r="CX136" s="1" t="s">
        <v>138</v>
      </c>
      <c r="CY136" s="6"/>
      <c r="CZ136" s="7">
        <v>582.9</v>
      </c>
      <c r="DA136" s="6">
        <v>582.9</v>
      </c>
      <c r="DB136" s="6">
        <v>0</v>
      </c>
      <c r="DC136" s="40">
        <v>72.86</v>
      </c>
      <c r="DD136" s="79"/>
      <c r="DE136" s="79"/>
      <c r="DF136" s="79">
        <f t="shared" si="110"/>
        <v>0.12499571109967404</v>
      </c>
      <c r="DG136" s="1">
        <v>4</v>
      </c>
      <c r="DH136" s="1" t="s">
        <v>138</v>
      </c>
      <c r="DI136" s="6"/>
      <c r="DJ136" s="7">
        <v>582.9</v>
      </c>
      <c r="DK136" s="6">
        <v>582.9</v>
      </c>
      <c r="DL136" s="6">
        <v>0</v>
      </c>
      <c r="DM136" s="40"/>
      <c r="DN136" s="79"/>
      <c r="DO136" s="79"/>
      <c r="DP136" s="79">
        <f t="shared" si="111"/>
        <v>0</v>
      </c>
      <c r="DQ136" s="1">
        <v>4</v>
      </c>
      <c r="DR136" s="1" t="s">
        <v>138</v>
      </c>
      <c r="DS136" s="6">
        <v>0</v>
      </c>
      <c r="DT136" s="95">
        <f t="shared" si="121"/>
        <v>584.41499999999985</v>
      </c>
      <c r="DU136" s="51">
        <f>SUM(E136+O136+Y136+AI136+AS136+BC136+BM136+BW136+CG136+CQ136+DA136+DK136)/12</f>
        <v>584.41499999999985</v>
      </c>
      <c r="DV136" s="51">
        <v>0</v>
      </c>
      <c r="DW136" s="147">
        <f t="shared" si="122"/>
        <v>959.85000000000025</v>
      </c>
      <c r="DX136" s="79">
        <v>0</v>
      </c>
      <c r="DY136" s="79">
        <v>0</v>
      </c>
      <c r="DZ136" s="86">
        <f t="shared" si="123"/>
        <v>1.6424116424116433</v>
      </c>
    </row>
    <row r="137" spans="1:144" x14ac:dyDescent="0.3">
      <c r="A137" s="1">
        <v>5</v>
      </c>
      <c r="B137" s="1" t="s">
        <v>124</v>
      </c>
      <c r="C137" s="6"/>
      <c r="D137" s="7">
        <v>908.73</v>
      </c>
      <c r="E137" s="6">
        <v>908.73</v>
      </c>
      <c r="F137" s="6">
        <v>0</v>
      </c>
      <c r="G137" s="79">
        <v>1056.3900000000001</v>
      </c>
      <c r="H137" s="79">
        <v>0</v>
      </c>
      <c r="I137" s="79">
        <v>0</v>
      </c>
      <c r="J137" s="86">
        <f>G137/E137</f>
        <v>1.1624905087319666</v>
      </c>
      <c r="K137" s="1">
        <v>5</v>
      </c>
      <c r="L137" s="1" t="s">
        <v>124</v>
      </c>
      <c r="M137" s="6"/>
      <c r="N137" s="7">
        <v>896.97</v>
      </c>
      <c r="O137" s="6">
        <v>896.97</v>
      </c>
      <c r="P137" s="6">
        <v>0</v>
      </c>
      <c r="Q137" s="79">
        <v>85285.07</v>
      </c>
      <c r="R137" s="79">
        <v>0</v>
      </c>
      <c r="S137" s="79">
        <v>0</v>
      </c>
      <c r="T137" s="86">
        <f>Q137/O137</f>
        <v>95.081295918481118</v>
      </c>
      <c r="U137" s="1">
        <v>5</v>
      </c>
      <c r="V137" s="1" t="s">
        <v>124</v>
      </c>
      <c r="W137" s="6"/>
      <c r="X137" s="7">
        <v>896.97</v>
      </c>
      <c r="Y137" s="6">
        <v>896.97</v>
      </c>
      <c r="Z137" s="6">
        <v>0</v>
      </c>
      <c r="AA137" s="79">
        <v>1056.3900000000001</v>
      </c>
      <c r="AB137" s="79">
        <v>0</v>
      </c>
      <c r="AC137" s="79">
        <v>0</v>
      </c>
      <c r="AD137" s="86">
        <f>AA137/Y137</f>
        <v>1.1777316967122646</v>
      </c>
      <c r="AE137" s="1">
        <v>5</v>
      </c>
      <c r="AF137" s="1" t="s">
        <v>124</v>
      </c>
      <c r="AG137" s="6">
        <v>0</v>
      </c>
      <c r="AH137" s="7">
        <v>908.73</v>
      </c>
      <c r="AI137" s="6">
        <v>908.73</v>
      </c>
      <c r="AJ137" s="6">
        <v>0</v>
      </c>
      <c r="AK137" s="79">
        <v>1056.3900000000001</v>
      </c>
      <c r="AL137" s="79">
        <v>0</v>
      </c>
      <c r="AM137" s="79">
        <v>0</v>
      </c>
      <c r="AN137" s="86">
        <f>AK137/AI137</f>
        <v>1.1624905087319666</v>
      </c>
      <c r="AO137" s="1">
        <v>5</v>
      </c>
      <c r="AP137" s="1" t="s">
        <v>124</v>
      </c>
      <c r="AQ137" s="6">
        <v>0</v>
      </c>
      <c r="AR137" s="7">
        <v>880.36</v>
      </c>
      <c r="AS137" s="6">
        <v>880.36</v>
      </c>
      <c r="AT137" s="6">
        <v>0</v>
      </c>
      <c r="AU137" s="79">
        <v>1056.3900000000001</v>
      </c>
      <c r="AV137" s="79">
        <v>0</v>
      </c>
      <c r="AW137" s="79">
        <v>0</v>
      </c>
      <c r="AX137" s="86">
        <f>AU137/AS137</f>
        <v>1.199952292244082</v>
      </c>
      <c r="AY137" s="1">
        <v>5</v>
      </c>
      <c r="AZ137" s="1" t="s">
        <v>124</v>
      </c>
      <c r="BA137" s="6">
        <v>0</v>
      </c>
      <c r="BB137" s="7">
        <v>880.36</v>
      </c>
      <c r="BC137" s="6">
        <v>880.36</v>
      </c>
      <c r="BD137" s="6">
        <v>0</v>
      </c>
      <c r="BE137" s="40">
        <v>1022.32</v>
      </c>
      <c r="BF137" s="79">
        <v>0</v>
      </c>
      <c r="BG137" s="79">
        <v>0</v>
      </c>
      <c r="BH137" s="86">
        <f>BE137/BC137</f>
        <v>1.1612522150029534</v>
      </c>
      <c r="BI137" s="1">
        <v>5</v>
      </c>
      <c r="BJ137" s="1" t="s">
        <v>124</v>
      </c>
      <c r="BK137" s="6"/>
      <c r="BL137" s="7">
        <v>908.73</v>
      </c>
      <c r="BM137" s="6">
        <v>908.73</v>
      </c>
      <c r="BN137" s="6">
        <v>0</v>
      </c>
      <c r="BO137" s="79">
        <v>1056.3900000000001</v>
      </c>
      <c r="BP137" s="79"/>
      <c r="BQ137" s="79"/>
      <c r="BR137" s="79">
        <f t="shared" si="107"/>
        <v>1.1624905087319666</v>
      </c>
      <c r="BS137" s="1">
        <v>5</v>
      </c>
      <c r="BT137" s="1" t="s">
        <v>124</v>
      </c>
      <c r="BU137" s="6"/>
      <c r="BV137" s="7">
        <v>908.73</v>
      </c>
      <c r="BW137" s="6">
        <v>908.73</v>
      </c>
      <c r="BX137" s="6">
        <v>0</v>
      </c>
      <c r="BY137" s="40">
        <v>1056.3900000000001</v>
      </c>
      <c r="BZ137" s="79"/>
      <c r="CA137" s="79"/>
      <c r="CB137" s="79">
        <f t="shared" si="108"/>
        <v>1.1624905087319666</v>
      </c>
      <c r="CC137" s="1">
        <v>5</v>
      </c>
      <c r="CD137" s="1" t="s">
        <v>124</v>
      </c>
      <c r="CE137" s="6"/>
      <c r="CF137" s="7">
        <v>908.73</v>
      </c>
      <c r="CG137" s="6">
        <v>908.73</v>
      </c>
      <c r="CH137" s="6">
        <v>0</v>
      </c>
      <c r="CI137" s="79">
        <v>1022.32</v>
      </c>
      <c r="CJ137" s="79"/>
      <c r="CK137" s="79"/>
      <c r="CL137" s="79">
        <f t="shared" si="109"/>
        <v>1.1249986244539083</v>
      </c>
      <c r="CM137" s="1">
        <v>5</v>
      </c>
      <c r="CN137" s="1" t="s">
        <v>124</v>
      </c>
      <c r="CO137" s="6"/>
      <c r="CP137" s="7">
        <v>908.73</v>
      </c>
      <c r="CQ137" s="6">
        <v>908.73</v>
      </c>
      <c r="CR137" s="6">
        <v>0</v>
      </c>
      <c r="CS137" s="79">
        <v>1056.3900000000001</v>
      </c>
      <c r="CT137" s="79"/>
      <c r="CU137" s="79"/>
      <c r="CV137" s="86">
        <f>CS137/CQ137</f>
        <v>1.1624905087319666</v>
      </c>
      <c r="CW137" s="1">
        <v>5</v>
      </c>
      <c r="CX137" s="1" t="s">
        <v>124</v>
      </c>
      <c r="CY137" s="6"/>
      <c r="CZ137" s="7">
        <v>908.73</v>
      </c>
      <c r="DA137" s="6">
        <v>908.73</v>
      </c>
      <c r="DB137" s="6">
        <v>0</v>
      </c>
      <c r="DC137" s="40">
        <v>1022.32</v>
      </c>
      <c r="DD137" s="79"/>
      <c r="DE137" s="79"/>
      <c r="DF137" s="79">
        <f t="shared" si="110"/>
        <v>1.1249986244539083</v>
      </c>
      <c r="DG137" s="1">
        <v>5</v>
      </c>
      <c r="DH137" s="1" t="s">
        <v>124</v>
      </c>
      <c r="DI137" s="6"/>
      <c r="DJ137" s="7">
        <v>908.73</v>
      </c>
      <c r="DK137" s="6">
        <v>908.73</v>
      </c>
      <c r="DL137" s="6">
        <v>0</v>
      </c>
      <c r="DM137" s="40"/>
      <c r="DN137" s="79"/>
      <c r="DO137" s="79"/>
      <c r="DP137" s="79">
        <f t="shared" si="111"/>
        <v>0</v>
      </c>
      <c r="DQ137" s="1">
        <v>5</v>
      </c>
      <c r="DR137" s="1" t="s">
        <v>124</v>
      </c>
      <c r="DS137" s="6">
        <v>0</v>
      </c>
      <c r="DT137" s="95">
        <f t="shared" si="121"/>
        <v>902.04166666666652</v>
      </c>
      <c r="DU137" s="51">
        <f>SUM(E137+O137+Y137+AI137+AS137+BC137+BM137+BW137+CG137+CQ137+DA137+DK137)/12</f>
        <v>902.04166666666652</v>
      </c>
      <c r="DV137" s="146">
        <v>0</v>
      </c>
      <c r="DW137" s="147">
        <f t="shared" si="122"/>
        <v>95746.760000000024</v>
      </c>
      <c r="DX137" s="79">
        <v>0</v>
      </c>
      <c r="DY137" s="79">
        <v>0</v>
      </c>
      <c r="DZ137" s="86">
        <f t="shared" si="123"/>
        <v>106.14449812924389</v>
      </c>
    </row>
    <row r="138" spans="1:144" s="30" customFormat="1" x14ac:dyDescent="0.3">
      <c r="A138" s="1">
        <v>6</v>
      </c>
      <c r="B138" s="1" t="s">
        <v>139</v>
      </c>
      <c r="C138" s="6"/>
      <c r="D138" s="7">
        <v>4431.3999999999996</v>
      </c>
      <c r="E138" s="6">
        <v>0</v>
      </c>
      <c r="F138" s="6">
        <v>4431.3999999999996</v>
      </c>
      <c r="G138" s="79">
        <v>0</v>
      </c>
      <c r="H138" s="79">
        <v>0</v>
      </c>
      <c r="I138" s="79">
        <v>0</v>
      </c>
      <c r="J138" s="86">
        <v>0</v>
      </c>
      <c r="K138" s="1">
        <v>6</v>
      </c>
      <c r="L138" s="1" t="s">
        <v>139</v>
      </c>
      <c r="M138" s="6"/>
      <c r="N138" s="7">
        <v>5184.84</v>
      </c>
      <c r="O138" s="6">
        <v>0</v>
      </c>
      <c r="P138" s="6">
        <v>5184.84</v>
      </c>
      <c r="Q138" s="79">
        <v>0</v>
      </c>
      <c r="R138" s="79">
        <v>0</v>
      </c>
      <c r="S138" s="79">
        <v>0</v>
      </c>
      <c r="T138" s="86">
        <v>0</v>
      </c>
      <c r="U138" s="1">
        <v>6</v>
      </c>
      <c r="V138" s="1" t="s">
        <v>139</v>
      </c>
      <c r="W138" s="6"/>
      <c r="X138" s="7">
        <v>5184.84</v>
      </c>
      <c r="Y138" s="6">
        <v>0</v>
      </c>
      <c r="Z138" s="6">
        <v>0</v>
      </c>
      <c r="AA138" s="79">
        <v>0</v>
      </c>
      <c r="AB138" s="79">
        <v>0</v>
      </c>
      <c r="AC138" s="79">
        <v>0</v>
      </c>
      <c r="AD138" s="86">
        <v>0</v>
      </c>
      <c r="AE138" s="1">
        <v>6</v>
      </c>
      <c r="AF138" s="1" t="s">
        <v>139</v>
      </c>
      <c r="AG138" s="6">
        <v>0</v>
      </c>
      <c r="AH138" s="7">
        <v>4431.3999999999996</v>
      </c>
      <c r="AI138" s="6">
        <v>0</v>
      </c>
      <c r="AJ138" s="6">
        <v>4431.3999999999996</v>
      </c>
      <c r="AK138" s="79">
        <v>0</v>
      </c>
      <c r="AL138" s="79">
        <v>0</v>
      </c>
      <c r="AM138" s="79">
        <v>0</v>
      </c>
      <c r="AN138" s="86">
        <v>0</v>
      </c>
      <c r="AO138" s="1">
        <v>6</v>
      </c>
      <c r="AP138" s="1" t="s">
        <v>139</v>
      </c>
      <c r="AQ138" s="6">
        <v>0</v>
      </c>
      <c r="AR138" s="7">
        <v>6633.6</v>
      </c>
      <c r="AS138" s="6">
        <v>0</v>
      </c>
      <c r="AT138" s="6">
        <v>6633.6</v>
      </c>
      <c r="AU138" s="79">
        <v>0</v>
      </c>
      <c r="AV138" s="79">
        <v>0</v>
      </c>
      <c r="AW138" s="79">
        <v>0</v>
      </c>
      <c r="AX138" s="86" t="e">
        <f>AU138/AS138</f>
        <v>#DIV/0!</v>
      </c>
      <c r="AY138" s="1">
        <v>6</v>
      </c>
      <c r="AZ138" s="1" t="s">
        <v>139</v>
      </c>
      <c r="BA138" s="6">
        <v>0</v>
      </c>
      <c r="BB138" s="7">
        <v>6633.6</v>
      </c>
      <c r="BC138" s="6">
        <v>663.36</v>
      </c>
      <c r="BD138" s="6">
        <v>5970.24</v>
      </c>
      <c r="BE138" s="40">
        <v>3571.45</v>
      </c>
      <c r="BF138" s="79">
        <v>0</v>
      </c>
      <c r="BG138" s="79">
        <v>0</v>
      </c>
      <c r="BH138" s="86">
        <f>BE138/BC138</f>
        <v>5.3838790400385914</v>
      </c>
      <c r="BI138" s="1">
        <v>6</v>
      </c>
      <c r="BJ138" s="1" t="s">
        <v>139</v>
      </c>
      <c r="BK138" s="6"/>
      <c r="BL138" s="7">
        <v>7295.2</v>
      </c>
      <c r="BM138" s="6">
        <v>1094.28</v>
      </c>
      <c r="BN138" s="6">
        <v>6200.92</v>
      </c>
      <c r="BO138" s="79">
        <v>4969.17</v>
      </c>
      <c r="BP138" s="79"/>
      <c r="BQ138" s="79"/>
      <c r="BR138" s="79">
        <f t="shared" si="107"/>
        <v>4.5410406842855577</v>
      </c>
      <c r="BS138" s="1">
        <v>6</v>
      </c>
      <c r="BT138" s="1" t="s">
        <v>139</v>
      </c>
      <c r="BU138" s="6"/>
      <c r="BV138" s="7">
        <v>7295.2</v>
      </c>
      <c r="BW138" s="6">
        <v>1604.94</v>
      </c>
      <c r="BX138" s="6">
        <v>5690.26</v>
      </c>
      <c r="BY138" s="40">
        <v>7288.11</v>
      </c>
      <c r="BZ138" s="79"/>
      <c r="CA138" s="79"/>
      <c r="CB138" s="79">
        <f t="shared" si="108"/>
        <v>4.541048263486485</v>
      </c>
      <c r="CC138" s="1">
        <v>6</v>
      </c>
      <c r="CD138" s="1" t="s">
        <v>139</v>
      </c>
      <c r="CE138" s="6"/>
      <c r="CF138" s="7">
        <v>7295.2</v>
      </c>
      <c r="CG138" s="6">
        <v>1707.08</v>
      </c>
      <c r="CH138" s="6">
        <v>5588.12</v>
      </c>
      <c r="CI138" s="79">
        <v>1151.9000000000001</v>
      </c>
      <c r="CJ138" s="79"/>
      <c r="CK138" s="79"/>
      <c r="CL138" s="79">
        <f t="shared" si="109"/>
        <v>0.67477798345713158</v>
      </c>
      <c r="CM138" s="1">
        <v>6</v>
      </c>
      <c r="CN138" s="1" t="s">
        <v>139</v>
      </c>
      <c r="CO138" s="6"/>
      <c r="CP138" s="7">
        <v>7295.2</v>
      </c>
      <c r="CQ138" s="6">
        <v>1823.8</v>
      </c>
      <c r="CR138" s="6">
        <v>5471.4</v>
      </c>
      <c r="CS138" s="79">
        <v>8413.66</v>
      </c>
      <c r="CT138" s="79"/>
      <c r="CU138" s="79"/>
      <c r="CV138" s="86">
        <f>CS138/CQ138</f>
        <v>4.6132580326790222</v>
      </c>
      <c r="CW138" s="1">
        <v>6</v>
      </c>
      <c r="CX138" s="1" t="s">
        <v>139</v>
      </c>
      <c r="CY138" s="6"/>
      <c r="CZ138" s="7">
        <v>7295.2</v>
      </c>
      <c r="DA138" s="6">
        <v>335.58</v>
      </c>
      <c r="DB138" s="6">
        <v>6959.62</v>
      </c>
      <c r="DC138" s="40">
        <v>1750.97</v>
      </c>
      <c r="DD138" s="79"/>
      <c r="DE138" s="79"/>
      <c r="DF138" s="79">
        <f t="shared" si="110"/>
        <v>5.2177424161153825</v>
      </c>
      <c r="DG138" s="1">
        <v>6</v>
      </c>
      <c r="DH138" s="1" t="s">
        <v>139</v>
      </c>
      <c r="DI138" s="6"/>
      <c r="DJ138" s="7">
        <v>7295.2</v>
      </c>
      <c r="DK138" s="6">
        <v>0</v>
      </c>
      <c r="DL138" s="6">
        <v>7295.2</v>
      </c>
      <c r="DM138" s="40"/>
      <c r="DN138" s="79"/>
      <c r="DO138" s="79"/>
      <c r="DP138" s="79" t="e">
        <f t="shared" si="111"/>
        <v>#DIV/0!</v>
      </c>
      <c r="DQ138" s="1">
        <v>6</v>
      </c>
      <c r="DR138" s="1" t="s">
        <v>139</v>
      </c>
      <c r="DS138" s="6">
        <v>0</v>
      </c>
      <c r="DT138" s="7">
        <f t="shared" si="121"/>
        <v>6355.9066666666658</v>
      </c>
      <c r="DU138" s="6">
        <f>SUM(E138+O138+Y138+AI138+AS138+BC138+BM138+BW138+CG138+CQ138+DA138+DK138)</f>
        <v>7229.04</v>
      </c>
      <c r="DV138" s="6">
        <v>0</v>
      </c>
      <c r="DW138" s="79">
        <f t="shared" si="122"/>
        <v>27145.260000000002</v>
      </c>
      <c r="DX138" s="79">
        <v>0</v>
      </c>
      <c r="DY138" s="79">
        <v>0</v>
      </c>
      <c r="DZ138" s="86">
        <f t="shared" si="123"/>
        <v>3.7550297134889283</v>
      </c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</row>
    <row r="139" spans="1:144" x14ac:dyDescent="0.3">
      <c r="D139"/>
      <c r="AD139"/>
      <c r="BN139"/>
      <c r="CO139"/>
      <c r="DG139"/>
      <c r="DP139"/>
    </row>
    <row r="140" spans="1:144" x14ac:dyDescent="0.3">
      <c r="D140"/>
      <c r="AD140"/>
      <c r="BN140"/>
      <c r="CO140"/>
      <c r="DG140"/>
      <c r="DP140"/>
    </row>
    <row r="141" spans="1:144" x14ac:dyDescent="0.3">
      <c r="D141" s="10"/>
      <c r="E141" s="5"/>
      <c r="F141" s="5"/>
      <c r="G141" s="5"/>
      <c r="H141" s="11"/>
      <c r="I141" s="11"/>
      <c r="J141" s="11"/>
      <c r="N141" s="10"/>
      <c r="O141" s="5"/>
      <c r="P141" s="5"/>
      <c r="Q141" s="5"/>
      <c r="R141" s="11"/>
      <c r="S141" s="11"/>
      <c r="T141" s="11"/>
      <c r="X141" s="10"/>
      <c r="Y141" s="5"/>
      <c r="Z141" s="5"/>
      <c r="AA141" s="5"/>
      <c r="AB141" s="11"/>
      <c r="AC141" s="11"/>
      <c r="AD141" s="11"/>
      <c r="AH141" s="10"/>
      <c r="AI141" s="5"/>
      <c r="AJ141" s="5"/>
      <c r="AK141" s="5"/>
      <c r="AL141" s="11"/>
      <c r="AM141" s="11"/>
      <c r="AN141" s="11"/>
      <c r="AR141" s="10"/>
      <c r="AS141" s="5"/>
      <c r="AT141" s="5"/>
      <c r="AU141" s="5"/>
      <c r="AV141" s="11"/>
      <c r="AW141" s="11"/>
      <c r="AX141" s="11"/>
      <c r="BB141" s="10"/>
      <c r="BC141" s="5"/>
      <c r="BD141" s="5"/>
      <c r="BE141" s="46"/>
      <c r="BF141" s="11"/>
      <c r="BG141" s="11"/>
      <c r="BH141" s="11"/>
      <c r="BL141" s="10"/>
      <c r="BM141" s="5"/>
      <c r="BN141" s="5"/>
      <c r="BO141" s="5"/>
      <c r="BP141" s="11"/>
      <c r="BQ141" s="11"/>
      <c r="BR141" s="11"/>
      <c r="BV141" s="10"/>
      <c r="BW141" s="5"/>
      <c r="BX141" s="5"/>
      <c r="BY141" s="46"/>
      <c r="BZ141" s="11"/>
      <c r="CA141" s="11"/>
      <c r="CB141" s="11"/>
      <c r="CF141" s="10"/>
      <c r="CG141" s="5"/>
      <c r="CH141" s="5"/>
      <c r="CI141" s="5"/>
      <c r="CJ141" s="11"/>
      <c r="CK141" s="11"/>
      <c r="CL141" s="11"/>
      <c r="CO141"/>
      <c r="CP141" s="10"/>
      <c r="CQ141" s="5"/>
      <c r="CR141" s="5"/>
      <c r="CS141" s="5"/>
      <c r="CT141" s="11"/>
      <c r="CU141" s="11"/>
      <c r="CV141" s="11"/>
      <c r="CZ141" s="10"/>
      <c r="DA141" s="5"/>
      <c r="DB141" s="5"/>
      <c r="DC141" s="46"/>
      <c r="DD141" s="11"/>
      <c r="DE141" s="11"/>
      <c r="DF141" s="11"/>
      <c r="DG141"/>
      <c r="DJ141" s="10"/>
      <c r="DK141" s="5"/>
      <c r="DL141" s="5"/>
      <c r="DM141" s="46"/>
      <c r="DN141" s="11"/>
      <c r="DO141" s="11"/>
      <c r="DP141" s="11"/>
      <c r="DT141" s="10"/>
      <c r="DU141" s="5"/>
      <c r="DV141" s="5"/>
      <c r="DW141" s="5"/>
      <c r="DX141" s="11"/>
      <c r="DY141" s="11"/>
      <c r="DZ141" s="11"/>
    </row>
    <row r="142" spans="1:144" x14ac:dyDescent="0.3">
      <c r="D142" s="10"/>
      <c r="E142" s="5"/>
      <c r="F142" s="5"/>
      <c r="G142" s="5"/>
      <c r="H142" s="11"/>
      <c r="I142" s="11"/>
      <c r="J142" s="11"/>
      <c r="N142" s="10"/>
      <c r="O142" s="5"/>
      <c r="P142" s="5"/>
      <c r="Q142" s="5"/>
      <c r="R142" s="11"/>
      <c r="S142" s="11"/>
      <c r="T142" s="11"/>
      <c r="X142" s="10"/>
      <c r="Y142" s="5"/>
      <c r="Z142" s="5"/>
      <c r="AA142" s="5"/>
      <c r="AB142" s="11"/>
      <c r="AC142" s="11"/>
      <c r="AD142" s="11"/>
      <c r="AH142" s="10"/>
      <c r="AI142" s="5"/>
      <c r="AJ142" s="5"/>
      <c r="AK142" s="5"/>
      <c r="AL142" s="11"/>
      <c r="AM142" s="11"/>
      <c r="AN142" s="11"/>
      <c r="AR142" s="10"/>
      <c r="AS142" s="5"/>
      <c r="AT142" s="5"/>
      <c r="AU142" s="5"/>
      <c r="AV142" s="11"/>
      <c r="AW142" s="11"/>
      <c r="AX142" s="11"/>
      <c r="BB142" s="10"/>
      <c r="BC142" s="5"/>
      <c r="BD142" s="5"/>
      <c r="BE142" s="46"/>
      <c r="BF142" s="11"/>
      <c r="BG142" s="11"/>
      <c r="BH142" s="11"/>
      <c r="BL142" s="10"/>
      <c r="BM142" s="5"/>
      <c r="BN142" s="5"/>
      <c r="BO142" s="5"/>
      <c r="BP142" s="11"/>
      <c r="BQ142" s="11"/>
      <c r="BR142" s="11"/>
      <c r="BV142" s="10"/>
      <c r="BW142" s="5"/>
      <c r="BX142" s="5"/>
      <c r="BY142" s="46"/>
      <c r="BZ142" s="11"/>
      <c r="CA142" s="11"/>
      <c r="CB142" s="11"/>
      <c r="CF142" s="10"/>
      <c r="CG142" s="5"/>
      <c r="CH142" s="5"/>
      <c r="CI142" s="5"/>
      <c r="CJ142" s="11"/>
      <c r="CK142" s="11"/>
      <c r="CL142" s="11"/>
      <c r="CO142"/>
      <c r="CP142" s="10"/>
      <c r="CQ142" s="5"/>
      <c r="CR142" s="5"/>
      <c r="CS142" s="5"/>
      <c r="CT142" s="11"/>
      <c r="CU142" s="11"/>
      <c r="CV142" s="11"/>
      <c r="CZ142" s="10"/>
      <c r="DA142" s="5"/>
      <c r="DB142" s="5"/>
      <c r="DC142" s="46"/>
      <c r="DD142" s="11"/>
      <c r="DE142" s="11"/>
      <c r="DF142" s="11"/>
      <c r="DG142"/>
      <c r="DJ142" s="10"/>
      <c r="DK142" s="5"/>
      <c r="DL142" s="5"/>
      <c r="DM142" s="46"/>
      <c r="DN142" s="11"/>
      <c r="DO142" s="11"/>
      <c r="DP142" s="11"/>
      <c r="DT142" s="10"/>
      <c r="DU142" s="5"/>
      <c r="DV142" s="5"/>
      <c r="DW142" s="5"/>
      <c r="DX142" s="11"/>
      <c r="DY142" s="11"/>
      <c r="DZ142" s="11"/>
    </row>
    <row r="143" spans="1:144" x14ac:dyDescent="0.3">
      <c r="D143" s="10"/>
      <c r="E143" s="5"/>
      <c r="F143" s="5"/>
      <c r="G143" s="5"/>
      <c r="H143" s="11"/>
      <c r="I143" s="11"/>
      <c r="J143" s="11"/>
      <c r="N143" s="10"/>
      <c r="O143" s="5"/>
      <c r="P143" s="5"/>
      <c r="Q143" s="5"/>
      <c r="R143" s="11"/>
      <c r="S143" s="11"/>
      <c r="T143" s="11"/>
      <c r="X143" s="10"/>
      <c r="Y143" s="5"/>
      <c r="Z143" s="5"/>
      <c r="AA143" s="5"/>
      <c r="AB143" s="11"/>
      <c r="AC143" s="11"/>
      <c r="AD143" s="11"/>
      <c r="AH143" s="10"/>
      <c r="AI143" s="5"/>
      <c r="AJ143" s="5"/>
      <c r="AK143" s="5"/>
      <c r="AL143" s="11"/>
      <c r="AM143" s="11"/>
      <c r="AN143" s="11"/>
      <c r="AR143" s="10"/>
      <c r="AS143" s="5"/>
      <c r="AT143" s="5"/>
      <c r="AU143" s="5"/>
      <c r="AV143" s="11"/>
      <c r="AW143" s="11"/>
      <c r="AX143" s="11"/>
      <c r="BB143" s="10"/>
      <c r="BC143" s="5"/>
      <c r="BD143" s="5"/>
      <c r="BE143" s="46"/>
      <c r="BF143" s="11"/>
      <c r="BG143" s="11"/>
      <c r="BH143" s="11"/>
      <c r="BL143" s="10"/>
      <c r="BM143" s="5"/>
      <c r="BN143" s="5"/>
      <c r="BO143" s="5"/>
      <c r="BP143" s="11"/>
      <c r="BQ143" s="11"/>
      <c r="BR143" s="11"/>
      <c r="BV143" s="10"/>
      <c r="BW143" s="5"/>
      <c r="BX143" s="5"/>
      <c r="BY143" s="46"/>
      <c r="BZ143" s="11"/>
      <c r="CA143" s="11"/>
      <c r="CB143" s="11"/>
      <c r="CF143" s="10"/>
      <c r="CG143" s="5"/>
      <c r="CH143" s="5"/>
      <c r="CI143" s="5"/>
      <c r="CJ143" s="11"/>
      <c r="CK143" s="11"/>
      <c r="CL143" s="11"/>
      <c r="CO143"/>
      <c r="CP143" s="10"/>
      <c r="CQ143" s="5"/>
      <c r="CR143" s="5"/>
      <c r="CS143" s="5"/>
      <c r="CT143" s="11"/>
      <c r="CU143" s="11"/>
      <c r="CV143" s="11"/>
      <c r="CZ143" s="10"/>
      <c r="DA143" s="5"/>
      <c r="DB143" s="5"/>
      <c r="DC143" s="46"/>
      <c r="DD143" s="11"/>
      <c r="DE143" s="11"/>
      <c r="DF143" s="11"/>
      <c r="DG143"/>
      <c r="DJ143" s="10"/>
      <c r="DK143" s="5"/>
      <c r="DL143" s="5"/>
      <c r="DM143" s="46"/>
      <c r="DN143" s="11"/>
      <c r="DO143" s="11"/>
      <c r="DP143" s="11"/>
      <c r="DT143" s="10"/>
      <c r="DU143" s="5"/>
      <c r="DV143" s="5"/>
      <c r="DW143" s="5"/>
      <c r="DX143" s="11"/>
      <c r="DY143" s="11"/>
      <c r="DZ143" s="11"/>
    </row>
    <row r="144" spans="1:144" x14ac:dyDescent="0.3">
      <c r="D144" s="10"/>
      <c r="E144" s="5"/>
      <c r="F144" s="5"/>
      <c r="G144" s="5"/>
      <c r="H144" s="11"/>
      <c r="I144" s="11"/>
      <c r="J144" s="11"/>
      <c r="N144" s="10"/>
      <c r="O144" s="5"/>
      <c r="P144" s="5"/>
      <c r="Q144" s="5"/>
      <c r="R144" s="11"/>
      <c r="S144" s="11"/>
      <c r="T144" s="11"/>
      <c r="X144" s="10"/>
      <c r="Y144" s="5"/>
      <c r="Z144" s="5"/>
      <c r="AA144" s="5"/>
      <c r="AB144" s="11"/>
      <c r="AC144" s="11"/>
      <c r="AD144" s="11"/>
      <c r="AH144" s="10"/>
      <c r="AI144" s="5"/>
      <c r="AJ144" s="5"/>
      <c r="AK144" s="5"/>
      <c r="AL144" s="11"/>
      <c r="AM144" s="11"/>
      <c r="AN144" s="11"/>
      <c r="AR144" s="10"/>
      <c r="AS144" s="5"/>
      <c r="AT144" s="5"/>
      <c r="AU144" s="5"/>
      <c r="AV144" s="11"/>
      <c r="AW144" s="11"/>
      <c r="AX144" s="11"/>
      <c r="BB144" s="10"/>
      <c r="BC144" s="5"/>
      <c r="BD144" s="5"/>
      <c r="BE144" s="46"/>
      <c r="BF144" s="11"/>
      <c r="BG144" s="11"/>
      <c r="BH144" s="11"/>
      <c r="BL144" s="10"/>
      <c r="BM144" s="5"/>
      <c r="BN144" s="5"/>
      <c r="BO144" s="5"/>
      <c r="BP144" s="11"/>
      <c r="BQ144" s="11"/>
      <c r="BR144" s="11"/>
      <c r="BV144" s="10"/>
      <c r="BW144" s="5"/>
      <c r="BX144" s="5"/>
      <c r="BY144" s="46"/>
      <c r="BZ144" s="11"/>
      <c r="CA144" s="11"/>
      <c r="CB144" s="11"/>
      <c r="CF144" s="10"/>
      <c r="CG144" s="5"/>
      <c r="CH144" s="5"/>
      <c r="CI144" s="5"/>
      <c r="CJ144" s="11"/>
      <c r="CK144" s="11"/>
      <c r="CL144" s="11"/>
      <c r="CO144"/>
      <c r="CP144" s="10"/>
      <c r="CQ144" s="5"/>
      <c r="CR144" s="5"/>
      <c r="CS144" s="5"/>
      <c r="CT144" s="11"/>
      <c r="CU144" s="11"/>
      <c r="CV144" s="11"/>
      <c r="CZ144" s="10"/>
      <c r="DA144" s="5"/>
      <c r="DB144" s="5"/>
      <c r="DC144" s="46"/>
      <c r="DD144" s="11"/>
      <c r="DE144" s="11"/>
      <c r="DF144" s="11"/>
      <c r="DG144"/>
      <c r="DJ144" s="10"/>
      <c r="DK144" s="5"/>
      <c r="DL144" s="5"/>
      <c r="DM144" s="46"/>
      <c r="DN144" s="11"/>
      <c r="DO144" s="11"/>
      <c r="DP144" s="11"/>
      <c r="DT144" s="10"/>
      <c r="DU144" s="5"/>
      <c r="DV144" s="5"/>
      <c r="DW144" s="5"/>
      <c r="DX144" s="11"/>
      <c r="DY144" s="11"/>
      <c r="DZ144" s="11"/>
    </row>
    <row r="145" spans="4:130" x14ac:dyDescent="0.3">
      <c r="D145" s="10"/>
      <c r="E145" s="5"/>
      <c r="F145" s="5"/>
      <c r="G145" s="5"/>
      <c r="H145" s="11"/>
      <c r="I145" s="11"/>
      <c r="J145" s="11"/>
      <c r="N145" s="10"/>
      <c r="O145" s="5"/>
      <c r="P145" s="5"/>
      <c r="Q145" s="5"/>
      <c r="R145" s="11"/>
      <c r="S145" s="11"/>
      <c r="T145" s="11"/>
      <c r="X145" s="10"/>
      <c r="Y145" s="5"/>
      <c r="Z145" s="5"/>
      <c r="AA145" s="5"/>
      <c r="AB145" s="11"/>
      <c r="AC145" s="11"/>
      <c r="AD145" s="11"/>
      <c r="AH145" s="10"/>
      <c r="AI145" s="5"/>
      <c r="AJ145" s="5"/>
      <c r="AK145" s="5"/>
      <c r="AL145" s="11"/>
      <c r="AM145" s="11"/>
      <c r="AN145" s="11"/>
      <c r="AR145" s="10"/>
      <c r="AS145" s="5"/>
      <c r="AT145" s="5"/>
      <c r="AU145" s="5"/>
      <c r="AV145" s="11"/>
      <c r="AW145" s="11"/>
      <c r="AX145" s="11"/>
      <c r="BB145" s="10"/>
      <c r="BC145" s="5"/>
      <c r="BD145" s="5"/>
      <c r="BE145" s="46"/>
      <c r="BF145" s="11"/>
      <c r="BG145" s="11"/>
      <c r="BH145" s="11"/>
      <c r="BL145" s="10"/>
      <c r="BM145" s="5"/>
      <c r="BN145" s="5"/>
      <c r="BO145" s="5"/>
      <c r="BP145" s="11"/>
      <c r="BQ145" s="11"/>
      <c r="BR145" s="11"/>
      <c r="BV145" s="10"/>
      <c r="BW145" s="5"/>
      <c r="BX145" s="5"/>
      <c r="BY145" s="46"/>
      <c r="BZ145" s="11"/>
      <c r="CA145" s="11"/>
      <c r="CB145" s="11"/>
      <c r="CF145" s="10"/>
      <c r="CG145" s="5"/>
      <c r="CH145" s="5"/>
      <c r="CI145" s="5"/>
      <c r="CJ145" s="11"/>
      <c r="CK145" s="11"/>
      <c r="CL145" s="11"/>
      <c r="CO145"/>
      <c r="CP145" s="10"/>
      <c r="CQ145" s="5"/>
      <c r="CR145" s="5"/>
      <c r="CS145" s="5"/>
      <c r="CT145" s="11"/>
      <c r="CU145" s="11"/>
      <c r="CV145" s="11"/>
      <c r="CZ145" s="10"/>
      <c r="DA145" s="5"/>
      <c r="DB145" s="5"/>
      <c r="DC145" s="46"/>
      <c r="DD145" s="11"/>
      <c r="DE145" s="11"/>
      <c r="DF145" s="11"/>
      <c r="DG145"/>
      <c r="DJ145" s="10"/>
      <c r="DK145" s="5"/>
      <c r="DL145" s="5"/>
      <c r="DM145" s="46"/>
      <c r="DN145" s="11"/>
      <c r="DO145" s="11"/>
      <c r="DP145" s="11"/>
      <c r="DT145" s="10"/>
      <c r="DU145" s="5"/>
      <c r="DV145" s="5"/>
      <c r="DW145" s="5"/>
      <c r="DX145" s="11"/>
      <c r="DY145" s="11"/>
      <c r="DZ145" s="11"/>
    </row>
    <row r="146" spans="4:130" x14ac:dyDescent="0.3">
      <c r="D146" s="10"/>
      <c r="E146" s="5"/>
      <c r="F146" s="5"/>
      <c r="G146" s="5"/>
      <c r="H146" s="11"/>
      <c r="I146" s="11"/>
      <c r="J146" s="11"/>
      <c r="N146" s="10"/>
      <c r="O146" s="5"/>
      <c r="P146" s="5"/>
      <c r="Q146" s="5"/>
      <c r="R146" s="11"/>
      <c r="S146" s="11"/>
      <c r="T146" s="11"/>
      <c r="X146" s="10"/>
      <c r="Y146" s="5"/>
      <c r="Z146" s="5"/>
      <c r="AA146" s="5"/>
      <c r="AB146" s="11"/>
      <c r="AC146" s="11"/>
      <c r="AD146" s="11"/>
      <c r="AH146" s="10"/>
      <c r="AI146" s="5"/>
      <c r="AJ146" s="5"/>
      <c r="AK146" s="5"/>
      <c r="AL146" s="11"/>
      <c r="AM146" s="11"/>
      <c r="AN146" s="11"/>
      <c r="AR146" s="10"/>
      <c r="AS146" s="5"/>
      <c r="AT146" s="5"/>
      <c r="AU146" s="5"/>
      <c r="AV146" s="11"/>
      <c r="AW146" s="11"/>
      <c r="AX146" s="11"/>
      <c r="BB146" s="10"/>
      <c r="BC146" s="5"/>
      <c r="BD146" s="5"/>
      <c r="BE146" s="46"/>
      <c r="BF146" s="11"/>
      <c r="BG146" s="11"/>
      <c r="BH146" s="11"/>
      <c r="BL146" s="10"/>
      <c r="BM146" s="5"/>
      <c r="BN146" s="5"/>
      <c r="BO146" s="5"/>
      <c r="BP146" s="11"/>
      <c r="BQ146" s="11"/>
      <c r="BR146" s="11"/>
      <c r="BV146" s="10"/>
      <c r="BW146" s="5"/>
      <c r="BX146" s="5"/>
      <c r="BY146" s="46"/>
      <c r="BZ146" s="11"/>
      <c r="CA146" s="11"/>
      <c r="CB146" s="11"/>
      <c r="CF146" s="10"/>
      <c r="CG146" s="5"/>
      <c r="CH146" s="5"/>
      <c r="CI146" s="5"/>
      <c r="CJ146" s="11"/>
      <c r="CK146" s="11"/>
      <c r="CL146" s="11"/>
      <c r="CO146"/>
      <c r="CP146" s="10"/>
      <c r="CQ146" s="5"/>
      <c r="CR146" s="5"/>
      <c r="CS146" s="5"/>
      <c r="CT146" s="11"/>
      <c r="CU146" s="11"/>
      <c r="CV146" s="11"/>
      <c r="CZ146" s="10"/>
      <c r="DA146" s="5"/>
      <c r="DB146" s="5"/>
      <c r="DC146" s="46"/>
      <c r="DD146" s="11"/>
      <c r="DE146" s="11"/>
      <c r="DF146" s="11"/>
      <c r="DG146"/>
      <c r="DJ146" s="10"/>
      <c r="DK146" s="5"/>
      <c r="DL146" s="5"/>
      <c r="DM146" s="46"/>
      <c r="DN146" s="11"/>
      <c r="DO146" s="11"/>
      <c r="DP146" s="11"/>
      <c r="DT146" s="10"/>
      <c r="DU146" s="5"/>
      <c r="DV146" s="5"/>
      <c r="DW146" s="5"/>
      <c r="DX146" s="11"/>
      <c r="DY146" s="11"/>
      <c r="DZ146" s="11"/>
    </row>
    <row r="147" spans="4:130" x14ac:dyDescent="0.3">
      <c r="D147" s="10"/>
      <c r="E147" s="5"/>
      <c r="F147" s="5"/>
      <c r="G147" s="5"/>
      <c r="H147" s="11"/>
      <c r="I147" s="11"/>
      <c r="J147" s="11"/>
      <c r="N147" s="10"/>
      <c r="O147" s="5"/>
      <c r="P147" s="5"/>
      <c r="Q147" s="5"/>
      <c r="R147" s="11"/>
      <c r="S147" s="11"/>
      <c r="T147" s="11"/>
      <c r="X147" s="10"/>
      <c r="Y147" s="5"/>
      <c r="Z147" s="5"/>
      <c r="AA147" s="5"/>
      <c r="AB147" s="11"/>
      <c r="AC147" s="11"/>
      <c r="AD147" s="11"/>
      <c r="AG147" s="10"/>
      <c r="AH147" s="5"/>
      <c r="AI147" s="5"/>
      <c r="AJ147" s="5"/>
      <c r="AK147" s="11"/>
      <c r="AL147" s="11"/>
      <c r="AM147" s="11"/>
      <c r="AP147" s="10"/>
      <c r="AQ147" s="5"/>
      <c r="AR147" s="5"/>
      <c r="AS147" s="5"/>
      <c r="AT147" s="11"/>
      <c r="AU147" s="11"/>
      <c r="AV147" s="11"/>
      <c r="AY147" s="10"/>
      <c r="AZ147" s="5"/>
      <c r="BA147" s="5"/>
      <c r="BB147" s="5"/>
      <c r="BC147" s="11"/>
      <c r="BD147" s="11"/>
      <c r="BE147" s="81"/>
      <c r="BH147" s="10"/>
      <c r="BI147" s="5"/>
      <c r="BJ147" s="5"/>
      <c r="BK147" s="5"/>
      <c r="BL147" s="11"/>
      <c r="BM147" s="11"/>
      <c r="BN147" s="81"/>
      <c r="BQ147" s="10"/>
      <c r="BR147" s="5"/>
      <c r="BS147" s="5"/>
      <c r="BT147" s="5"/>
      <c r="BU147" s="11"/>
      <c r="BV147" s="11"/>
      <c r="BW147" s="81"/>
      <c r="BZ147" s="10"/>
      <c r="CA147" s="5"/>
      <c r="CB147" s="5"/>
      <c r="CC147" s="5"/>
      <c r="CD147" s="11"/>
      <c r="CE147" s="11"/>
      <c r="CF147" s="11"/>
      <c r="CI147" s="10"/>
      <c r="CJ147" s="5"/>
      <c r="CK147" s="5"/>
      <c r="CL147" s="5"/>
      <c r="CM147" s="11"/>
      <c r="CN147" s="11"/>
      <c r="CO147" s="11"/>
      <c r="CR147" s="10"/>
      <c r="CS147" s="5"/>
      <c r="CT147" s="5"/>
      <c r="CU147" s="5"/>
      <c r="CV147" s="11"/>
      <c r="CW147" s="11"/>
      <c r="CX147" s="11"/>
      <c r="DA147" s="10"/>
      <c r="DB147" s="5"/>
      <c r="DC147" s="46"/>
      <c r="DD147" s="5"/>
      <c r="DE147" s="11"/>
      <c r="DF147" s="11"/>
      <c r="DG147" s="11"/>
      <c r="DJ147" s="10"/>
      <c r="DK147" s="5"/>
      <c r="DL147" s="5"/>
      <c r="DM147" s="46"/>
      <c r="DN147" s="11"/>
      <c r="DO147" s="11"/>
      <c r="DP147" s="81"/>
    </row>
    <row r="148" spans="4:130" x14ac:dyDescent="0.3">
      <c r="D148" s="10"/>
      <c r="E148" s="5"/>
      <c r="F148" s="5"/>
      <c r="G148" s="5"/>
      <c r="H148" s="11"/>
      <c r="I148" s="11"/>
      <c r="J148" s="11"/>
      <c r="N148" s="10"/>
      <c r="O148" s="5"/>
      <c r="P148" s="5"/>
      <c r="Q148" s="5"/>
      <c r="R148" s="11"/>
      <c r="S148" s="11"/>
      <c r="T148" s="11"/>
      <c r="X148" s="10"/>
      <c r="Y148" s="5"/>
      <c r="Z148" s="5"/>
      <c r="AA148" s="5"/>
      <c r="AB148" s="11"/>
      <c r="AC148" s="11"/>
      <c r="AD148" s="11"/>
      <c r="AG148" s="10"/>
      <c r="AH148" s="5"/>
      <c r="AI148" s="5"/>
      <c r="AJ148" s="5"/>
      <c r="AK148" s="11"/>
      <c r="AL148" s="11"/>
      <c r="AM148" s="11"/>
      <c r="AP148" s="10"/>
      <c r="AQ148" s="5"/>
      <c r="AR148" s="5"/>
      <c r="AS148" s="5"/>
      <c r="AT148" s="11"/>
      <c r="AU148" s="11"/>
      <c r="AV148" s="11"/>
      <c r="AY148" s="10"/>
      <c r="AZ148" s="5"/>
      <c r="BA148" s="5"/>
      <c r="BB148" s="5"/>
      <c r="BC148" s="11"/>
      <c r="BD148" s="11"/>
      <c r="BE148" s="81"/>
      <c r="BH148" s="10"/>
      <c r="BI148" s="5"/>
      <c r="BJ148" s="5"/>
      <c r="BK148" s="5"/>
      <c r="BL148" s="11"/>
      <c r="BM148" s="11"/>
      <c r="BN148" s="11"/>
      <c r="BQ148" s="10"/>
      <c r="BR148" s="5"/>
      <c r="BS148" s="5"/>
      <c r="BT148" s="5"/>
      <c r="BU148" s="11"/>
      <c r="BV148" s="11"/>
      <c r="BW148" s="11"/>
      <c r="BZ148" s="10"/>
      <c r="CA148" s="5"/>
      <c r="CB148" s="5"/>
      <c r="CC148" s="5"/>
      <c r="CD148" s="11"/>
      <c r="CE148" s="11"/>
      <c r="CF148" s="11"/>
      <c r="CI148" s="10"/>
      <c r="CJ148" s="5"/>
      <c r="CK148" s="5"/>
      <c r="CL148" s="5"/>
      <c r="CM148" s="11"/>
      <c r="CN148" s="11"/>
      <c r="CO148" s="11"/>
      <c r="CR148" s="10"/>
      <c r="CS148" s="5"/>
      <c r="CT148" s="5"/>
      <c r="CU148" s="5"/>
      <c r="CV148" s="11"/>
      <c r="CW148" s="11"/>
      <c r="CX148" s="11"/>
      <c r="DA148" s="10"/>
      <c r="DB148" s="5"/>
      <c r="DC148" s="46"/>
      <c r="DD148" s="5"/>
      <c r="DE148" s="11"/>
      <c r="DF148" s="11"/>
      <c r="DG148" s="11"/>
      <c r="DJ148" s="10"/>
      <c r="DK148" s="5"/>
      <c r="DL148" s="5"/>
      <c r="DM148" s="46"/>
      <c r="DN148" s="11"/>
      <c r="DO148" s="11"/>
      <c r="DP148" s="81"/>
    </row>
    <row r="149" spans="4:130" x14ac:dyDescent="0.3">
      <c r="D149" s="10"/>
      <c r="E149" s="5"/>
      <c r="F149" s="5"/>
      <c r="G149" s="5"/>
      <c r="H149" s="11"/>
      <c r="I149" s="11"/>
      <c r="J149" s="11"/>
      <c r="N149" s="10"/>
      <c r="O149" s="5"/>
      <c r="P149" s="5"/>
      <c r="Q149" s="5"/>
      <c r="R149" s="11"/>
      <c r="S149" s="11"/>
      <c r="T149" s="11"/>
      <c r="X149" s="10"/>
      <c r="Y149" s="5"/>
      <c r="Z149" s="5"/>
      <c r="AA149" s="5"/>
      <c r="AB149" s="11"/>
      <c r="AC149" s="11"/>
      <c r="AD149" s="11"/>
      <c r="AG149" s="10"/>
      <c r="AH149" s="5"/>
      <c r="AI149" s="5"/>
      <c r="AJ149" s="5"/>
      <c r="AK149" s="11"/>
      <c r="AL149" s="11"/>
      <c r="AM149" s="11"/>
      <c r="AP149" s="10"/>
      <c r="AQ149" s="5"/>
      <c r="AR149" s="5"/>
      <c r="AS149" s="5"/>
      <c r="AT149" s="11"/>
      <c r="AU149" s="11"/>
      <c r="AV149" s="11"/>
      <c r="AY149" s="10"/>
      <c r="AZ149" s="5"/>
      <c r="BA149" s="5"/>
      <c r="BB149" s="5"/>
      <c r="BC149" s="11"/>
      <c r="BD149" s="11"/>
      <c r="BE149" s="81"/>
      <c r="BH149" s="10"/>
      <c r="BI149" s="5"/>
      <c r="BJ149" s="5"/>
      <c r="BK149" s="5"/>
      <c r="BL149" s="11"/>
      <c r="BM149" s="11"/>
      <c r="BN149" s="11"/>
      <c r="BQ149" s="10"/>
      <c r="BR149" s="5"/>
      <c r="BS149" s="5"/>
      <c r="BT149" s="5"/>
      <c r="BU149" s="11"/>
      <c r="BV149" s="11"/>
      <c r="BW149" s="11"/>
      <c r="BZ149" s="10"/>
      <c r="CA149" s="5"/>
      <c r="CB149" s="5"/>
      <c r="CC149" s="5"/>
      <c r="CD149" s="11"/>
      <c r="CE149" s="11"/>
      <c r="CF149" s="11"/>
      <c r="CI149" s="10"/>
      <c r="CJ149" s="5"/>
      <c r="CK149" s="5"/>
      <c r="CL149" s="5"/>
      <c r="CM149" s="11"/>
      <c r="CN149" s="11"/>
      <c r="CO149" s="11"/>
      <c r="CR149" s="10"/>
      <c r="CS149" s="5"/>
      <c r="CT149" s="5"/>
      <c r="CU149" s="5"/>
      <c r="CV149" s="11"/>
      <c r="CW149" s="11"/>
      <c r="CX149" s="11"/>
      <c r="DA149" s="10"/>
      <c r="DB149" s="5"/>
      <c r="DC149" s="46"/>
      <c r="DD149" s="5"/>
      <c r="DE149" s="11"/>
      <c r="DF149" s="11"/>
      <c r="DG149" s="11"/>
      <c r="DJ149" s="10"/>
      <c r="DK149" s="5"/>
      <c r="DL149" s="5"/>
      <c r="DM149" s="46"/>
      <c r="DN149" s="11"/>
      <c r="DO149" s="11"/>
      <c r="DP149" s="81"/>
    </row>
    <row r="150" spans="4:130" x14ac:dyDescent="0.3">
      <c r="D150" s="10"/>
      <c r="E150" s="5"/>
      <c r="F150" s="5"/>
      <c r="G150" s="5"/>
      <c r="H150" s="11"/>
      <c r="I150" s="11"/>
      <c r="J150" s="11"/>
      <c r="N150" s="10"/>
      <c r="O150" s="5"/>
      <c r="P150" s="5"/>
      <c r="Q150" s="5"/>
      <c r="R150" s="11"/>
      <c r="S150" s="11"/>
      <c r="T150" s="11"/>
      <c r="X150" s="10"/>
      <c r="Y150" s="5"/>
      <c r="Z150" s="5"/>
      <c r="AA150" s="5"/>
      <c r="AB150" s="11"/>
      <c r="AC150" s="11"/>
      <c r="AD150" s="11"/>
      <c r="AG150" s="10"/>
      <c r="AH150" s="5"/>
      <c r="AI150" s="5"/>
      <c r="AJ150" s="5"/>
      <c r="AK150" s="11"/>
      <c r="AL150" s="11"/>
      <c r="AM150" s="11"/>
      <c r="AP150" s="10"/>
      <c r="AQ150" s="5"/>
      <c r="AR150" s="5"/>
      <c r="AS150" s="5"/>
      <c r="AT150" s="11"/>
      <c r="AU150" s="11"/>
      <c r="AV150" s="11"/>
      <c r="AY150" s="10"/>
      <c r="AZ150" s="5"/>
      <c r="BA150" s="5"/>
      <c r="BB150" s="5"/>
      <c r="BC150" s="11"/>
      <c r="BD150" s="11"/>
      <c r="BE150" s="81"/>
      <c r="BH150" s="10"/>
      <c r="BI150" s="5"/>
      <c r="BJ150" s="5"/>
      <c r="BK150" s="5"/>
      <c r="BL150" s="11"/>
      <c r="BM150" s="11"/>
      <c r="BN150" s="11"/>
      <c r="BQ150" s="10"/>
      <c r="BR150" s="5"/>
      <c r="BS150" s="5"/>
      <c r="BT150" s="5"/>
      <c r="BU150" s="11"/>
      <c r="BV150" s="11"/>
      <c r="BW150" s="11"/>
      <c r="BZ150" s="10"/>
      <c r="CA150" s="5"/>
      <c r="CB150" s="5"/>
      <c r="CC150" s="5"/>
      <c r="CD150" s="11"/>
      <c r="CE150" s="11"/>
      <c r="CF150" s="11"/>
      <c r="CI150" s="10"/>
      <c r="CJ150" s="5"/>
      <c r="CK150" s="5"/>
      <c r="CL150" s="5"/>
      <c r="CM150" s="11"/>
      <c r="CN150" s="11"/>
      <c r="CO150" s="11"/>
      <c r="CR150" s="10"/>
      <c r="CS150" s="5"/>
      <c r="CT150" s="5"/>
      <c r="CU150" s="5"/>
      <c r="CV150" s="11"/>
      <c r="CW150" s="11"/>
      <c r="CX150" s="11"/>
      <c r="DA150" s="10"/>
      <c r="DB150" s="5"/>
      <c r="DC150" s="46"/>
      <c r="DD150" s="5"/>
      <c r="DE150" s="11"/>
      <c r="DF150" s="11"/>
      <c r="DG150" s="11"/>
      <c r="DJ150" s="10"/>
      <c r="DK150" s="5"/>
      <c r="DL150" s="5"/>
      <c r="DM150" s="46"/>
      <c r="DN150" s="11"/>
      <c r="DO150" s="11"/>
      <c r="DP150" s="81"/>
    </row>
    <row r="151" spans="4:130" x14ac:dyDescent="0.3">
      <c r="D151" s="10"/>
      <c r="E151" s="5"/>
      <c r="F151" s="5"/>
      <c r="G151" s="5"/>
      <c r="H151" s="11"/>
      <c r="I151" s="11"/>
      <c r="J151" s="11"/>
      <c r="N151" s="10"/>
      <c r="O151" s="5"/>
      <c r="P151" s="5"/>
      <c r="Q151" s="5"/>
      <c r="R151" s="11"/>
      <c r="S151" s="11"/>
      <c r="T151" s="11"/>
      <c r="X151" s="10"/>
      <c r="Y151" s="5"/>
      <c r="Z151" s="5"/>
      <c r="AA151" s="5"/>
      <c r="AB151" s="11"/>
      <c r="AC151" s="11"/>
      <c r="AD151" s="11"/>
      <c r="AG151" s="10"/>
      <c r="AH151" s="5"/>
      <c r="AI151" s="5"/>
      <c r="AJ151" s="5"/>
      <c r="AK151" s="11"/>
      <c r="AL151" s="11"/>
      <c r="AM151" s="11"/>
      <c r="AP151" s="10"/>
      <c r="AQ151" s="5"/>
      <c r="AR151" s="5"/>
      <c r="AS151" s="5"/>
      <c r="AT151" s="11"/>
      <c r="AU151" s="11"/>
      <c r="AV151" s="11"/>
      <c r="AY151" s="10"/>
      <c r="AZ151" s="5"/>
      <c r="BA151" s="5"/>
      <c r="BB151" s="5"/>
      <c r="BC151" s="11"/>
      <c r="BD151" s="11"/>
      <c r="BE151" s="81"/>
      <c r="BH151" s="10"/>
      <c r="BI151" s="5"/>
      <c r="BJ151" s="5"/>
      <c r="BK151" s="5"/>
      <c r="BL151" s="11"/>
      <c r="BM151" s="11"/>
      <c r="BN151" s="11"/>
      <c r="BQ151" s="10"/>
      <c r="BR151" s="5"/>
      <c r="BS151" s="5"/>
      <c r="BT151" s="5"/>
      <c r="BU151" s="11"/>
      <c r="BV151" s="11"/>
      <c r="BW151" s="11"/>
      <c r="BZ151" s="10"/>
      <c r="CA151" s="5"/>
      <c r="CB151" s="5"/>
      <c r="CC151" s="5"/>
      <c r="CD151" s="11"/>
      <c r="CE151" s="11"/>
      <c r="CF151" s="11"/>
      <c r="CI151" s="10"/>
      <c r="CJ151" s="5"/>
      <c r="CK151" s="5"/>
      <c r="CL151" s="5"/>
      <c r="CM151" s="11"/>
      <c r="CN151" s="11"/>
      <c r="CO151" s="11"/>
      <c r="CR151" s="10"/>
      <c r="CS151" s="5"/>
      <c r="CT151" s="5"/>
      <c r="CU151" s="5"/>
      <c r="CV151" s="11"/>
      <c r="CW151" s="11"/>
      <c r="CX151" s="11"/>
      <c r="DA151" s="10"/>
      <c r="DB151" s="5"/>
      <c r="DC151" s="46"/>
      <c r="DD151" s="5"/>
      <c r="DE151" s="11"/>
      <c r="DF151" s="11"/>
      <c r="DG151" s="11"/>
      <c r="DJ151" s="10"/>
      <c r="DK151" s="5"/>
      <c r="DL151" s="5"/>
      <c r="DM151" s="46"/>
      <c r="DN151" s="11"/>
      <c r="DO151" s="11"/>
      <c r="DP151" s="81"/>
    </row>
    <row r="152" spans="4:130" x14ac:dyDescent="0.3">
      <c r="D152" s="10"/>
      <c r="E152" s="5"/>
      <c r="F152" s="5"/>
      <c r="G152" s="5"/>
      <c r="H152" s="11"/>
      <c r="I152" s="11"/>
      <c r="J152" s="11"/>
      <c r="N152" s="10"/>
      <c r="O152" s="5"/>
      <c r="P152" s="5"/>
      <c r="Q152" s="5"/>
      <c r="R152" s="11"/>
      <c r="S152" s="11"/>
      <c r="T152" s="11"/>
      <c r="X152" s="10"/>
      <c r="Y152" s="5"/>
      <c r="Z152" s="5"/>
      <c r="AA152" s="5"/>
      <c r="AB152" s="11"/>
      <c r="AC152" s="11"/>
      <c r="AD152" s="11"/>
      <c r="AG152" s="10"/>
      <c r="AH152" s="5"/>
      <c r="AI152" s="5"/>
      <c r="AJ152" s="5"/>
      <c r="AK152" s="11"/>
      <c r="AL152" s="11"/>
      <c r="AM152" s="11"/>
      <c r="AP152" s="10"/>
      <c r="AQ152" s="5"/>
      <c r="AR152" s="5"/>
      <c r="AS152" s="5"/>
      <c r="AT152" s="11"/>
      <c r="AU152" s="11"/>
      <c r="AV152" s="11"/>
      <c r="AY152" s="10"/>
      <c r="AZ152" s="5"/>
      <c r="BA152" s="5"/>
      <c r="BB152" s="5"/>
      <c r="BC152" s="11"/>
      <c r="BD152" s="11"/>
      <c r="BE152" s="81"/>
      <c r="BH152" s="10"/>
      <c r="BI152" s="5"/>
      <c r="BJ152" s="5"/>
      <c r="BK152" s="5"/>
      <c r="BL152" s="11"/>
      <c r="BM152" s="11"/>
      <c r="BN152" s="81"/>
      <c r="BQ152" s="10"/>
      <c r="BR152" s="5"/>
      <c r="BS152" s="5"/>
      <c r="BT152" s="5"/>
      <c r="BU152" s="11"/>
      <c r="BV152" s="11"/>
      <c r="BW152" s="81"/>
      <c r="BZ152" s="10"/>
      <c r="CA152" s="5"/>
      <c r="CB152" s="5"/>
      <c r="CC152" s="5"/>
      <c r="CD152" s="11"/>
      <c r="CE152" s="11"/>
      <c r="CF152" s="11"/>
      <c r="CI152" s="10"/>
      <c r="CJ152" s="5"/>
      <c r="CK152" s="5"/>
      <c r="CL152" s="5"/>
      <c r="CM152" s="11"/>
      <c r="CN152" s="11"/>
      <c r="CO152" s="11"/>
      <c r="CR152" s="10"/>
      <c r="CS152" s="5"/>
      <c r="CT152" s="5"/>
      <c r="CU152" s="5"/>
      <c r="CV152" s="11"/>
      <c r="CW152" s="11"/>
      <c r="CX152" s="11"/>
      <c r="DA152" s="10"/>
      <c r="DB152" s="5"/>
      <c r="DC152" s="46"/>
      <c r="DD152" s="5"/>
      <c r="DE152" s="11"/>
      <c r="DF152" s="11"/>
      <c r="DG152" s="11"/>
      <c r="DJ152" s="10"/>
      <c r="DK152" s="5"/>
      <c r="DL152" s="5"/>
      <c r="DM152" s="46"/>
      <c r="DN152" s="11"/>
      <c r="DO152" s="11"/>
      <c r="DP152" s="81"/>
    </row>
    <row r="153" spans="4:130" x14ac:dyDescent="0.3">
      <c r="D153" s="10"/>
      <c r="E153" s="5"/>
      <c r="F153" s="5"/>
      <c r="G153" s="5"/>
      <c r="H153" s="11"/>
      <c r="I153" s="11"/>
      <c r="J153" s="11"/>
      <c r="N153" s="10"/>
      <c r="O153" s="5"/>
      <c r="P153" s="5"/>
      <c r="Q153" s="5"/>
      <c r="R153" s="11"/>
      <c r="S153" s="11"/>
      <c r="T153" s="11"/>
      <c r="X153" s="10"/>
      <c r="Y153" s="5"/>
      <c r="Z153" s="5"/>
      <c r="AA153" s="5"/>
      <c r="AB153" s="11"/>
      <c r="AC153" s="11"/>
      <c r="AD153" s="11"/>
      <c r="AG153" s="10"/>
      <c r="AH153" s="5"/>
      <c r="AI153" s="5"/>
      <c r="AJ153" s="5"/>
      <c r="AK153" s="11"/>
      <c r="AL153" s="11"/>
      <c r="AM153" s="11"/>
      <c r="AP153" s="10"/>
      <c r="AQ153" s="5"/>
      <c r="AR153" s="5"/>
      <c r="AS153" s="5"/>
      <c r="AT153" s="11"/>
      <c r="AU153" s="11"/>
      <c r="AV153" s="11"/>
      <c r="AY153" s="10"/>
      <c r="AZ153" s="5"/>
      <c r="BA153" s="5"/>
      <c r="BB153" s="5"/>
      <c r="BC153" s="11"/>
      <c r="BD153" s="11"/>
      <c r="BE153" s="81"/>
      <c r="BH153" s="10"/>
      <c r="BI153" s="5"/>
      <c r="BJ153" s="5"/>
      <c r="BK153" s="5"/>
      <c r="BL153" s="11"/>
      <c r="BM153" s="11"/>
      <c r="BN153" s="81"/>
      <c r="BQ153" s="10"/>
      <c r="BR153" s="5"/>
      <c r="BS153" s="5"/>
      <c r="BT153" s="5"/>
      <c r="BU153" s="11"/>
      <c r="BV153" s="11"/>
      <c r="BW153" s="81"/>
      <c r="BZ153" s="10"/>
      <c r="CA153" s="5"/>
      <c r="CB153" s="5"/>
      <c r="CC153" s="5"/>
      <c r="CD153" s="11"/>
      <c r="CE153" s="11"/>
      <c r="CF153" s="11"/>
      <c r="CI153" s="10"/>
      <c r="CJ153" s="5"/>
      <c r="CK153" s="5"/>
      <c r="CL153" s="5"/>
      <c r="CM153" s="11"/>
      <c r="CN153" s="11"/>
      <c r="CO153" s="11"/>
      <c r="CR153" s="10"/>
      <c r="CS153" s="5"/>
      <c r="CT153" s="5"/>
      <c r="CU153" s="5"/>
      <c r="CV153" s="11"/>
      <c r="CW153" s="11"/>
      <c r="CX153" s="11"/>
      <c r="DA153" s="10"/>
      <c r="DB153" s="5"/>
      <c r="DC153" s="46"/>
      <c r="DD153" s="5"/>
      <c r="DE153" s="11"/>
      <c r="DF153" s="11"/>
      <c r="DG153" s="11"/>
      <c r="DJ153" s="10"/>
      <c r="DK153" s="5"/>
      <c r="DL153" s="5"/>
      <c r="DM153" s="46"/>
      <c r="DN153" s="11"/>
      <c r="DO153" s="11"/>
      <c r="DP153" s="81"/>
    </row>
    <row r="154" spans="4:130" x14ac:dyDescent="0.3">
      <c r="D154" s="10"/>
      <c r="E154" s="5"/>
      <c r="F154" s="5"/>
      <c r="G154" s="5"/>
      <c r="H154" s="11"/>
      <c r="I154" s="11"/>
      <c r="J154" s="11"/>
      <c r="N154" s="10"/>
      <c r="O154" s="5"/>
      <c r="P154" s="5"/>
      <c r="Q154" s="5"/>
      <c r="R154" s="11"/>
      <c r="S154" s="11"/>
      <c r="T154" s="11"/>
      <c r="X154" s="10"/>
      <c r="Y154" s="5"/>
      <c r="Z154" s="5"/>
      <c r="AA154" s="5"/>
      <c r="AB154" s="11"/>
      <c r="AC154" s="11"/>
      <c r="AD154" s="11"/>
      <c r="AG154" s="10"/>
      <c r="AH154" s="5"/>
      <c r="AI154" s="5"/>
      <c r="AJ154" s="5"/>
      <c r="AK154" s="11"/>
      <c r="AL154" s="11"/>
      <c r="AM154" s="11"/>
      <c r="AP154" s="10"/>
      <c r="AQ154" s="5"/>
      <c r="AR154" s="5"/>
      <c r="AS154" s="5"/>
      <c r="AT154" s="11"/>
      <c r="AU154" s="11"/>
      <c r="AV154" s="11"/>
      <c r="AY154" s="10"/>
      <c r="AZ154" s="5"/>
      <c r="BA154" s="5"/>
      <c r="BB154" s="5"/>
      <c r="BC154" s="11"/>
      <c r="BD154" s="11"/>
      <c r="BE154" s="81"/>
      <c r="BH154" s="10"/>
      <c r="BI154" s="5"/>
      <c r="BJ154" s="5"/>
      <c r="BK154" s="5"/>
      <c r="BL154" s="11"/>
      <c r="BM154" s="11"/>
      <c r="BN154" s="81"/>
      <c r="BQ154" s="10"/>
      <c r="BR154" s="5"/>
      <c r="BS154" s="5"/>
      <c r="BT154" s="5"/>
      <c r="BU154" s="11"/>
      <c r="BV154" s="11"/>
      <c r="BW154" s="81"/>
      <c r="BZ154" s="10"/>
      <c r="CA154" s="5"/>
      <c r="CB154" s="5"/>
      <c r="CC154" s="5"/>
      <c r="CD154" s="11"/>
      <c r="CE154" s="11"/>
      <c r="CF154" s="11"/>
      <c r="CI154" s="10"/>
      <c r="CJ154" s="5"/>
      <c r="CK154" s="5"/>
      <c r="CL154" s="5"/>
      <c r="CM154" s="11"/>
      <c r="CN154" s="11"/>
      <c r="CO154" s="11"/>
      <c r="CR154" s="10"/>
      <c r="CS154" s="5"/>
      <c r="CT154" s="5"/>
      <c r="CU154" s="5"/>
      <c r="CV154" s="11"/>
      <c r="CW154" s="11"/>
      <c r="CX154" s="11"/>
      <c r="DA154" s="10"/>
      <c r="DB154" s="5"/>
      <c r="DC154" s="46"/>
      <c r="DD154" s="5"/>
      <c r="DE154" s="11"/>
      <c r="DF154" s="11"/>
      <c r="DG154" s="11"/>
      <c r="DJ154" s="10"/>
      <c r="DK154" s="5"/>
      <c r="DL154" s="5"/>
      <c r="DM154" s="46"/>
      <c r="DN154" s="11"/>
      <c r="DO154" s="11"/>
      <c r="DP154" s="81"/>
    </row>
    <row r="155" spans="4:130" x14ac:dyDescent="0.3">
      <c r="D155" s="10"/>
      <c r="E155" s="5"/>
      <c r="F155" s="5"/>
      <c r="G155" s="5"/>
      <c r="H155" s="11"/>
      <c r="I155" s="11"/>
      <c r="J155" s="11"/>
      <c r="BW155" s="17"/>
      <c r="CO155"/>
      <c r="DG155"/>
    </row>
    <row r="156" spans="4:130" x14ac:dyDescent="0.3">
      <c r="D156" s="10"/>
      <c r="E156" s="5"/>
      <c r="F156" s="5"/>
      <c r="G156" s="5"/>
      <c r="H156" s="11"/>
      <c r="I156" s="11"/>
      <c r="J156" s="11"/>
      <c r="BW156" s="17"/>
      <c r="CO156"/>
      <c r="DG156"/>
    </row>
    <row r="157" spans="4:130" x14ac:dyDescent="0.3">
      <c r="D157" s="10"/>
      <c r="E157" s="5"/>
      <c r="F157" s="5"/>
      <c r="G157" s="5" t="s">
        <v>195</v>
      </c>
      <c r="H157" s="11"/>
      <c r="I157" s="11"/>
      <c r="J157" s="11"/>
      <c r="BW157" s="17"/>
      <c r="CO157"/>
      <c r="DG157"/>
    </row>
    <row r="158" spans="4:130" x14ac:dyDescent="0.3">
      <c r="D158" s="10"/>
      <c r="E158" s="5"/>
      <c r="F158" s="5"/>
      <c r="G158" s="5"/>
      <c r="H158" s="11"/>
      <c r="I158" s="11"/>
      <c r="J158" s="11"/>
      <c r="BW158" s="17"/>
      <c r="CO158"/>
      <c r="DG158"/>
    </row>
    <row r="159" spans="4:130" x14ac:dyDescent="0.3">
      <c r="D159" s="10"/>
      <c r="E159" s="5"/>
      <c r="F159" s="5"/>
      <c r="G159" s="5"/>
      <c r="H159" s="11"/>
      <c r="I159" s="11"/>
      <c r="J159" s="11"/>
      <c r="BW159" s="17"/>
      <c r="CO159"/>
      <c r="DG159"/>
    </row>
    <row r="160" spans="4:130" x14ac:dyDescent="0.3">
      <c r="D160" s="10"/>
      <c r="E160" s="5"/>
      <c r="F160" s="5"/>
      <c r="G160" s="5"/>
      <c r="H160" s="11"/>
      <c r="I160" s="11"/>
      <c r="J160" s="11"/>
      <c r="BW160" s="17"/>
      <c r="CO160"/>
      <c r="DG160"/>
    </row>
    <row r="161" spans="4:111" x14ac:dyDescent="0.3">
      <c r="D161" s="10"/>
      <c r="E161" s="5"/>
      <c r="F161" s="5"/>
      <c r="G161" s="5"/>
      <c r="H161" s="11"/>
      <c r="I161" s="11"/>
      <c r="J161" s="11"/>
      <c r="BW161" s="17"/>
      <c r="CO161"/>
      <c r="DG161"/>
    </row>
    <row r="162" spans="4:111" x14ac:dyDescent="0.3">
      <c r="D162" s="10"/>
      <c r="E162" s="5"/>
      <c r="F162" s="5"/>
      <c r="G162" s="5"/>
      <c r="H162" s="11"/>
      <c r="I162" s="11"/>
      <c r="J162" s="11"/>
      <c r="BW162" s="17"/>
      <c r="CO162"/>
      <c r="DG162"/>
    </row>
    <row r="163" spans="4:111" x14ac:dyDescent="0.3">
      <c r="D163" s="10"/>
      <c r="E163" s="5"/>
      <c r="F163" s="5"/>
      <c r="G163" s="5"/>
      <c r="H163" s="11"/>
      <c r="I163" s="11"/>
      <c r="J163" s="11"/>
      <c r="BW163" s="17"/>
      <c r="CO163"/>
      <c r="DG163"/>
    </row>
    <row r="164" spans="4:111" x14ac:dyDescent="0.3">
      <c r="D164" s="10"/>
      <c r="E164" s="5"/>
      <c r="F164" s="5"/>
      <c r="G164" s="5"/>
      <c r="H164" s="11"/>
      <c r="I164" s="11"/>
      <c r="J164" s="11"/>
      <c r="BW164" s="17"/>
      <c r="CO164"/>
      <c r="DG164"/>
    </row>
    <row r="165" spans="4:111" x14ac:dyDescent="0.3">
      <c r="D165" s="10"/>
      <c r="E165" s="5"/>
      <c r="F165" s="5"/>
      <c r="G165" s="5"/>
      <c r="H165" s="11"/>
      <c r="I165" s="11"/>
      <c r="J165" s="11"/>
      <c r="BW165" s="17"/>
      <c r="CO165"/>
      <c r="DG165"/>
    </row>
    <row r="166" spans="4:111" x14ac:dyDescent="0.3">
      <c r="D166" s="10"/>
      <c r="E166" s="5"/>
      <c r="F166" s="5"/>
      <c r="G166" s="5"/>
      <c r="H166" s="11"/>
      <c r="I166" s="11"/>
      <c r="J166" s="11"/>
      <c r="BW166" s="17"/>
      <c r="CO166"/>
      <c r="DG166"/>
    </row>
    <row r="167" spans="4:111" x14ac:dyDescent="0.3">
      <c r="D167" s="10"/>
      <c r="E167" s="5"/>
      <c r="F167" s="5"/>
      <c r="G167" s="5"/>
      <c r="H167" s="11"/>
      <c r="I167" s="11"/>
      <c r="J167" s="11"/>
      <c r="BW167" s="17"/>
      <c r="CO167"/>
      <c r="DG167"/>
    </row>
    <row r="168" spans="4:111" x14ac:dyDescent="0.3">
      <c r="D168" s="10"/>
      <c r="E168" s="5"/>
      <c r="F168" s="5"/>
      <c r="G168" s="5"/>
      <c r="H168" s="11"/>
      <c r="I168" s="11"/>
      <c r="J168" s="11"/>
      <c r="BW168" s="17"/>
      <c r="CO168"/>
      <c r="DG168"/>
    </row>
    <row r="169" spans="4:111" x14ac:dyDescent="0.3">
      <c r="D169" s="10"/>
      <c r="E169" s="5"/>
      <c r="F169" s="5"/>
      <c r="G169" s="5"/>
      <c r="H169" s="11"/>
      <c r="I169" s="11"/>
      <c r="J169" s="11"/>
      <c r="BW169" s="17"/>
      <c r="CO169"/>
      <c r="DG169"/>
    </row>
    <row r="170" spans="4:111" x14ac:dyDescent="0.3">
      <c r="D170" s="10"/>
      <c r="E170" s="5"/>
      <c r="F170" s="5"/>
      <c r="G170" s="5"/>
      <c r="H170" s="11"/>
      <c r="I170" s="11"/>
      <c r="J170" s="11"/>
      <c r="BW170" s="17"/>
      <c r="CO170"/>
      <c r="DG170"/>
    </row>
    <row r="171" spans="4:111" x14ac:dyDescent="0.3">
      <c r="D171" s="10"/>
      <c r="E171" s="5"/>
      <c r="F171" s="5"/>
      <c r="G171" s="5"/>
      <c r="H171" s="11"/>
      <c r="I171" s="11"/>
      <c r="J171" s="11"/>
      <c r="BW171" s="17"/>
      <c r="CO171"/>
      <c r="DG171"/>
    </row>
    <row r="172" spans="4:111" x14ac:dyDescent="0.3">
      <c r="D172" s="10"/>
      <c r="E172" s="5"/>
      <c r="F172" s="5"/>
      <c r="G172" s="5"/>
      <c r="H172" s="11"/>
      <c r="I172" s="11"/>
      <c r="J172" s="11"/>
      <c r="BW172" s="17"/>
      <c r="CO172"/>
      <c r="DG172"/>
    </row>
    <row r="173" spans="4:111" x14ac:dyDescent="0.3">
      <c r="D173" s="10"/>
      <c r="E173" s="5"/>
      <c r="F173" s="5"/>
      <c r="G173" s="5"/>
      <c r="H173" s="11"/>
      <c r="I173" s="11"/>
      <c r="J173" s="11"/>
      <c r="BW173" s="17"/>
      <c r="CO173"/>
      <c r="DG173"/>
    </row>
    <row r="174" spans="4:111" x14ac:dyDescent="0.3">
      <c r="D174" s="10"/>
      <c r="E174" s="5"/>
      <c r="F174" s="5"/>
      <c r="G174" s="5"/>
      <c r="H174" s="11"/>
      <c r="I174" s="11"/>
      <c r="J174" s="11"/>
      <c r="BW174" s="17"/>
      <c r="CO174"/>
      <c r="DG174"/>
    </row>
    <row r="175" spans="4:111" x14ac:dyDescent="0.3">
      <c r="D175" s="10"/>
      <c r="E175" s="5"/>
      <c r="F175" s="5"/>
      <c r="G175" s="5"/>
      <c r="H175" s="11"/>
      <c r="I175" s="11"/>
      <c r="J175" s="11"/>
      <c r="BW175" s="17"/>
      <c r="CO175"/>
      <c r="DG175"/>
    </row>
    <row r="176" spans="4:111" x14ac:dyDescent="0.3">
      <c r="D176" s="10"/>
      <c r="E176" s="5"/>
      <c r="F176" s="5"/>
      <c r="G176" s="5"/>
      <c r="H176" s="11"/>
      <c r="I176" s="11"/>
      <c r="J176" s="11"/>
      <c r="BW176" s="17"/>
      <c r="CO176"/>
      <c r="DG176"/>
    </row>
    <row r="177" spans="4:111" x14ac:dyDescent="0.3">
      <c r="D177" s="10"/>
      <c r="E177" s="5"/>
      <c r="F177" s="5"/>
      <c r="G177" s="5"/>
      <c r="H177" s="11"/>
      <c r="I177" s="11"/>
      <c r="J177" s="11"/>
      <c r="BW177" s="17"/>
      <c r="CO177"/>
      <c r="DG177"/>
    </row>
    <row r="178" spans="4:111" x14ac:dyDescent="0.3">
      <c r="D178" s="10"/>
      <c r="E178" s="5"/>
      <c r="F178" s="5"/>
      <c r="G178" s="5"/>
      <c r="H178" s="11"/>
      <c r="I178" s="11"/>
      <c r="J178" s="11"/>
      <c r="BW178" s="17"/>
      <c r="CO178"/>
      <c r="DG178"/>
    </row>
    <row r="179" spans="4:111" x14ac:dyDescent="0.3">
      <c r="D179" s="10"/>
      <c r="E179" s="5"/>
      <c r="F179" s="5"/>
      <c r="G179" s="5"/>
      <c r="H179" s="11"/>
      <c r="I179" s="11"/>
      <c r="J179" s="11"/>
      <c r="BW179" s="17"/>
      <c r="CO179"/>
      <c r="DG179"/>
    </row>
    <row r="180" spans="4:111" x14ac:dyDescent="0.3">
      <c r="D180" s="10"/>
      <c r="E180" s="5"/>
      <c r="F180" s="5"/>
      <c r="G180" s="5"/>
      <c r="H180" s="11"/>
      <c r="I180" s="11"/>
      <c r="J180" s="11"/>
      <c r="BW180" s="17"/>
      <c r="CO180"/>
      <c r="DG180"/>
    </row>
    <row r="181" spans="4:111" x14ac:dyDescent="0.3">
      <c r="D181" s="10"/>
      <c r="E181" s="5"/>
      <c r="F181" s="5"/>
      <c r="G181" s="5"/>
      <c r="H181" s="11"/>
      <c r="I181" s="11"/>
      <c r="J181" s="11"/>
      <c r="BW181" s="17"/>
      <c r="CO181"/>
    </row>
    <row r="182" spans="4:111" x14ac:dyDescent="0.3">
      <c r="D182" s="10"/>
      <c r="E182" s="5"/>
      <c r="F182" s="5"/>
      <c r="G182" s="5"/>
      <c r="H182" s="11"/>
      <c r="I182" s="11"/>
      <c r="J182" s="11"/>
      <c r="BW182" s="17"/>
      <c r="CO182"/>
    </row>
    <row r="183" spans="4:111" x14ac:dyDescent="0.3">
      <c r="D183" s="10"/>
      <c r="E183" s="5"/>
      <c r="F183" s="5"/>
      <c r="G183" s="5"/>
      <c r="H183" s="11"/>
      <c r="I183" s="11"/>
      <c r="J183" s="11"/>
      <c r="BW183" s="17"/>
      <c r="CO183"/>
    </row>
    <row r="184" spans="4:111" x14ac:dyDescent="0.3">
      <c r="D184" s="10"/>
      <c r="E184" s="5"/>
      <c r="F184" s="5"/>
      <c r="G184" s="5"/>
      <c r="H184" s="11"/>
      <c r="I184" s="11"/>
      <c r="J184" s="11"/>
      <c r="BW184" s="17"/>
      <c r="CO184"/>
    </row>
    <row r="185" spans="4:111" x14ac:dyDescent="0.3">
      <c r="D185" s="10"/>
      <c r="E185" s="5"/>
      <c r="F185" s="5"/>
      <c r="G185" s="5"/>
      <c r="H185" s="11"/>
      <c r="I185" s="11"/>
      <c r="J185" s="11"/>
      <c r="BW185" s="17"/>
      <c r="CO185"/>
    </row>
    <row r="186" spans="4:111" x14ac:dyDescent="0.3">
      <c r="D186" s="10"/>
      <c r="E186" s="5"/>
      <c r="F186" s="5"/>
      <c r="G186" s="5"/>
      <c r="H186" s="11"/>
      <c r="I186" s="11"/>
      <c r="J186" s="11"/>
      <c r="BW186" s="17"/>
      <c r="CO186"/>
    </row>
    <row r="187" spans="4:111" x14ac:dyDescent="0.3">
      <c r="D187" s="10"/>
      <c r="E187" s="5"/>
      <c r="F187" s="5"/>
      <c r="G187" s="5"/>
      <c r="H187" s="11"/>
      <c r="I187" s="11"/>
      <c r="J187" s="11"/>
      <c r="BW187" s="17"/>
      <c r="CO187"/>
    </row>
    <row r="188" spans="4:111" x14ac:dyDescent="0.3">
      <c r="D188" s="10"/>
      <c r="E188" s="5"/>
      <c r="F188" s="5"/>
      <c r="G188" s="5"/>
      <c r="H188" s="11"/>
      <c r="I188" s="11"/>
      <c r="J188" s="11"/>
      <c r="BW188" s="17"/>
      <c r="CO188"/>
    </row>
    <row r="189" spans="4:111" x14ac:dyDescent="0.3">
      <c r="D189" s="10"/>
      <c r="E189" s="5"/>
      <c r="F189" s="5"/>
      <c r="G189" s="5"/>
      <c r="H189" s="11"/>
      <c r="I189" s="11"/>
      <c r="J189" s="11"/>
      <c r="BW189" s="17"/>
      <c r="CO189"/>
    </row>
    <row r="190" spans="4:111" x14ac:dyDescent="0.3">
      <c r="D190" s="10"/>
      <c r="E190" s="5"/>
      <c r="F190" s="5"/>
      <c r="G190" s="5"/>
      <c r="H190" s="11"/>
      <c r="I190" s="11"/>
      <c r="J190" s="11"/>
      <c r="BW190" s="17"/>
      <c r="CO190"/>
    </row>
    <row r="191" spans="4:111" x14ac:dyDescent="0.3">
      <c r="D191" s="10"/>
      <c r="E191" s="5"/>
      <c r="F191" s="5"/>
      <c r="G191" s="5"/>
      <c r="H191" s="11"/>
      <c r="I191" s="11"/>
      <c r="J191" s="11"/>
      <c r="BW191" s="17"/>
    </row>
    <row r="192" spans="4:111" x14ac:dyDescent="0.3">
      <c r="D192" s="10"/>
      <c r="E192" s="5"/>
      <c r="F192" s="5"/>
      <c r="G192" s="5"/>
      <c r="H192" s="11"/>
      <c r="I192" s="11"/>
      <c r="J192" s="11"/>
      <c r="BW192" s="17"/>
    </row>
    <row r="193" spans="4:75" x14ac:dyDescent="0.3">
      <c r="D193" s="10"/>
      <c r="E193" s="5"/>
      <c r="F193" s="5"/>
      <c r="G193" s="5"/>
      <c r="H193" s="11"/>
      <c r="I193" s="11"/>
      <c r="J193" s="11"/>
      <c r="BW193" s="17"/>
    </row>
    <row r="194" spans="4:75" x14ac:dyDescent="0.3">
      <c r="D194" s="10"/>
      <c r="E194" s="5"/>
      <c r="F194" s="5"/>
      <c r="G194" s="5"/>
      <c r="H194" s="11"/>
      <c r="I194" s="11"/>
      <c r="J194" s="11"/>
      <c r="BW194" s="17"/>
    </row>
    <row r="195" spans="4:75" x14ac:dyDescent="0.3">
      <c r="D195" s="10"/>
      <c r="E195" s="5"/>
      <c r="F195" s="5"/>
      <c r="G195" s="5"/>
      <c r="H195" s="11"/>
      <c r="I195" s="11"/>
      <c r="J195" s="11"/>
      <c r="BW195" s="17"/>
    </row>
    <row r="196" spans="4:75" x14ac:dyDescent="0.3">
      <c r="D196" s="10"/>
      <c r="E196" s="5"/>
      <c r="F196" s="5"/>
      <c r="G196" s="5"/>
      <c r="H196" s="11"/>
      <c r="I196" s="11"/>
      <c r="J196" s="11"/>
      <c r="BW196" s="17"/>
    </row>
    <row r="197" spans="4:75" x14ac:dyDescent="0.3">
      <c r="D197" s="10"/>
      <c r="E197" s="5"/>
      <c r="F197" s="5"/>
      <c r="G197" s="5"/>
      <c r="H197" s="11"/>
      <c r="I197" s="11"/>
      <c r="J197" s="11"/>
      <c r="BW197" s="17"/>
    </row>
    <row r="198" spans="4:75" x14ac:dyDescent="0.3">
      <c r="D198" s="10"/>
      <c r="E198" s="5"/>
      <c r="F198" s="5"/>
      <c r="G198" s="5"/>
      <c r="H198" s="11"/>
      <c r="I198" s="11"/>
      <c r="J198" s="11"/>
      <c r="BW198" s="17"/>
    </row>
    <row r="199" spans="4:75" x14ac:dyDescent="0.3">
      <c r="D199" s="10"/>
      <c r="E199" s="5"/>
      <c r="F199" s="5"/>
      <c r="G199" s="5"/>
      <c r="H199" s="11"/>
      <c r="I199" s="11"/>
      <c r="J199" s="11"/>
      <c r="BW199" s="17"/>
    </row>
    <row r="200" spans="4:75" x14ac:dyDescent="0.3">
      <c r="D200" s="10"/>
      <c r="E200" s="5"/>
      <c r="F200" s="5"/>
      <c r="G200" s="5"/>
      <c r="H200" s="11"/>
      <c r="I200" s="11"/>
      <c r="J200" s="11"/>
      <c r="BW200" s="17"/>
    </row>
    <row r="201" spans="4:75" x14ac:dyDescent="0.3">
      <c r="D201" s="10"/>
      <c r="E201" s="5"/>
      <c r="F201" s="5"/>
      <c r="G201" s="5"/>
      <c r="H201" s="11"/>
      <c r="I201" s="11"/>
      <c r="J201" s="11"/>
      <c r="BW201" s="17"/>
    </row>
    <row r="202" spans="4:75" x14ac:dyDescent="0.3">
      <c r="D202" s="10"/>
      <c r="E202" s="5"/>
      <c r="F202" s="5"/>
      <c r="G202" s="5"/>
      <c r="H202" s="11"/>
      <c r="I202" s="11"/>
      <c r="J202" s="11"/>
      <c r="BW202" s="17"/>
    </row>
    <row r="203" spans="4:75" x14ac:dyDescent="0.3">
      <c r="D203" s="10"/>
      <c r="E203" s="5"/>
      <c r="F203" s="5"/>
      <c r="G203" s="5"/>
      <c r="H203" s="11"/>
      <c r="I203" s="11"/>
      <c r="J203" s="11"/>
      <c r="BW203" s="17"/>
    </row>
    <row r="204" spans="4:75" x14ac:dyDescent="0.3">
      <c r="D204" s="10"/>
      <c r="E204" s="5"/>
      <c r="F204" s="5"/>
      <c r="G204" s="5"/>
      <c r="H204" s="11"/>
      <c r="I204" s="11"/>
      <c r="J204" s="11"/>
      <c r="BW204" s="17"/>
    </row>
    <row r="205" spans="4:75" x14ac:dyDescent="0.3">
      <c r="D205" s="10"/>
      <c r="E205" s="5"/>
      <c r="F205" s="5"/>
      <c r="G205" s="5"/>
      <c r="H205" s="11"/>
      <c r="I205" s="11"/>
      <c r="J205" s="11"/>
      <c r="BW205" s="17"/>
    </row>
    <row r="206" spans="4:75" x14ac:dyDescent="0.3">
      <c r="D206" s="10"/>
      <c r="E206" s="5"/>
      <c r="F206" s="5"/>
      <c r="G206" s="5"/>
      <c r="H206" s="11"/>
      <c r="I206" s="11"/>
      <c r="J206" s="11"/>
      <c r="BW206" s="17"/>
    </row>
    <row r="207" spans="4:75" x14ac:dyDescent="0.3">
      <c r="D207" s="10"/>
      <c r="E207" s="5"/>
      <c r="F207" s="5"/>
      <c r="G207" s="5"/>
      <c r="H207" s="11"/>
      <c r="I207" s="11"/>
      <c r="J207" s="11"/>
      <c r="BW207" s="17"/>
    </row>
    <row r="208" spans="4:75" x14ac:dyDescent="0.3">
      <c r="D208" s="10"/>
      <c r="E208" s="5"/>
      <c r="F208" s="5"/>
      <c r="G208" s="5"/>
      <c r="H208" s="11"/>
      <c r="I208" s="11"/>
      <c r="J208" s="11"/>
      <c r="BW208" s="17"/>
    </row>
    <row r="209" spans="4:75" x14ac:dyDescent="0.3">
      <c r="D209" s="10"/>
      <c r="E209" s="5"/>
      <c r="F209" s="5"/>
      <c r="G209" s="5"/>
      <c r="H209" s="11"/>
      <c r="I209" s="11"/>
      <c r="J209" s="11"/>
      <c r="BW209" s="17"/>
    </row>
    <row r="210" spans="4:75" x14ac:dyDescent="0.3">
      <c r="D210" s="10"/>
      <c r="E210" s="5"/>
      <c r="F210" s="5"/>
      <c r="G210" s="5"/>
      <c r="H210" s="11"/>
      <c r="I210" s="11"/>
      <c r="J210" s="11"/>
      <c r="BW210" s="17"/>
    </row>
    <row r="211" spans="4:75" x14ac:dyDescent="0.3">
      <c r="D211" s="10"/>
      <c r="E211" s="5"/>
      <c r="F211" s="5"/>
      <c r="G211" s="5"/>
      <c r="H211" s="11"/>
      <c r="I211" s="11"/>
      <c r="J211" s="11"/>
      <c r="BW211" s="17"/>
    </row>
    <row r="212" spans="4:75" x14ac:dyDescent="0.3">
      <c r="D212" s="10"/>
      <c r="E212" s="5"/>
      <c r="F212" s="5"/>
      <c r="G212" s="5"/>
      <c r="H212" s="11"/>
      <c r="I212" s="11"/>
      <c r="J212" s="11"/>
      <c r="BW212" s="17"/>
    </row>
    <row r="213" spans="4:75" x14ac:dyDescent="0.3">
      <c r="D213" s="10"/>
      <c r="E213" s="5"/>
      <c r="F213" s="5"/>
      <c r="G213" s="5"/>
      <c r="H213" s="11"/>
      <c r="I213" s="11"/>
      <c r="J213" s="11"/>
      <c r="BW213" s="17"/>
    </row>
    <row r="214" spans="4:75" x14ac:dyDescent="0.3">
      <c r="D214" s="10"/>
      <c r="E214" s="5"/>
      <c r="F214" s="5"/>
      <c r="G214" s="5"/>
      <c r="H214" s="11"/>
      <c r="I214" s="11"/>
      <c r="J214" s="11"/>
      <c r="BW214" s="17"/>
    </row>
    <row r="215" spans="4:75" x14ac:dyDescent="0.3">
      <c r="D215" s="10"/>
      <c r="E215" s="5"/>
      <c r="F215" s="5"/>
      <c r="G215" s="5"/>
      <c r="H215" s="11"/>
      <c r="I215" s="11"/>
      <c r="J215" s="11"/>
      <c r="BW215" s="17"/>
    </row>
    <row r="216" spans="4:75" x14ac:dyDescent="0.3">
      <c r="D216" s="10"/>
      <c r="E216" s="5"/>
      <c r="F216" s="5"/>
      <c r="G216" s="5"/>
      <c r="H216" s="11"/>
      <c r="I216" s="11"/>
      <c r="J216" s="11"/>
      <c r="BW216" s="17"/>
    </row>
    <row r="217" spans="4:75" x14ac:dyDescent="0.3">
      <c r="D217" s="10"/>
      <c r="E217" s="5"/>
      <c r="F217" s="5"/>
      <c r="G217" s="5"/>
      <c r="H217" s="11"/>
      <c r="I217" s="11"/>
      <c r="J217" s="11"/>
      <c r="BW217" s="17"/>
    </row>
    <row r="218" spans="4:75" x14ac:dyDescent="0.3">
      <c r="D218" s="10"/>
      <c r="E218" s="5"/>
      <c r="F218" s="5"/>
      <c r="G218" s="5"/>
      <c r="H218" s="11"/>
      <c r="I218" s="11"/>
      <c r="J218" s="11"/>
      <c r="BW218" s="17"/>
    </row>
    <row r="219" spans="4:75" x14ac:dyDescent="0.3">
      <c r="D219" s="10"/>
      <c r="E219" s="5"/>
      <c r="F219" s="5"/>
      <c r="G219" s="5"/>
      <c r="H219" s="11"/>
      <c r="I219" s="11"/>
      <c r="J219" s="11"/>
      <c r="BW219" s="17"/>
    </row>
    <row r="220" spans="4:75" x14ac:dyDescent="0.3">
      <c r="D220" s="10"/>
      <c r="E220" s="5"/>
      <c r="F220" s="5"/>
      <c r="G220" s="5"/>
      <c r="H220" s="11"/>
      <c r="I220" s="11"/>
      <c r="J220" s="11"/>
      <c r="BW220" s="17"/>
    </row>
    <row r="221" spans="4:75" x14ac:dyDescent="0.3">
      <c r="D221" s="10"/>
      <c r="E221" s="5"/>
      <c r="F221" s="5"/>
      <c r="G221" s="5"/>
      <c r="H221" s="11"/>
      <c r="I221" s="11"/>
      <c r="J221" s="11"/>
      <c r="BW221" s="17"/>
    </row>
    <row r="222" spans="4:75" x14ac:dyDescent="0.3">
      <c r="D222" s="10"/>
      <c r="E222" s="5"/>
      <c r="F222" s="5"/>
      <c r="G222" s="5"/>
      <c r="H222" s="11"/>
      <c r="I222" s="11"/>
      <c r="J222" s="11"/>
      <c r="BW222" s="17"/>
    </row>
    <row r="223" spans="4:75" x14ac:dyDescent="0.3">
      <c r="D223" s="10"/>
      <c r="E223" s="5"/>
      <c r="F223" s="5"/>
      <c r="G223" s="5"/>
      <c r="H223" s="11"/>
      <c r="I223" s="11"/>
      <c r="J223" s="11"/>
      <c r="BW223" s="17"/>
    </row>
    <row r="224" spans="4:75" x14ac:dyDescent="0.3">
      <c r="D224" s="10"/>
      <c r="E224" s="5"/>
      <c r="F224" s="5"/>
      <c r="G224" s="5"/>
      <c r="H224" s="11"/>
      <c r="I224" s="11"/>
      <c r="J224" s="11"/>
      <c r="BW224" s="17"/>
    </row>
    <row r="225" spans="4:75" x14ac:dyDescent="0.3">
      <c r="D225" s="10"/>
      <c r="E225" s="5"/>
      <c r="F225" s="5"/>
      <c r="G225" s="5"/>
      <c r="H225" s="11"/>
      <c r="I225" s="11"/>
      <c r="J225" s="11"/>
      <c r="BW225" s="17"/>
    </row>
    <row r="226" spans="4:75" x14ac:dyDescent="0.3">
      <c r="D226" s="10"/>
      <c r="E226" s="5"/>
      <c r="F226" s="5"/>
      <c r="G226" s="5"/>
      <c r="H226" s="11"/>
      <c r="I226" s="11"/>
      <c r="J226" s="11"/>
    </row>
    <row r="227" spans="4:75" x14ac:dyDescent="0.3">
      <c r="D227" s="10"/>
      <c r="E227" s="5"/>
      <c r="F227" s="5"/>
      <c r="G227" s="5"/>
      <c r="H227" s="11"/>
      <c r="I227" s="11"/>
      <c r="J227" s="11"/>
    </row>
    <row r="228" spans="4:75" x14ac:dyDescent="0.3">
      <c r="D228" s="10"/>
      <c r="E228" s="5"/>
      <c r="F228" s="5"/>
      <c r="G228" s="5"/>
      <c r="H228" s="11"/>
      <c r="I228" s="11"/>
      <c r="J228" s="11"/>
    </row>
    <row r="229" spans="4:75" x14ac:dyDescent="0.3">
      <c r="D229" s="10"/>
      <c r="E229" s="5"/>
      <c r="F229" s="5"/>
      <c r="G229" s="5"/>
      <c r="H229" s="11"/>
      <c r="I229" s="11"/>
      <c r="J229" s="11"/>
    </row>
    <row r="230" spans="4:75" x14ac:dyDescent="0.3">
      <c r="D230" s="10"/>
      <c r="E230" s="5"/>
      <c r="F230" s="5"/>
      <c r="G230" s="5"/>
      <c r="H230" s="11"/>
      <c r="I230" s="11"/>
      <c r="J230" s="11"/>
    </row>
    <row r="231" spans="4:75" x14ac:dyDescent="0.3">
      <c r="D231" s="10"/>
      <c r="E231" s="5"/>
      <c r="F231" s="5"/>
      <c r="G231" s="5"/>
      <c r="H231" s="11"/>
      <c r="I231" s="11"/>
      <c r="J231" s="11"/>
    </row>
    <row r="232" spans="4:75" x14ac:dyDescent="0.3">
      <c r="D232" s="10"/>
      <c r="E232" s="5"/>
      <c r="F232" s="5"/>
      <c r="G232" s="5"/>
      <c r="H232" s="11"/>
      <c r="I232" s="11"/>
      <c r="J232" s="11"/>
    </row>
    <row r="233" spans="4:75" x14ac:dyDescent="0.3">
      <c r="D233" s="10"/>
      <c r="E233" s="5"/>
      <c r="F233" s="5"/>
      <c r="G233" s="5"/>
      <c r="H233" s="11"/>
      <c r="I233" s="11"/>
      <c r="J233" s="11"/>
    </row>
    <row r="234" spans="4:75" x14ac:dyDescent="0.3">
      <c r="D234" s="10"/>
      <c r="E234" s="5"/>
      <c r="F234" s="5"/>
      <c r="G234" s="5"/>
      <c r="H234" s="11"/>
      <c r="I234" s="11"/>
      <c r="J234" s="11"/>
    </row>
    <row r="235" spans="4:75" x14ac:dyDescent="0.3">
      <c r="D235" s="10"/>
      <c r="E235" s="5"/>
      <c r="F235" s="5"/>
      <c r="G235" s="5"/>
      <c r="H235" s="11"/>
      <c r="I235" s="11"/>
      <c r="J235" s="11"/>
    </row>
    <row r="236" spans="4:75" x14ac:dyDescent="0.3">
      <c r="D236" s="10"/>
      <c r="E236" s="5"/>
      <c r="F236" s="5"/>
      <c r="G236" s="5"/>
      <c r="H236" s="11"/>
      <c r="I236" s="11"/>
      <c r="J236" s="11"/>
    </row>
    <row r="237" spans="4:75" x14ac:dyDescent="0.3">
      <c r="D237" s="10"/>
      <c r="E237" s="5"/>
      <c r="F237" s="5"/>
      <c r="G237" s="5"/>
      <c r="H237" s="11"/>
      <c r="I237" s="11"/>
      <c r="J237" s="11"/>
    </row>
    <row r="238" spans="4:75" x14ac:dyDescent="0.3">
      <c r="D238" s="10"/>
      <c r="E238" s="5"/>
      <c r="F238" s="5"/>
      <c r="G238" s="5"/>
      <c r="H238" s="11"/>
      <c r="I238" s="11"/>
      <c r="J238" s="11"/>
    </row>
    <row r="239" spans="4:75" x14ac:dyDescent="0.3">
      <c r="D239" s="10"/>
      <c r="E239" s="5"/>
      <c r="F239" s="5"/>
      <c r="G239" s="5"/>
      <c r="H239" s="11"/>
      <c r="I239" s="11"/>
      <c r="J239" s="11"/>
    </row>
    <row r="240" spans="4:75" x14ac:dyDescent="0.3">
      <c r="D240" s="10"/>
      <c r="E240" s="5"/>
      <c r="F240" s="5"/>
      <c r="G240" s="5"/>
      <c r="H240" s="11"/>
      <c r="I240" s="11"/>
      <c r="J240" s="11"/>
    </row>
    <row r="241" spans="4:10" x14ac:dyDescent="0.3">
      <c r="D241" s="10"/>
      <c r="E241" s="5"/>
      <c r="F241" s="5"/>
      <c r="G241" s="5"/>
      <c r="H241" s="11"/>
      <c r="I241" s="11"/>
      <c r="J241" s="11"/>
    </row>
    <row r="242" spans="4:10" x14ac:dyDescent="0.3">
      <c r="D242" s="10"/>
      <c r="E242" s="5"/>
      <c r="F242" s="5"/>
      <c r="G242" s="5"/>
      <c r="H242" s="11"/>
      <c r="I242" s="11"/>
      <c r="J242" s="11"/>
    </row>
    <row r="243" spans="4:10" x14ac:dyDescent="0.3">
      <c r="D243" s="10"/>
      <c r="E243" s="5"/>
      <c r="F243" s="5"/>
      <c r="G243" s="5"/>
      <c r="H243" s="11"/>
      <c r="I243" s="11"/>
      <c r="J243" s="11"/>
    </row>
    <row r="244" spans="4:10" x14ac:dyDescent="0.3">
      <c r="D244" s="10"/>
      <c r="E244" s="5"/>
      <c r="F244" s="5"/>
      <c r="G244" s="5"/>
      <c r="H244" s="11"/>
      <c r="I244" s="11"/>
      <c r="J244" s="11"/>
    </row>
    <row r="245" spans="4:10" x14ac:dyDescent="0.3">
      <c r="D245" s="10"/>
      <c r="E245" s="5"/>
      <c r="F245" s="5"/>
      <c r="G245" s="5"/>
      <c r="H245" s="11"/>
      <c r="I245" s="11"/>
      <c r="J245" s="11"/>
    </row>
    <row r="246" spans="4:10" x14ac:dyDescent="0.3">
      <c r="D246" s="10"/>
      <c r="E246" s="5"/>
      <c r="F246" s="5"/>
      <c r="G246" s="5"/>
      <c r="H246" s="11"/>
      <c r="I246" s="11"/>
      <c r="J246" s="11"/>
    </row>
    <row r="247" spans="4:10" x14ac:dyDescent="0.3">
      <c r="D247" s="10"/>
      <c r="E247" s="5"/>
      <c r="F247" s="5"/>
      <c r="G247" s="5"/>
      <c r="H247" s="11"/>
      <c r="I247" s="11"/>
      <c r="J247" s="11"/>
    </row>
    <row r="248" spans="4:10" x14ac:dyDescent="0.3">
      <c r="D248" s="10"/>
      <c r="E248" s="5"/>
      <c r="F248" s="5"/>
      <c r="G248" s="5"/>
      <c r="H248" s="11"/>
      <c r="I248" s="11"/>
      <c r="J248" s="11"/>
    </row>
    <row r="249" spans="4:10" x14ac:dyDescent="0.3">
      <c r="D249" s="10"/>
      <c r="E249" s="5"/>
      <c r="F249" s="5"/>
      <c r="G249" s="5"/>
      <c r="H249" s="11"/>
      <c r="I249" s="11"/>
      <c r="J249" s="11"/>
    </row>
    <row r="250" spans="4:10" x14ac:dyDescent="0.3">
      <c r="D250" s="10"/>
      <c r="E250" s="5"/>
      <c r="F250" s="5"/>
      <c r="G250" s="5"/>
      <c r="H250" s="11"/>
      <c r="I250" s="11"/>
      <c r="J250" s="11"/>
    </row>
    <row r="251" spans="4:10" x14ac:dyDescent="0.3">
      <c r="D251" s="10"/>
      <c r="E251" s="5"/>
      <c r="F251" s="5"/>
      <c r="G251" s="5"/>
      <c r="H251" s="11"/>
      <c r="I251" s="11"/>
      <c r="J251" s="11"/>
    </row>
    <row r="252" spans="4:10" x14ac:dyDescent="0.3">
      <c r="D252" s="10"/>
      <c r="E252" s="5"/>
      <c r="F252" s="5"/>
      <c r="G252" s="5"/>
      <c r="H252" s="11"/>
      <c r="I252" s="11"/>
      <c r="J252" s="11"/>
    </row>
    <row r="253" spans="4:10" x14ac:dyDescent="0.3">
      <c r="D253" s="10"/>
      <c r="E253" s="5"/>
      <c r="F253" s="5"/>
      <c r="G253" s="5"/>
      <c r="H253" s="11"/>
      <c r="I253" s="11"/>
      <c r="J253" s="11"/>
    </row>
    <row r="254" spans="4:10" x14ac:dyDescent="0.3">
      <c r="D254" s="10"/>
      <c r="E254" s="5"/>
      <c r="F254" s="5"/>
      <c r="G254" s="5"/>
      <c r="H254" s="11"/>
      <c r="I254" s="11"/>
      <c r="J254" s="11"/>
    </row>
    <row r="255" spans="4:10" x14ac:dyDescent="0.3">
      <c r="D255" s="10"/>
      <c r="E255" s="5"/>
      <c r="F255" s="5"/>
      <c r="G255" s="5"/>
      <c r="H255" s="11"/>
      <c r="I255" s="11"/>
      <c r="J255" s="11"/>
    </row>
    <row r="256" spans="4:10" x14ac:dyDescent="0.3">
      <c r="D256" s="10"/>
      <c r="E256" s="5"/>
      <c r="F256" s="5"/>
      <c r="G256" s="5"/>
      <c r="H256" s="11"/>
      <c r="I256" s="11"/>
      <c r="J256" s="11"/>
    </row>
    <row r="257" spans="4:10" x14ac:dyDescent="0.3">
      <c r="D257" s="10"/>
      <c r="E257" s="5"/>
      <c r="F257" s="5"/>
      <c r="G257" s="5"/>
      <c r="H257" s="11"/>
      <c r="I257" s="11"/>
      <c r="J257" s="11"/>
    </row>
    <row r="258" spans="4:10" x14ac:dyDescent="0.3">
      <c r="D258" s="10"/>
      <c r="E258" s="5"/>
      <c r="F258" s="5"/>
      <c r="G258" s="5"/>
      <c r="H258" s="11"/>
      <c r="I258" s="11"/>
      <c r="J258" s="11"/>
    </row>
    <row r="259" spans="4:10" x14ac:dyDescent="0.3">
      <c r="D259" s="10"/>
      <c r="E259" s="5"/>
      <c r="F259" s="5"/>
      <c r="G259" s="5"/>
      <c r="H259" s="11"/>
      <c r="I259" s="11"/>
      <c r="J259" s="11"/>
    </row>
    <row r="260" spans="4:10" x14ac:dyDescent="0.3">
      <c r="D260" s="10"/>
      <c r="E260" s="5"/>
      <c r="F260" s="5"/>
      <c r="G260" s="5"/>
      <c r="H260" s="11"/>
      <c r="I260" s="11"/>
      <c r="J260" s="11"/>
    </row>
    <row r="261" spans="4:10" x14ac:dyDescent="0.3">
      <c r="D261" s="10"/>
      <c r="E261" s="5"/>
      <c r="F261" s="5"/>
      <c r="G261" s="5"/>
      <c r="H261" s="11"/>
      <c r="I261" s="11"/>
      <c r="J261" s="11"/>
    </row>
    <row r="262" spans="4:10" x14ac:dyDescent="0.3">
      <c r="D262" s="10"/>
      <c r="E262" s="5"/>
      <c r="F262" s="5"/>
      <c r="G262" s="5"/>
      <c r="H262" s="11"/>
      <c r="I262" s="11"/>
      <c r="J262" s="11"/>
    </row>
    <row r="263" spans="4:10" x14ac:dyDescent="0.3">
      <c r="D263" s="10"/>
      <c r="E263" s="5"/>
      <c r="F263" s="5"/>
      <c r="G263" s="5"/>
      <c r="H263" s="11"/>
      <c r="I263" s="11"/>
      <c r="J263" s="11"/>
    </row>
    <row r="264" spans="4:10" x14ac:dyDescent="0.3">
      <c r="E264" s="12"/>
      <c r="F264" s="12"/>
      <c r="G264" s="12"/>
      <c r="H264" s="12"/>
      <c r="I264" s="12"/>
      <c r="J264" s="12"/>
    </row>
    <row r="265" spans="4:10" x14ac:dyDescent="0.3">
      <c r="E265" s="12"/>
      <c r="F265" s="12"/>
      <c r="G265" s="12"/>
      <c r="H265" s="12"/>
      <c r="I265" s="12"/>
      <c r="J265" s="12"/>
    </row>
    <row r="266" spans="4:10" x14ac:dyDescent="0.3">
      <c r="E266" s="12"/>
      <c r="F266" s="12"/>
      <c r="G266" s="12"/>
      <c r="H266" s="12"/>
      <c r="I266" s="12"/>
      <c r="J266" s="12"/>
    </row>
    <row r="267" spans="4:10" x14ac:dyDescent="0.3">
      <c r="E267" s="12"/>
      <c r="F267" s="12"/>
      <c r="G267" s="12"/>
      <c r="H267" s="12"/>
      <c r="I267" s="12"/>
      <c r="J267" s="12"/>
    </row>
    <row r="268" spans="4:10" x14ac:dyDescent="0.3">
      <c r="E268" s="12"/>
      <c r="F268" s="12"/>
      <c r="G268" s="12"/>
      <c r="H268" s="12"/>
      <c r="I268" s="12"/>
      <c r="J268" s="12"/>
    </row>
    <row r="269" spans="4:10" x14ac:dyDescent="0.3">
      <c r="E269" s="12"/>
      <c r="F269" s="12"/>
      <c r="G269" s="12"/>
      <c r="H269" s="12"/>
      <c r="I269" s="12"/>
      <c r="J269" s="12"/>
    </row>
    <row r="270" spans="4:10" x14ac:dyDescent="0.3">
      <c r="E270" s="12"/>
      <c r="F270" s="12"/>
      <c r="G270" s="12"/>
      <c r="H270" s="12"/>
      <c r="I270" s="12"/>
      <c r="J270" s="12"/>
    </row>
    <row r="271" spans="4:10" x14ac:dyDescent="0.3">
      <c r="E271" s="12"/>
      <c r="F271" s="12"/>
      <c r="G271" s="12"/>
      <c r="H271" s="12"/>
      <c r="I271" s="12"/>
      <c r="J271" s="12"/>
    </row>
    <row r="272" spans="4:10" x14ac:dyDescent="0.3">
      <c r="E272" s="12"/>
      <c r="F272" s="12"/>
      <c r="G272" s="12"/>
      <c r="H272" s="12"/>
      <c r="I272" s="12"/>
      <c r="J272" s="12"/>
    </row>
    <row r="273" spans="5:10" x14ac:dyDescent="0.3">
      <c r="E273" s="12"/>
      <c r="F273" s="12"/>
      <c r="G273" s="12"/>
      <c r="H273" s="12"/>
      <c r="I273" s="12"/>
      <c r="J273" s="12"/>
    </row>
    <row r="274" spans="5:10" x14ac:dyDescent="0.3">
      <c r="E274" s="12"/>
      <c r="F274" s="12"/>
      <c r="G274" s="12"/>
      <c r="H274" s="12"/>
      <c r="I274" s="12"/>
      <c r="J274" s="12"/>
    </row>
    <row r="275" spans="5:10" x14ac:dyDescent="0.3">
      <c r="E275" s="12"/>
      <c r="F275" s="12"/>
      <c r="G275" s="12"/>
      <c r="H275" s="12"/>
      <c r="I275" s="12"/>
      <c r="J275" s="12"/>
    </row>
    <row r="276" spans="5:10" x14ac:dyDescent="0.3">
      <c r="E276" s="12"/>
      <c r="F276" s="12"/>
      <c r="G276" s="12"/>
      <c r="H276" s="12"/>
      <c r="I276" s="12"/>
      <c r="J276" s="12"/>
    </row>
    <row r="277" spans="5:10" x14ac:dyDescent="0.3">
      <c r="E277" s="12"/>
      <c r="F277" s="12"/>
      <c r="G277" s="12"/>
      <c r="H277" s="12"/>
      <c r="I277" s="12"/>
      <c r="J277" s="12"/>
    </row>
    <row r="278" spans="5:10" x14ac:dyDescent="0.3">
      <c r="E278" s="12"/>
      <c r="F278" s="12"/>
      <c r="G278" s="12"/>
      <c r="H278" s="12"/>
      <c r="I278" s="12"/>
      <c r="J278" s="12"/>
    </row>
    <row r="279" spans="5:10" x14ac:dyDescent="0.3">
      <c r="E279" s="12"/>
      <c r="F279" s="12"/>
      <c r="G279" s="12"/>
      <c r="H279" s="12"/>
      <c r="I279" s="12"/>
      <c r="J279" s="12"/>
    </row>
    <row r="280" spans="5:10" x14ac:dyDescent="0.3">
      <c r="E280" s="12"/>
      <c r="F280" s="12"/>
      <c r="G280" s="12"/>
      <c r="H280" s="12"/>
      <c r="I280" s="12"/>
      <c r="J280" s="12"/>
    </row>
    <row r="281" spans="5:10" x14ac:dyDescent="0.3">
      <c r="E281" s="12"/>
      <c r="F281" s="12"/>
      <c r="G281" s="12"/>
      <c r="H281" s="12"/>
      <c r="I281" s="12"/>
      <c r="J281" s="12"/>
    </row>
    <row r="282" spans="5:10" x14ac:dyDescent="0.3">
      <c r="E282" s="12"/>
      <c r="F282" s="12"/>
      <c r="G282" s="12"/>
      <c r="H282" s="12"/>
      <c r="I282" s="12"/>
      <c r="J282" s="12"/>
    </row>
    <row r="283" spans="5:10" x14ac:dyDescent="0.3">
      <c r="E283" s="12"/>
      <c r="F283" s="12"/>
      <c r="G283" s="12"/>
      <c r="H283" s="12"/>
      <c r="I283" s="12"/>
      <c r="J283" s="12"/>
    </row>
    <row r="284" spans="5:10" x14ac:dyDescent="0.3">
      <c r="E284" s="12"/>
      <c r="F284" s="12"/>
      <c r="G284" s="12"/>
      <c r="H284" s="12"/>
      <c r="I284" s="12"/>
      <c r="J284" s="12"/>
    </row>
    <row r="285" spans="5:10" x14ac:dyDescent="0.3">
      <c r="E285" s="12"/>
      <c r="F285" s="12"/>
      <c r="G285" s="12"/>
      <c r="H285" s="12"/>
      <c r="I285" s="12"/>
      <c r="J285" s="12"/>
    </row>
    <row r="286" spans="5:10" x14ac:dyDescent="0.3">
      <c r="E286" s="12"/>
      <c r="F286" s="12"/>
      <c r="G286" s="12"/>
      <c r="H286" s="12"/>
      <c r="I286" s="12"/>
      <c r="J286" s="12"/>
    </row>
    <row r="287" spans="5:10" x14ac:dyDescent="0.3">
      <c r="E287" s="12"/>
      <c r="F287" s="12"/>
      <c r="G287" s="12"/>
      <c r="H287" s="12"/>
      <c r="I287" s="12"/>
      <c r="J287" s="12"/>
    </row>
    <row r="288" spans="5:10" x14ac:dyDescent="0.3">
      <c r="E288" s="12"/>
      <c r="F288" s="12"/>
      <c r="G288" s="12"/>
      <c r="H288" s="12"/>
      <c r="I288" s="12"/>
      <c r="J288" s="12"/>
    </row>
    <row r="289" spans="5:10" x14ac:dyDescent="0.3">
      <c r="E289" s="12"/>
      <c r="F289" s="12"/>
      <c r="G289" s="12"/>
      <c r="H289" s="12"/>
      <c r="I289" s="12"/>
      <c r="J289" s="12"/>
    </row>
    <row r="290" spans="5:10" x14ac:dyDescent="0.3">
      <c r="E290" s="12"/>
      <c r="F290" s="12"/>
      <c r="G290" s="12"/>
      <c r="H290" s="12"/>
      <c r="I290" s="12"/>
      <c r="J290" s="12"/>
    </row>
    <row r="291" spans="5:10" x14ac:dyDescent="0.3">
      <c r="E291" s="12"/>
      <c r="F291" s="12"/>
      <c r="G291" s="12"/>
      <c r="H291" s="12"/>
      <c r="I291" s="12"/>
      <c r="J291" s="12"/>
    </row>
    <row r="292" spans="5:10" x14ac:dyDescent="0.3">
      <c r="E292" s="12"/>
      <c r="F292" s="12"/>
      <c r="G292" s="12"/>
      <c r="H292" s="12"/>
      <c r="I292" s="12"/>
      <c r="J292" s="12"/>
    </row>
    <row r="293" spans="5:10" x14ac:dyDescent="0.3">
      <c r="E293" s="12"/>
      <c r="F293" s="12"/>
      <c r="G293" s="12"/>
      <c r="H293" s="12"/>
      <c r="I293" s="12"/>
      <c r="J293" s="12"/>
    </row>
    <row r="294" spans="5:10" x14ac:dyDescent="0.3">
      <c r="E294" s="12"/>
      <c r="F294" s="12"/>
      <c r="G294" s="12"/>
      <c r="H294" s="12"/>
      <c r="I294" s="12"/>
      <c r="J294" s="12"/>
    </row>
    <row r="295" spans="5:10" x14ac:dyDescent="0.3">
      <c r="E295" s="12"/>
      <c r="F295" s="12"/>
      <c r="G295" s="12"/>
      <c r="H295" s="12"/>
      <c r="I295" s="12"/>
      <c r="J295" s="12"/>
    </row>
    <row r="296" spans="5:10" x14ac:dyDescent="0.3">
      <c r="E296" s="12"/>
      <c r="F296" s="12"/>
      <c r="G296" s="12"/>
      <c r="H296" s="12"/>
      <c r="I296" s="12"/>
      <c r="J296" s="12"/>
    </row>
    <row r="297" spans="5:10" x14ac:dyDescent="0.3">
      <c r="E297" s="12"/>
      <c r="F297" s="12"/>
      <c r="G297" s="12"/>
      <c r="H297" s="12"/>
      <c r="I297" s="12"/>
      <c r="J297" s="12"/>
    </row>
    <row r="298" spans="5:10" x14ac:dyDescent="0.3">
      <c r="E298" s="12"/>
      <c r="F298" s="12"/>
      <c r="G298" s="12"/>
      <c r="H298" s="12"/>
      <c r="I298" s="12"/>
      <c r="J298" s="12"/>
    </row>
    <row r="299" spans="5:10" x14ac:dyDescent="0.3">
      <c r="E299" s="12"/>
      <c r="F299" s="12"/>
      <c r="G299" s="12"/>
      <c r="H299" s="12"/>
      <c r="I299" s="12"/>
      <c r="J299" s="12"/>
    </row>
    <row r="300" spans="5:10" x14ac:dyDescent="0.3">
      <c r="E300" s="12"/>
      <c r="F300" s="12"/>
      <c r="G300" s="12"/>
      <c r="H300" s="12"/>
      <c r="I300" s="12"/>
      <c r="J300" s="12"/>
    </row>
    <row r="301" spans="5:10" x14ac:dyDescent="0.3">
      <c r="E301" s="12"/>
      <c r="F301" s="12"/>
      <c r="G301" s="12"/>
      <c r="H301" s="12"/>
      <c r="I301" s="12"/>
      <c r="J301" s="12"/>
    </row>
    <row r="302" spans="5:10" x14ac:dyDescent="0.3">
      <c r="E302" s="12"/>
      <c r="F302" s="12"/>
      <c r="G302" s="12"/>
      <c r="H302" s="12"/>
      <c r="I302" s="12"/>
      <c r="J302" s="12"/>
    </row>
    <row r="303" spans="5:10" x14ac:dyDescent="0.3">
      <c r="E303" s="12"/>
      <c r="F303" s="12"/>
      <c r="G303" s="12"/>
      <c r="H303" s="12"/>
      <c r="I303" s="12"/>
      <c r="J303" s="12"/>
    </row>
    <row r="304" spans="5:10" x14ac:dyDescent="0.3">
      <c r="E304" s="12"/>
      <c r="F304" s="12"/>
      <c r="G304" s="12"/>
      <c r="H304" s="12"/>
      <c r="I304" s="12"/>
      <c r="J304" s="12"/>
    </row>
    <row r="305" spans="5:10" x14ac:dyDescent="0.3">
      <c r="E305" s="12"/>
      <c r="F305" s="12"/>
      <c r="G305" s="12"/>
      <c r="H305" s="12"/>
      <c r="I305" s="12"/>
      <c r="J305" s="12"/>
    </row>
    <row r="306" spans="5:10" x14ac:dyDescent="0.3">
      <c r="E306" s="12"/>
      <c r="F306" s="12"/>
      <c r="G306" s="12"/>
      <c r="H306" s="12"/>
      <c r="I306" s="12"/>
      <c r="J306" s="12"/>
    </row>
    <row r="307" spans="5:10" x14ac:dyDescent="0.3">
      <c r="E307" s="12"/>
      <c r="F307" s="12"/>
      <c r="G307" s="12"/>
      <c r="H307" s="12"/>
      <c r="I307" s="12"/>
      <c r="J307" s="12"/>
    </row>
    <row r="308" spans="5:10" x14ac:dyDescent="0.3">
      <c r="E308" s="12"/>
      <c r="F308" s="12"/>
      <c r="G308" s="12"/>
      <c r="H308" s="12"/>
      <c r="I308" s="12"/>
      <c r="J308" s="12"/>
    </row>
    <row r="309" spans="5:10" x14ac:dyDescent="0.3">
      <c r="E309" s="12"/>
      <c r="F309" s="12"/>
      <c r="G309" s="12"/>
      <c r="H309" s="12"/>
      <c r="I309" s="12"/>
      <c r="J309" s="12"/>
    </row>
    <row r="310" spans="5:10" x14ac:dyDescent="0.3">
      <c r="E310" s="12"/>
      <c r="F310" s="12"/>
      <c r="G310" s="12"/>
      <c r="H310" s="12"/>
      <c r="I310" s="12"/>
      <c r="J310" s="12"/>
    </row>
    <row r="311" spans="5:10" x14ac:dyDescent="0.3">
      <c r="E311" s="12"/>
      <c r="F311" s="12"/>
      <c r="G311" s="12"/>
      <c r="H311" s="12"/>
      <c r="I311" s="12"/>
      <c r="J311" s="12"/>
    </row>
    <row r="312" spans="5:10" x14ac:dyDescent="0.3">
      <c r="E312" s="12"/>
      <c r="F312" s="12"/>
      <c r="G312" s="12"/>
      <c r="H312" s="12"/>
      <c r="I312" s="12"/>
      <c r="J312" s="12"/>
    </row>
    <row r="313" spans="5:10" x14ac:dyDescent="0.3">
      <c r="E313" s="12"/>
      <c r="F313" s="12"/>
      <c r="G313" s="12"/>
      <c r="H313" s="12"/>
      <c r="I313" s="12"/>
      <c r="J313" s="12"/>
    </row>
    <row r="314" spans="5:10" x14ac:dyDescent="0.3">
      <c r="E314" s="12"/>
      <c r="F314" s="12"/>
      <c r="G314" s="12"/>
      <c r="H314" s="12"/>
      <c r="I314" s="12"/>
      <c r="J314" s="12"/>
    </row>
    <row r="315" spans="5:10" x14ac:dyDescent="0.3">
      <c r="E315" s="12"/>
      <c r="F315" s="12"/>
      <c r="G315" s="12"/>
      <c r="H315" s="12"/>
      <c r="I315" s="12"/>
      <c r="J315" s="12"/>
    </row>
    <row r="316" spans="5:10" x14ac:dyDescent="0.3">
      <c r="E316" s="12"/>
      <c r="F316" s="12"/>
      <c r="G316" s="12"/>
      <c r="H316" s="12"/>
      <c r="I316" s="12"/>
      <c r="J316" s="12"/>
    </row>
    <row r="317" spans="5:10" x14ac:dyDescent="0.3">
      <c r="E317" s="12"/>
      <c r="F317" s="12"/>
      <c r="G317" s="12"/>
      <c r="H317" s="12"/>
      <c r="I317" s="12"/>
      <c r="J317" s="12"/>
    </row>
    <row r="318" spans="5:10" x14ac:dyDescent="0.3">
      <c r="E318" s="12"/>
      <c r="F318" s="12"/>
      <c r="G318" s="12"/>
      <c r="H318" s="12"/>
      <c r="I318" s="12"/>
      <c r="J318" s="12"/>
    </row>
    <row r="319" spans="5:10" x14ac:dyDescent="0.3">
      <c r="E319" s="12"/>
      <c r="F319" s="12"/>
      <c r="G319" s="12"/>
      <c r="H319" s="12"/>
      <c r="I319" s="12"/>
      <c r="J319" s="12"/>
    </row>
    <row r="320" spans="5:10" x14ac:dyDescent="0.3">
      <c r="E320" s="12"/>
      <c r="F320" s="12"/>
      <c r="G320" s="12"/>
      <c r="H320" s="12"/>
      <c r="I320" s="12"/>
      <c r="J320" s="12"/>
    </row>
    <row r="321" spans="5:10" x14ac:dyDescent="0.3">
      <c r="E321" s="12"/>
      <c r="F321" s="12"/>
      <c r="G321" s="12"/>
      <c r="H321" s="12"/>
      <c r="I321" s="12"/>
      <c r="J321" s="12"/>
    </row>
    <row r="322" spans="5:10" x14ac:dyDescent="0.3">
      <c r="E322" s="12"/>
      <c r="F322" s="12"/>
      <c r="G322" s="12"/>
      <c r="H322" s="12"/>
      <c r="I322" s="12"/>
      <c r="J322" s="12"/>
    </row>
    <row r="323" spans="5:10" x14ac:dyDescent="0.3">
      <c r="E323" s="12"/>
      <c r="F323" s="12"/>
      <c r="G323" s="12"/>
      <c r="H323" s="12"/>
      <c r="I323" s="12"/>
      <c r="J323" s="12"/>
    </row>
    <row r="324" spans="5:10" x14ac:dyDescent="0.3">
      <c r="E324" s="12"/>
      <c r="F324" s="12"/>
      <c r="G324" s="12"/>
      <c r="H324" s="12"/>
      <c r="I324" s="12"/>
      <c r="J324" s="12"/>
    </row>
    <row r="325" spans="5:10" x14ac:dyDescent="0.3">
      <c r="E325" s="12"/>
      <c r="F325" s="12"/>
      <c r="G325" s="12"/>
      <c r="H325" s="12"/>
      <c r="I325" s="12"/>
      <c r="J325" s="12"/>
    </row>
    <row r="326" spans="5:10" x14ac:dyDescent="0.3">
      <c r="E326" s="12"/>
      <c r="F326" s="12"/>
      <c r="G326" s="12"/>
      <c r="H326" s="12"/>
      <c r="I326" s="12"/>
      <c r="J326" s="12"/>
    </row>
    <row r="327" spans="5:10" x14ac:dyDescent="0.3">
      <c r="E327" s="12"/>
      <c r="F327" s="12"/>
      <c r="G327" s="12"/>
      <c r="H327" s="12"/>
      <c r="I327" s="12"/>
      <c r="J327" s="12"/>
    </row>
    <row r="328" spans="5:10" x14ac:dyDescent="0.3">
      <c r="E328" s="12"/>
      <c r="F328" s="12"/>
      <c r="G328" s="12"/>
      <c r="H328" s="12"/>
      <c r="I328" s="12"/>
      <c r="J328" s="12"/>
    </row>
    <row r="329" spans="5:10" x14ac:dyDescent="0.3">
      <c r="E329" s="12"/>
      <c r="F329" s="12"/>
      <c r="G329" s="12"/>
      <c r="H329" s="12"/>
      <c r="I329" s="12"/>
      <c r="J329" s="12"/>
    </row>
    <row r="330" spans="5:10" x14ac:dyDescent="0.3">
      <c r="E330" s="12"/>
      <c r="F330" s="12"/>
      <c r="G330" s="12"/>
      <c r="H330" s="12"/>
      <c r="I330" s="12"/>
      <c r="J330" s="12"/>
    </row>
    <row r="331" spans="5:10" x14ac:dyDescent="0.3">
      <c r="E331" s="12"/>
      <c r="F331" s="12"/>
      <c r="G331" s="12"/>
      <c r="H331" s="12"/>
      <c r="I331" s="12"/>
      <c r="J331" s="12"/>
    </row>
    <row r="332" spans="5:10" x14ac:dyDescent="0.3">
      <c r="E332" s="12"/>
      <c r="F332" s="12"/>
      <c r="G332" s="12"/>
      <c r="H332" s="12"/>
      <c r="I332" s="12"/>
      <c r="J332" s="12"/>
    </row>
    <row r="333" spans="5:10" x14ac:dyDescent="0.3">
      <c r="E333" s="12"/>
      <c r="F333" s="12"/>
      <c r="G333" s="12"/>
      <c r="H333" s="12"/>
      <c r="I333" s="12"/>
      <c r="J333" s="12"/>
    </row>
    <row r="334" spans="5:10" x14ac:dyDescent="0.3">
      <c r="E334" s="12"/>
      <c r="F334" s="12"/>
      <c r="G334" s="12"/>
      <c r="H334" s="12"/>
      <c r="I334" s="12"/>
      <c r="J334" s="12"/>
    </row>
    <row r="335" spans="5:10" x14ac:dyDescent="0.3">
      <c r="E335" s="12"/>
      <c r="F335" s="12"/>
      <c r="G335" s="12"/>
      <c r="H335" s="12"/>
      <c r="I335" s="12"/>
      <c r="J335" s="12"/>
    </row>
    <row r="336" spans="5:10" x14ac:dyDescent="0.3">
      <c r="E336" s="12"/>
      <c r="F336" s="12"/>
      <c r="G336" s="12"/>
      <c r="H336" s="12"/>
      <c r="I336" s="12"/>
      <c r="J336" s="12"/>
    </row>
    <row r="337" spans="5:10" x14ac:dyDescent="0.3">
      <c r="E337" s="12"/>
      <c r="F337" s="12"/>
      <c r="G337" s="12"/>
      <c r="H337" s="12"/>
      <c r="I337" s="12"/>
      <c r="J337" s="12"/>
    </row>
    <row r="338" spans="5:10" x14ac:dyDescent="0.3">
      <c r="E338" s="12"/>
      <c r="F338" s="12"/>
      <c r="G338" s="12"/>
      <c r="H338" s="12"/>
      <c r="I338" s="12"/>
      <c r="J338" s="12"/>
    </row>
    <row r="339" spans="5:10" x14ac:dyDescent="0.3">
      <c r="E339" s="12"/>
      <c r="F339" s="12"/>
      <c r="G339" s="12"/>
      <c r="H339" s="12"/>
      <c r="I339" s="12"/>
      <c r="J339" s="12"/>
    </row>
    <row r="340" spans="5:10" x14ac:dyDescent="0.3">
      <c r="E340" s="12"/>
      <c r="F340" s="12"/>
      <c r="G340" s="12"/>
      <c r="H340" s="12"/>
      <c r="I340" s="12"/>
      <c r="J340" s="12"/>
    </row>
    <row r="341" spans="5:10" x14ac:dyDescent="0.3">
      <c r="E341" s="12"/>
      <c r="F341" s="12"/>
      <c r="G341" s="12"/>
      <c r="H341" s="12"/>
      <c r="I341" s="12"/>
      <c r="J341" s="12"/>
    </row>
    <row r="342" spans="5:10" x14ac:dyDescent="0.3">
      <c r="E342" s="12"/>
      <c r="F342" s="12"/>
      <c r="G342" s="12"/>
      <c r="H342" s="12"/>
      <c r="I342" s="12"/>
      <c r="J342" s="12"/>
    </row>
    <row r="343" spans="5:10" x14ac:dyDescent="0.3">
      <c r="E343" s="12"/>
      <c r="F343" s="12"/>
      <c r="G343" s="12"/>
      <c r="H343" s="12"/>
      <c r="I343" s="12"/>
      <c r="J343" s="12"/>
    </row>
    <row r="344" spans="5:10" x14ac:dyDescent="0.3">
      <c r="E344" s="12"/>
      <c r="F344" s="12"/>
      <c r="G344" s="12"/>
      <c r="H344" s="12"/>
      <c r="I344" s="12"/>
      <c r="J344" s="12"/>
    </row>
    <row r="345" spans="5:10" x14ac:dyDescent="0.3">
      <c r="E345" s="12"/>
      <c r="F345" s="12"/>
      <c r="G345" s="12"/>
      <c r="H345" s="12"/>
      <c r="I345" s="12"/>
      <c r="J345" s="12"/>
    </row>
    <row r="346" spans="5:10" x14ac:dyDescent="0.3">
      <c r="E346" s="12"/>
      <c r="F346" s="12"/>
      <c r="G346" s="12"/>
      <c r="H346" s="12"/>
      <c r="I346" s="12"/>
      <c r="J346" s="12"/>
    </row>
    <row r="347" spans="5:10" x14ac:dyDescent="0.3">
      <c r="E347" s="12"/>
      <c r="F347" s="12"/>
      <c r="G347" s="12"/>
      <c r="H347" s="12"/>
      <c r="I347" s="12"/>
      <c r="J347" s="12"/>
    </row>
    <row r="348" spans="5:10" x14ac:dyDescent="0.3">
      <c r="E348" s="12"/>
      <c r="F348" s="12"/>
      <c r="G348" s="12"/>
      <c r="H348" s="12"/>
      <c r="I348" s="12"/>
      <c r="J348" s="12"/>
    </row>
    <row r="349" spans="5:10" x14ac:dyDescent="0.3">
      <c r="E349" s="12"/>
      <c r="F349" s="12"/>
      <c r="G349" s="12"/>
      <c r="H349" s="12"/>
      <c r="I349" s="12"/>
      <c r="J349" s="12"/>
    </row>
    <row r="350" spans="5:10" x14ac:dyDescent="0.3">
      <c r="E350" s="12"/>
      <c r="F350" s="12"/>
      <c r="G350" s="12"/>
      <c r="H350" s="12"/>
      <c r="I350" s="12"/>
      <c r="J350" s="12"/>
    </row>
    <row r="351" spans="5:10" x14ac:dyDescent="0.3">
      <c r="E351" s="12"/>
      <c r="F351" s="12"/>
      <c r="G351" s="12"/>
      <c r="H351" s="12"/>
      <c r="I351" s="12"/>
      <c r="J351" s="12"/>
    </row>
    <row r="352" spans="5:10" x14ac:dyDescent="0.3">
      <c r="E352" s="12"/>
      <c r="F352" s="12"/>
      <c r="G352" s="12"/>
      <c r="H352" s="12"/>
      <c r="I352" s="12"/>
      <c r="J352" s="12"/>
    </row>
    <row r="353" spans="5:10" x14ac:dyDescent="0.3">
      <c r="E353" s="12"/>
      <c r="F353" s="12"/>
      <c r="G353" s="12"/>
      <c r="H353" s="12"/>
      <c r="I353" s="12"/>
      <c r="J353" s="12"/>
    </row>
    <row r="354" spans="5:10" x14ac:dyDescent="0.3">
      <c r="E354" s="12"/>
      <c r="F354" s="12"/>
      <c r="G354" s="12"/>
      <c r="H354" s="12"/>
      <c r="I354" s="12"/>
      <c r="J354" s="12"/>
    </row>
    <row r="355" spans="5:10" x14ac:dyDescent="0.3">
      <c r="E355" s="12"/>
      <c r="F355" s="12"/>
      <c r="G355" s="12"/>
      <c r="H355" s="12"/>
      <c r="I355" s="12"/>
      <c r="J355" s="12"/>
    </row>
    <row r="356" spans="5:10" x14ac:dyDescent="0.3">
      <c r="E356" s="12"/>
      <c r="F356" s="12"/>
      <c r="G356" s="12"/>
      <c r="H356" s="12"/>
      <c r="I356" s="12"/>
      <c r="J356" s="12"/>
    </row>
    <row r="357" spans="5:10" x14ac:dyDescent="0.3">
      <c r="E357" s="12"/>
      <c r="F357" s="12"/>
      <c r="G357" s="12"/>
      <c r="H357" s="12"/>
      <c r="I357" s="12"/>
      <c r="J357" s="12"/>
    </row>
    <row r="358" spans="5:10" x14ac:dyDescent="0.3">
      <c r="E358" s="12"/>
      <c r="F358" s="12"/>
      <c r="G358" s="12"/>
      <c r="H358" s="12"/>
      <c r="I358" s="12"/>
      <c r="J358" s="12"/>
    </row>
    <row r="359" spans="5:10" x14ac:dyDescent="0.3">
      <c r="E359" s="12"/>
      <c r="F359" s="12"/>
      <c r="G359" s="12"/>
      <c r="H359" s="12"/>
      <c r="I359" s="12"/>
      <c r="J359" s="12"/>
    </row>
    <row r="360" spans="5:10" x14ac:dyDescent="0.3">
      <c r="E360" s="12"/>
      <c r="F360" s="12"/>
      <c r="G360" s="12"/>
      <c r="H360" s="12"/>
      <c r="I360" s="12"/>
      <c r="J360" s="12"/>
    </row>
    <row r="361" spans="5:10" x14ac:dyDescent="0.3">
      <c r="E361" s="12"/>
      <c r="F361" s="12"/>
      <c r="G361" s="12"/>
      <c r="H361" s="12"/>
      <c r="I361" s="12"/>
      <c r="J361" s="12"/>
    </row>
  </sheetData>
  <mergeCells count="312">
    <mergeCell ref="U119:U120"/>
    <mergeCell ref="V119:V120"/>
    <mergeCell ref="AB119:AC119"/>
    <mergeCell ref="U73:U74"/>
    <mergeCell ref="V73:V74"/>
    <mergeCell ref="AA73:AA74"/>
    <mergeCell ref="AB73:AC73"/>
    <mergeCell ref="K119:K120"/>
    <mergeCell ref="L119:L120"/>
    <mergeCell ref="R119:S119"/>
    <mergeCell ref="K73:K74"/>
    <mergeCell ref="L73:L74"/>
    <mergeCell ref="Q73:Q74"/>
    <mergeCell ref="R73:S73"/>
    <mergeCell ref="T73:T74"/>
    <mergeCell ref="K84:K85"/>
    <mergeCell ref="L84:L85"/>
    <mergeCell ref="R84:S84"/>
    <mergeCell ref="AD73:AD74"/>
    <mergeCell ref="U84:U85"/>
    <mergeCell ref="V84:V85"/>
    <mergeCell ref="AB84:AC84"/>
    <mergeCell ref="U29:U30"/>
    <mergeCell ref="V29:V30"/>
    <mergeCell ref="AB29:AC29"/>
    <mergeCell ref="U58:U59"/>
    <mergeCell ref="V58:V59"/>
    <mergeCell ref="AB58:AC58"/>
    <mergeCell ref="K58:K59"/>
    <mergeCell ref="L58:L59"/>
    <mergeCell ref="R58:S58"/>
    <mergeCell ref="H7:I7"/>
    <mergeCell ref="A7:A8"/>
    <mergeCell ref="B7:B8"/>
    <mergeCell ref="U1:AD1"/>
    <mergeCell ref="U2:AD2"/>
    <mergeCell ref="U4:V4"/>
    <mergeCell ref="U5:V5"/>
    <mergeCell ref="U7:U8"/>
    <mergeCell ref="V7:V8"/>
    <mergeCell ref="AB7:AC7"/>
    <mergeCell ref="A4:B4"/>
    <mergeCell ref="A5:B5"/>
    <mergeCell ref="A29:A30"/>
    <mergeCell ref="B29:B30"/>
    <mergeCell ref="K1:T1"/>
    <mergeCell ref="K2:T2"/>
    <mergeCell ref="K4:L4"/>
    <mergeCell ref="K5:L5"/>
    <mergeCell ref="K7:K8"/>
    <mergeCell ref="L7:L8"/>
    <mergeCell ref="R7:S7"/>
    <mergeCell ref="K29:K30"/>
    <mergeCell ref="L29:L30"/>
    <mergeCell ref="R29:S29"/>
    <mergeCell ref="AE1:AN1"/>
    <mergeCell ref="AE2:AN2"/>
    <mergeCell ref="AE4:AF4"/>
    <mergeCell ref="AE5:AF5"/>
    <mergeCell ref="AE7:AE8"/>
    <mergeCell ref="AF7:AF8"/>
    <mergeCell ref="AL7:AM7"/>
    <mergeCell ref="A119:A120"/>
    <mergeCell ref="B119:B120"/>
    <mergeCell ref="H119:I119"/>
    <mergeCell ref="A84:A85"/>
    <mergeCell ref="B84:B85"/>
    <mergeCell ref="H84:I84"/>
    <mergeCell ref="A73:A74"/>
    <mergeCell ref="B73:B74"/>
    <mergeCell ref="G73:G74"/>
    <mergeCell ref="H73:I73"/>
    <mergeCell ref="J73:J74"/>
    <mergeCell ref="A58:A59"/>
    <mergeCell ref="B58:B59"/>
    <mergeCell ref="H58:I58"/>
    <mergeCell ref="H29:I29"/>
    <mergeCell ref="A1:J1"/>
    <mergeCell ref="A2:J2"/>
    <mergeCell ref="AE119:AE120"/>
    <mergeCell ref="AF119:AF120"/>
    <mergeCell ref="AL119:AM119"/>
    <mergeCell ref="AO1:AX1"/>
    <mergeCell ref="AO2:AX2"/>
    <mergeCell ref="AO4:AP4"/>
    <mergeCell ref="AO5:AP5"/>
    <mergeCell ref="AO7:AO8"/>
    <mergeCell ref="AP7:AP8"/>
    <mergeCell ref="AV7:AW7"/>
    <mergeCell ref="AE73:AE74"/>
    <mergeCell ref="AF73:AF74"/>
    <mergeCell ref="AK73:AK74"/>
    <mergeCell ref="AL73:AM73"/>
    <mergeCell ref="AN73:AN74"/>
    <mergeCell ref="AE84:AE85"/>
    <mergeCell ref="AF84:AF85"/>
    <mergeCell ref="AL84:AM84"/>
    <mergeCell ref="AE29:AE30"/>
    <mergeCell ref="AF29:AF30"/>
    <mergeCell ref="AL29:AM29"/>
    <mergeCell ref="AE58:AE59"/>
    <mergeCell ref="AF58:AF59"/>
    <mergeCell ref="AL58:AM58"/>
    <mergeCell ref="AO119:AO120"/>
    <mergeCell ref="AP119:AP120"/>
    <mergeCell ref="AV119:AW119"/>
    <mergeCell ref="AY1:BH1"/>
    <mergeCell ref="AY2:BH2"/>
    <mergeCell ref="AY4:AZ4"/>
    <mergeCell ref="AY5:AZ5"/>
    <mergeCell ref="AY7:AY8"/>
    <mergeCell ref="AZ7:AZ8"/>
    <mergeCell ref="BF7:BG7"/>
    <mergeCell ref="AO73:AO74"/>
    <mergeCell ref="AP73:AP74"/>
    <mergeCell ref="AU73:AU74"/>
    <mergeCell ref="AV73:AW73"/>
    <mergeCell ref="AX73:AX74"/>
    <mergeCell ref="AO84:AO85"/>
    <mergeCell ref="AP84:AP85"/>
    <mergeCell ref="AV84:AW84"/>
    <mergeCell ref="AO29:AO30"/>
    <mergeCell ref="AP29:AP30"/>
    <mergeCell ref="AV29:AW29"/>
    <mergeCell ref="AO58:AO59"/>
    <mergeCell ref="AP58:AP59"/>
    <mergeCell ref="AV58:AW58"/>
    <mergeCell ref="BI1:BR1"/>
    <mergeCell ref="BI2:BR2"/>
    <mergeCell ref="BI4:BJ4"/>
    <mergeCell ref="BI5:BJ5"/>
    <mergeCell ref="BI7:BI8"/>
    <mergeCell ref="BJ7:BJ8"/>
    <mergeCell ref="BP7:BQ7"/>
    <mergeCell ref="AY119:AY120"/>
    <mergeCell ref="AZ119:AZ120"/>
    <mergeCell ref="BF119:BG119"/>
    <mergeCell ref="AY73:AY74"/>
    <mergeCell ref="AZ73:AZ74"/>
    <mergeCell ref="BE73:BE74"/>
    <mergeCell ref="BF73:BG73"/>
    <mergeCell ref="BH73:BH74"/>
    <mergeCell ref="AY84:AY85"/>
    <mergeCell ref="AZ84:AZ85"/>
    <mergeCell ref="BF84:BG84"/>
    <mergeCell ref="AY29:AY30"/>
    <mergeCell ref="AZ29:AZ30"/>
    <mergeCell ref="BF29:BG29"/>
    <mergeCell ref="AY58:AY59"/>
    <mergeCell ref="AZ58:AZ59"/>
    <mergeCell ref="BF58:BG58"/>
    <mergeCell ref="BI119:BI120"/>
    <mergeCell ref="BJ119:BJ120"/>
    <mergeCell ref="BP119:BQ119"/>
    <mergeCell ref="BS1:CB1"/>
    <mergeCell ref="BS2:CB2"/>
    <mergeCell ref="BS4:BT4"/>
    <mergeCell ref="BS5:BT5"/>
    <mergeCell ref="BS7:BS8"/>
    <mergeCell ref="BT7:BT8"/>
    <mergeCell ref="BZ7:CA7"/>
    <mergeCell ref="BI73:BI74"/>
    <mergeCell ref="BJ73:BJ74"/>
    <mergeCell ref="BO73:BO74"/>
    <mergeCell ref="BP73:BQ73"/>
    <mergeCell ref="BR73:BR74"/>
    <mergeCell ref="BI84:BI85"/>
    <mergeCell ref="BJ84:BJ85"/>
    <mergeCell ref="BP84:BQ84"/>
    <mergeCell ref="BI29:BI30"/>
    <mergeCell ref="BJ29:BJ30"/>
    <mergeCell ref="BP29:BQ29"/>
    <mergeCell ref="BI58:BI59"/>
    <mergeCell ref="BJ58:BJ59"/>
    <mergeCell ref="BP58:BQ58"/>
    <mergeCell ref="BS119:BS120"/>
    <mergeCell ref="BT119:BT120"/>
    <mergeCell ref="BZ119:CA119"/>
    <mergeCell ref="CC1:CL1"/>
    <mergeCell ref="CC2:CL2"/>
    <mergeCell ref="CC4:CD4"/>
    <mergeCell ref="CC5:CD5"/>
    <mergeCell ref="CC7:CC8"/>
    <mergeCell ref="CD7:CD8"/>
    <mergeCell ref="CJ7:CK7"/>
    <mergeCell ref="BS73:BS74"/>
    <mergeCell ref="BT73:BT74"/>
    <mergeCell ref="BY73:BY74"/>
    <mergeCell ref="BZ73:CA73"/>
    <mergeCell ref="CB73:CB74"/>
    <mergeCell ref="BS84:BS85"/>
    <mergeCell ref="BT84:BT85"/>
    <mergeCell ref="BZ84:CA84"/>
    <mergeCell ref="BS29:BS30"/>
    <mergeCell ref="BT29:BT30"/>
    <mergeCell ref="BZ29:CA29"/>
    <mergeCell ref="BS58:BS59"/>
    <mergeCell ref="BT58:BT59"/>
    <mergeCell ref="BZ58:CA58"/>
    <mergeCell ref="CC119:CC120"/>
    <mergeCell ref="CD119:CD120"/>
    <mergeCell ref="CJ119:CK119"/>
    <mergeCell ref="CM1:CV1"/>
    <mergeCell ref="CM2:CV2"/>
    <mergeCell ref="CM4:CN4"/>
    <mergeCell ref="CM5:CN5"/>
    <mergeCell ref="CM7:CM8"/>
    <mergeCell ref="CN7:CN8"/>
    <mergeCell ref="CT7:CU7"/>
    <mergeCell ref="CC73:CC74"/>
    <mergeCell ref="CD73:CD74"/>
    <mergeCell ref="CI73:CI74"/>
    <mergeCell ref="CJ73:CK73"/>
    <mergeCell ref="CL73:CL74"/>
    <mergeCell ref="CC84:CC85"/>
    <mergeCell ref="CD84:CD85"/>
    <mergeCell ref="CJ84:CK84"/>
    <mergeCell ref="CC29:CC30"/>
    <mergeCell ref="CD29:CD30"/>
    <mergeCell ref="CJ29:CK29"/>
    <mergeCell ref="CC58:CC59"/>
    <mergeCell ref="CD58:CD59"/>
    <mergeCell ref="CJ58:CK58"/>
    <mergeCell ref="CM119:CM120"/>
    <mergeCell ref="CN119:CN120"/>
    <mergeCell ref="CT119:CU119"/>
    <mergeCell ref="CW1:DF1"/>
    <mergeCell ref="CW2:DF2"/>
    <mergeCell ref="CW4:CX4"/>
    <mergeCell ref="CW5:CX5"/>
    <mergeCell ref="CW7:CW8"/>
    <mergeCell ref="CX7:CX8"/>
    <mergeCell ref="DD7:DE7"/>
    <mergeCell ref="CM73:CM74"/>
    <mergeCell ref="CN73:CN74"/>
    <mergeCell ref="CS73:CS74"/>
    <mergeCell ref="CT73:CU73"/>
    <mergeCell ref="CV73:CV74"/>
    <mergeCell ref="CM84:CM85"/>
    <mergeCell ref="CN84:CN85"/>
    <mergeCell ref="CT84:CU84"/>
    <mergeCell ref="CM29:CM30"/>
    <mergeCell ref="CN29:CN30"/>
    <mergeCell ref="CT29:CU29"/>
    <mergeCell ref="CM58:CM59"/>
    <mergeCell ref="CN58:CN59"/>
    <mergeCell ref="CT58:CU58"/>
    <mergeCell ref="DG1:DP1"/>
    <mergeCell ref="DG2:DP2"/>
    <mergeCell ref="DG4:DH4"/>
    <mergeCell ref="DG5:DH5"/>
    <mergeCell ref="DG7:DG8"/>
    <mergeCell ref="DH7:DH8"/>
    <mergeCell ref="DN7:DO7"/>
    <mergeCell ref="CW73:CW74"/>
    <mergeCell ref="CX73:CX74"/>
    <mergeCell ref="DC73:DC74"/>
    <mergeCell ref="DD73:DE73"/>
    <mergeCell ref="DF73:DF74"/>
    <mergeCell ref="CW29:CW30"/>
    <mergeCell ref="CX29:CX30"/>
    <mergeCell ref="DD29:DE29"/>
    <mergeCell ref="CW58:CW59"/>
    <mergeCell ref="CX58:CX59"/>
    <mergeCell ref="DD58:DE58"/>
    <mergeCell ref="DG29:DG30"/>
    <mergeCell ref="DH29:DH30"/>
    <mergeCell ref="DN29:DO29"/>
    <mergeCell ref="DG58:DG59"/>
    <mergeCell ref="DH58:DH59"/>
    <mergeCell ref="DN58:DO58"/>
    <mergeCell ref="CW119:CW120"/>
    <mergeCell ref="CX119:CX120"/>
    <mergeCell ref="DD119:DE119"/>
    <mergeCell ref="CW84:CW85"/>
    <mergeCell ref="CX84:CX85"/>
    <mergeCell ref="DD84:DE84"/>
    <mergeCell ref="DG119:DG120"/>
    <mergeCell ref="DH119:DH120"/>
    <mergeCell ref="DN119:DO119"/>
    <mergeCell ref="DG73:DG74"/>
    <mergeCell ref="DH73:DH74"/>
    <mergeCell ref="DM73:DM74"/>
    <mergeCell ref="DN73:DO73"/>
    <mergeCell ref="DP73:DP74"/>
    <mergeCell ref="DG84:DG85"/>
    <mergeCell ref="DH84:DH85"/>
    <mergeCell ref="DN84:DO84"/>
    <mergeCell ref="DQ29:DQ30"/>
    <mergeCell ref="DR29:DR30"/>
    <mergeCell ref="DX29:DY29"/>
    <mergeCell ref="DQ58:DQ59"/>
    <mergeCell ref="DR58:DR59"/>
    <mergeCell ref="DX58:DY58"/>
    <mergeCell ref="DQ1:DZ1"/>
    <mergeCell ref="DQ2:DZ2"/>
    <mergeCell ref="DQ4:DR4"/>
    <mergeCell ref="DQ5:DR5"/>
    <mergeCell ref="DQ7:DQ8"/>
    <mergeCell ref="DR7:DR8"/>
    <mergeCell ref="DX7:DY7"/>
    <mergeCell ref="DQ119:DQ120"/>
    <mergeCell ref="DR119:DR120"/>
    <mergeCell ref="DX119:DY119"/>
    <mergeCell ref="DQ73:DQ74"/>
    <mergeCell ref="DR73:DR74"/>
    <mergeCell ref="DW73:DW74"/>
    <mergeCell ref="DX73:DY73"/>
    <mergeCell ref="DZ73:DZ74"/>
    <mergeCell ref="DQ84:DQ85"/>
    <mergeCell ref="DR84:DR85"/>
    <mergeCell ref="DX84:DY84"/>
  </mergeCells>
  <pageMargins left="0.95" right="0.45" top="0.85" bottom="0.75" header="0.3" footer="0.3"/>
  <pageSetup paperSize="5" scale="90" orientation="landscape" cellComments="atEnd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I45"/>
  <sheetViews>
    <sheetView tabSelected="1" topLeftCell="DS1" zoomScale="70" zoomScaleNormal="70" workbookViewId="0">
      <selection activeCell="EH7" sqref="EH7"/>
    </sheetView>
  </sheetViews>
  <sheetFormatPr defaultRowHeight="14.4" x14ac:dyDescent="0.3"/>
  <cols>
    <col min="1" max="1" width="2.109375" customWidth="1"/>
    <col min="2" max="2" width="8.88671875" customWidth="1"/>
    <col min="3" max="3" width="8.5546875" customWidth="1"/>
    <col min="4" max="4" width="8.33203125" customWidth="1"/>
    <col min="5" max="5" width="8.109375" customWidth="1"/>
    <col min="6" max="6" width="9.6640625" customWidth="1"/>
    <col min="7" max="7" width="10.6640625" style="91" customWidth="1"/>
    <col min="8" max="8" width="10.44140625" customWidth="1"/>
    <col min="9" max="9" width="3.44140625" customWidth="1"/>
    <col min="10" max="10" width="4.109375" customWidth="1"/>
    <col min="11" max="11" width="24.5546875" customWidth="1"/>
    <col min="12" max="13" width="18.6640625" customWidth="1"/>
    <col min="14" max="14" width="16.109375" customWidth="1"/>
    <col min="15" max="15" width="14.88671875" customWidth="1"/>
    <col min="16" max="16" width="14.44140625" customWidth="1"/>
    <col min="17" max="17" width="13.5546875" customWidth="1"/>
    <col min="18" max="18" width="15.6640625" customWidth="1"/>
    <col min="19" max="19" width="20.88671875" customWidth="1"/>
    <col min="20" max="20" width="4.109375" customWidth="1"/>
    <col min="21" max="21" width="24.5546875" customWidth="1"/>
    <col min="22" max="23" width="18.6640625" customWidth="1"/>
    <col min="24" max="24" width="16.109375" customWidth="1"/>
    <col min="25" max="25" width="12.6640625" customWidth="1"/>
    <col min="26" max="27" width="13.5546875" customWidth="1"/>
    <col min="28" max="28" width="15.6640625" customWidth="1"/>
    <col min="29" max="29" width="20.88671875" customWidth="1"/>
    <col min="30" max="30" width="4.109375" customWidth="1"/>
    <col min="31" max="31" width="24.5546875" customWidth="1"/>
    <col min="32" max="32" width="19.5546875" customWidth="1"/>
    <col min="33" max="33" width="21.6640625" customWidth="1"/>
    <col min="34" max="34" width="16.109375" customWidth="1"/>
    <col min="35" max="35" width="12.6640625" customWidth="1"/>
    <col min="36" max="37" width="13.5546875" customWidth="1"/>
    <col min="38" max="38" width="15.6640625" customWidth="1"/>
    <col min="39" max="39" width="20.88671875" customWidth="1"/>
    <col min="40" max="40" width="4.109375" customWidth="1"/>
    <col min="41" max="41" width="24.5546875" customWidth="1"/>
    <col min="42" max="42" width="15" customWidth="1"/>
    <col min="43" max="43" width="21.6640625" customWidth="1"/>
    <col min="44" max="44" width="16.109375" customWidth="1"/>
    <col min="45" max="45" width="12.6640625" customWidth="1"/>
    <col min="46" max="47" width="13.5546875" customWidth="1"/>
    <col min="48" max="48" width="15.6640625" customWidth="1"/>
    <col min="49" max="49" width="20.88671875" customWidth="1"/>
    <col min="50" max="50" width="4.109375" customWidth="1"/>
    <col min="51" max="51" width="24.5546875" customWidth="1"/>
    <col min="52" max="52" width="15" customWidth="1"/>
    <col min="53" max="53" width="21.6640625" customWidth="1"/>
    <col min="54" max="54" width="16.109375" customWidth="1"/>
    <col min="55" max="55" width="12.6640625" customWidth="1"/>
    <col min="56" max="57" width="13.5546875" customWidth="1"/>
    <col min="58" max="58" width="15.6640625" customWidth="1"/>
    <col min="59" max="59" width="20.88671875" customWidth="1"/>
    <col min="60" max="60" width="4.109375" customWidth="1"/>
    <col min="61" max="61" width="24.5546875" customWidth="1"/>
    <col min="62" max="63" width="18.6640625" customWidth="1"/>
    <col min="64" max="64" width="16.109375" customWidth="1"/>
    <col min="65" max="65" width="12.6640625" customWidth="1"/>
    <col min="66" max="67" width="13.5546875" customWidth="1"/>
    <col min="68" max="68" width="15.6640625" customWidth="1"/>
    <col min="69" max="69" width="20.88671875" customWidth="1"/>
    <col min="70" max="70" width="4.109375" customWidth="1"/>
    <col min="71" max="71" width="24.5546875" customWidth="1"/>
    <col min="72" max="72" width="15" customWidth="1"/>
    <col min="73" max="73" width="21.6640625" customWidth="1"/>
    <col min="74" max="74" width="16.109375" customWidth="1"/>
    <col min="75" max="75" width="12.6640625" customWidth="1"/>
    <col min="76" max="77" width="13.5546875" customWidth="1"/>
    <col min="78" max="78" width="15.6640625" customWidth="1"/>
    <col min="79" max="79" width="20.88671875" customWidth="1"/>
    <col min="80" max="80" width="4.109375" customWidth="1"/>
    <col min="81" max="81" width="24.5546875" customWidth="1"/>
    <col min="82" max="82" width="15" customWidth="1"/>
    <col min="83" max="83" width="21.6640625" customWidth="1"/>
    <col min="84" max="84" width="16.109375" customWidth="1"/>
    <col min="85" max="85" width="12.6640625" customWidth="1"/>
    <col min="86" max="87" width="13.5546875" customWidth="1"/>
    <col min="88" max="88" width="15.6640625" customWidth="1"/>
    <col min="89" max="89" width="20.88671875" customWidth="1"/>
    <col min="90" max="90" width="4.109375" customWidth="1"/>
    <col min="91" max="91" width="24.5546875" customWidth="1"/>
    <col min="92" max="92" width="15" customWidth="1"/>
    <col min="93" max="93" width="21.6640625" customWidth="1"/>
    <col min="94" max="94" width="16.109375" customWidth="1"/>
    <col min="95" max="95" width="12.6640625" customWidth="1"/>
    <col min="96" max="97" width="13.5546875" customWidth="1"/>
    <col min="98" max="98" width="15.6640625" customWidth="1"/>
    <col min="99" max="99" width="20.88671875" customWidth="1"/>
    <col min="100" max="100" width="4.109375" customWidth="1"/>
    <col min="101" max="101" width="24.5546875" customWidth="1"/>
    <col min="102" max="102" width="15" customWidth="1"/>
    <col min="103" max="103" width="21.6640625" customWidth="1"/>
    <col min="104" max="104" width="16.109375" customWidth="1"/>
    <col min="105" max="105" width="12.6640625" customWidth="1"/>
    <col min="106" max="107" width="13.5546875" customWidth="1"/>
    <col min="108" max="108" width="15.6640625" customWidth="1"/>
    <col min="109" max="109" width="20.88671875" customWidth="1"/>
    <col min="110" max="110" width="4.109375" customWidth="1"/>
    <col min="111" max="111" width="24.5546875" customWidth="1"/>
    <col min="112" max="112" width="15" customWidth="1"/>
    <col min="113" max="113" width="21.6640625" customWidth="1"/>
    <col min="114" max="114" width="16.109375" customWidth="1"/>
    <col min="115" max="115" width="12.6640625" customWidth="1"/>
    <col min="116" max="117" width="13.5546875" customWidth="1"/>
    <col min="118" max="118" width="15.6640625" customWidth="1"/>
    <col min="119" max="119" width="20.88671875" customWidth="1"/>
    <col min="120" max="120" width="4.109375" customWidth="1"/>
    <col min="121" max="121" width="24.5546875" customWidth="1"/>
    <col min="122" max="122" width="15" customWidth="1"/>
    <col min="123" max="123" width="21.6640625" customWidth="1"/>
    <col min="124" max="124" width="16.109375" customWidth="1"/>
    <col min="125" max="125" width="12.6640625" customWidth="1"/>
    <col min="126" max="127" width="13.5546875" customWidth="1"/>
    <col min="128" max="128" width="15.6640625" customWidth="1"/>
    <col min="129" max="129" width="20.88671875" customWidth="1"/>
    <col min="130" max="130" width="4.109375" customWidth="1"/>
    <col min="131" max="131" width="24.5546875" customWidth="1"/>
    <col min="132" max="132" width="18.6640625" customWidth="1"/>
    <col min="133" max="133" width="23.5546875" customWidth="1"/>
    <col min="134" max="134" width="16.109375" customWidth="1"/>
    <col min="135" max="135" width="14" customWidth="1"/>
    <col min="136" max="136" width="13.5546875" customWidth="1"/>
    <col min="137" max="137" width="17" customWidth="1"/>
    <col min="138" max="138" width="17.5546875" customWidth="1"/>
    <col min="139" max="139" width="20.88671875" customWidth="1"/>
    <col min="140" max="140" width="18.5546875" bestFit="1" customWidth="1"/>
    <col min="142" max="142" width="6.44140625" customWidth="1"/>
    <col min="143" max="143" width="19.109375" customWidth="1"/>
    <col min="144" max="144" width="16.44140625" customWidth="1"/>
    <col min="145" max="147" width="12.6640625" customWidth="1"/>
    <col min="148" max="148" width="13.5546875" customWidth="1"/>
    <col min="149" max="152" width="12.6640625" customWidth="1"/>
    <col min="153" max="153" width="14" customWidth="1"/>
    <col min="154" max="154" width="13.5546875" customWidth="1"/>
    <col min="155" max="155" width="12.6640625" customWidth="1"/>
    <col min="156" max="156" width="15" customWidth="1"/>
  </cols>
  <sheetData>
    <row r="1" spans="2:156" ht="23.4" x14ac:dyDescent="0.45">
      <c r="B1" s="21"/>
      <c r="C1" s="21"/>
      <c r="D1" s="21"/>
      <c r="E1" s="21"/>
      <c r="F1" s="21"/>
      <c r="G1" s="88"/>
      <c r="H1" s="21"/>
      <c r="I1" s="21"/>
      <c r="J1" s="237" t="s">
        <v>142</v>
      </c>
      <c r="K1" s="237"/>
      <c r="L1" s="237"/>
      <c r="M1" s="237"/>
      <c r="N1" s="237"/>
      <c r="O1" s="237"/>
      <c r="P1" s="237"/>
      <c r="Q1" s="237"/>
      <c r="R1" s="237"/>
      <c r="S1" s="237"/>
      <c r="T1" s="237" t="s">
        <v>142</v>
      </c>
      <c r="U1" s="237"/>
      <c r="V1" s="237"/>
      <c r="W1" s="237"/>
      <c r="X1" s="237"/>
      <c r="Y1" s="237"/>
      <c r="Z1" s="237"/>
      <c r="AA1" s="237"/>
      <c r="AB1" s="237"/>
      <c r="AC1" s="237"/>
      <c r="AD1" s="237" t="s">
        <v>142</v>
      </c>
      <c r="AE1" s="237"/>
      <c r="AF1" s="237"/>
      <c r="AG1" s="237"/>
      <c r="AH1" s="237"/>
      <c r="AI1" s="237"/>
      <c r="AJ1" s="237"/>
      <c r="AK1" s="237"/>
      <c r="AL1" s="237"/>
      <c r="AM1" s="237"/>
      <c r="AN1" s="237" t="s">
        <v>142</v>
      </c>
      <c r="AO1" s="237"/>
      <c r="AP1" s="237"/>
      <c r="AQ1" s="237"/>
      <c r="AR1" s="237"/>
      <c r="AS1" s="237"/>
      <c r="AT1" s="237"/>
      <c r="AU1" s="237"/>
      <c r="AV1" s="237"/>
      <c r="AW1" s="237"/>
      <c r="AX1" s="237" t="s">
        <v>142</v>
      </c>
      <c r="AY1" s="237"/>
      <c r="AZ1" s="237"/>
      <c r="BA1" s="237"/>
      <c r="BB1" s="237"/>
      <c r="BC1" s="237"/>
      <c r="BD1" s="237"/>
      <c r="BE1" s="237"/>
      <c r="BF1" s="237"/>
      <c r="BG1" s="237"/>
      <c r="BH1" s="237" t="s">
        <v>142</v>
      </c>
      <c r="BI1" s="237"/>
      <c r="BJ1" s="237"/>
      <c r="BK1" s="237"/>
      <c r="BL1" s="237"/>
      <c r="BM1" s="237"/>
      <c r="BN1" s="237"/>
      <c r="BO1" s="237"/>
      <c r="BP1" s="237"/>
      <c r="BQ1" s="237"/>
      <c r="BR1" s="237" t="s">
        <v>142</v>
      </c>
      <c r="BS1" s="237"/>
      <c r="BT1" s="237"/>
      <c r="BU1" s="237"/>
      <c r="BV1" s="237"/>
      <c r="BW1" s="237"/>
      <c r="BX1" s="237"/>
      <c r="BY1" s="237"/>
      <c r="BZ1" s="237"/>
      <c r="CA1" s="237"/>
      <c r="CB1" s="237" t="s">
        <v>142</v>
      </c>
      <c r="CC1" s="237"/>
      <c r="CD1" s="237"/>
      <c r="CE1" s="237"/>
      <c r="CF1" s="237"/>
      <c r="CG1" s="237"/>
      <c r="CH1" s="237"/>
      <c r="CI1" s="237"/>
      <c r="CJ1" s="237"/>
      <c r="CK1" s="237"/>
      <c r="CL1" s="237" t="s">
        <v>142</v>
      </c>
      <c r="CM1" s="237"/>
      <c r="CN1" s="237"/>
      <c r="CO1" s="237"/>
      <c r="CP1" s="237"/>
      <c r="CQ1" s="237"/>
      <c r="CR1" s="237"/>
      <c r="CS1" s="237"/>
      <c r="CT1" s="237"/>
      <c r="CU1" s="237"/>
      <c r="CV1" s="237" t="s">
        <v>142</v>
      </c>
      <c r="CW1" s="237"/>
      <c r="CX1" s="237"/>
      <c r="CY1" s="237"/>
      <c r="CZ1" s="237"/>
      <c r="DA1" s="237"/>
      <c r="DB1" s="237"/>
      <c r="DC1" s="237"/>
      <c r="DD1" s="237"/>
      <c r="DE1" s="237"/>
      <c r="DF1" s="237" t="s">
        <v>142</v>
      </c>
      <c r="DG1" s="237"/>
      <c r="DH1" s="237"/>
      <c r="DI1" s="237"/>
      <c r="DJ1" s="237"/>
      <c r="DK1" s="237"/>
      <c r="DL1" s="237"/>
      <c r="DM1" s="237"/>
      <c r="DN1" s="237"/>
      <c r="DO1" s="237"/>
      <c r="DP1" s="237" t="s">
        <v>142</v>
      </c>
      <c r="DQ1" s="237"/>
      <c r="DR1" s="237"/>
      <c r="DS1" s="237"/>
      <c r="DT1" s="237"/>
      <c r="DU1" s="237"/>
      <c r="DV1" s="237"/>
      <c r="DW1" s="237"/>
      <c r="DX1" s="237"/>
      <c r="DY1" s="237"/>
      <c r="DZ1" s="237" t="s">
        <v>142</v>
      </c>
      <c r="EA1" s="237"/>
      <c r="EB1" s="237"/>
      <c r="EC1" s="237"/>
      <c r="ED1" s="237"/>
      <c r="EE1" s="237"/>
      <c r="EF1" s="237"/>
      <c r="EG1" s="237"/>
      <c r="EH1" s="237"/>
      <c r="EI1" s="237"/>
    </row>
    <row r="2" spans="2:156" ht="21" x14ac:dyDescent="0.4">
      <c r="B2" s="19"/>
      <c r="C2" s="19"/>
      <c r="D2" s="19"/>
      <c r="E2" s="19"/>
      <c r="F2" s="19"/>
      <c r="G2" s="89"/>
      <c r="H2" s="19"/>
      <c r="I2" s="19"/>
      <c r="J2" s="238" t="s">
        <v>229</v>
      </c>
      <c r="K2" s="238"/>
      <c r="L2" s="238"/>
      <c r="M2" s="238"/>
      <c r="N2" s="238"/>
      <c r="O2" s="238"/>
      <c r="P2" s="238"/>
      <c r="Q2" s="238"/>
      <c r="R2" s="238"/>
      <c r="S2" s="238"/>
      <c r="T2" s="238" t="s">
        <v>229</v>
      </c>
      <c r="U2" s="238"/>
      <c r="V2" s="238"/>
      <c r="W2" s="238"/>
      <c r="X2" s="238"/>
      <c r="Y2" s="238"/>
      <c r="Z2" s="238"/>
      <c r="AA2" s="238"/>
      <c r="AB2" s="238"/>
      <c r="AC2" s="238"/>
      <c r="AD2" s="238" t="s">
        <v>229</v>
      </c>
      <c r="AE2" s="238"/>
      <c r="AF2" s="238"/>
      <c r="AG2" s="238"/>
      <c r="AH2" s="238"/>
      <c r="AI2" s="238"/>
      <c r="AJ2" s="238"/>
      <c r="AK2" s="238"/>
      <c r="AL2" s="238"/>
      <c r="AM2" s="238"/>
      <c r="AN2" s="238" t="s">
        <v>229</v>
      </c>
      <c r="AO2" s="238"/>
      <c r="AP2" s="238"/>
      <c r="AQ2" s="238"/>
      <c r="AR2" s="238"/>
      <c r="AS2" s="238"/>
      <c r="AT2" s="238"/>
      <c r="AU2" s="238"/>
      <c r="AV2" s="238"/>
      <c r="AW2" s="238"/>
      <c r="AX2" s="238" t="s">
        <v>229</v>
      </c>
      <c r="AY2" s="238"/>
      <c r="AZ2" s="238"/>
      <c r="BA2" s="238"/>
      <c r="BB2" s="238"/>
      <c r="BC2" s="238"/>
      <c r="BD2" s="238"/>
      <c r="BE2" s="238"/>
      <c r="BF2" s="238"/>
      <c r="BG2" s="238"/>
      <c r="BH2" s="238" t="s">
        <v>229</v>
      </c>
      <c r="BI2" s="238"/>
      <c r="BJ2" s="238"/>
      <c r="BK2" s="238"/>
      <c r="BL2" s="238"/>
      <c r="BM2" s="238"/>
      <c r="BN2" s="238"/>
      <c r="BO2" s="238"/>
      <c r="BP2" s="238"/>
      <c r="BQ2" s="238"/>
      <c r="BR2" s="238" t="s">
        <v>229</v>
      </c>
      <c r="BS2" s="238"/>
      <c r="BT2" s="238"/>
      <c r="BU2" s="238"/>
      <c r="BV2" s="238"/>
      <c r="BW2" s="238"/>
      <c r="BX2" s="238"/>
      <c r="BY2" s="238"/>
      <c r="BZ2" s="238"/>
      <c r="CA2" s="238"/>
      <c r="CB2" s="238" t="s">
        <v>229</v>
      </c>
      <c r="CC2" s="238"/>
      <c r="CD2" s="238"/>
      <c r="CE2" s="238"/>
      <c r="CF2" s="238"/>
      <c r="CG2" s="238"/>
      <c r="CH2" s="238"/>
      <c r="CI2" s="238"/>
      <c r="CJ2" s="238"/>
      <c r="CK2" s="238"/>
      <c r="CL2" s="238" t="s">
        <v>229</v>
      </c>
      <c r="CM2" s="238"/>
      <c r="CN2" s="238"/>
      <c r="CO2" s="238"/>
      <c r="CP2" s="238"/>
      <c r="CQ2" s="238"/>
      <c r="CR2" s="238"/>
      <c r="CS2" s="238"/>
      <c r="CT2" s="238"/>
      <c r="CU2" s="238"/>
      <c r="CV2" s="238" t="s">
        <v>229</v>
      </c>
      <c r="CW2" s="238"/>
      <c r="CX2" s="238"/>
      <c r="CY2" s="238"/>
      <c r="CZ2" s="238"/>
      <c r="DA2" s="238"/>
      <c r="DB2" s="238"/>
      <c r="DC2" s="238"/>
      <c r="DD2" s="238"/>
      <c r="DE2" s="238"/>
      <c r="DF2" s="238" t="s">
        <v>229</v>
      </c>
      <c r="DG2" s="238"/>
      <c r="DH2" s="238"/>
      <c r="DI2" s="238"/>
      <c r="DJ2" s="238"/>
      <c r="DK2" s="238"/>
      <c r="DL2" s="238"/>
      <c r="DM2" s="238"/>
      <c r="DN2" s="238"/>
      <c r="DO2" s="238"/>
      <c r="DP2" s="238" t="s">
        <v>229</v>
      </c>
      <c r="DQ2" s="238"/>
      <c r="DR2" s="238"/>
      <c r="DS2" s="238"/>
      <c r="DT2" s="238"/>
      <c r="DU2" s="238"/>
      <c r="DV2" s="238"/>
      <c r="DW2" s="238"/>
      <c r="DX2" s="238"/>
      <c r="DY2" s="238"/>
      <c r="DZ2" s="238" t="s">
        <v>229</v>
      </c>
      <c r="EA2" s="238"/>
      <c r="EB2" s="238"/>
      <c r="EC2" s="238"/>
      <c r="ED2" s="238"/>
      <c r="EE2" s="238"/>
      <c r="EF2" s="238"/>
      <c r="EG2" s="238"/>
      <c r="EH2" s="238"/>
      <c r="EI2" s="238"/>
    </row>
    <row r="3" spans="2:156" x14ac:dyDescent="0.3">
      <c r="B3" s="19"/>
      <c r="C3" s="19"/>
      <c r="D3" s="19"/>
      <c r="E3" s="19"/>
      <c r="F3" s="19"/>
      <c r="G3" s="89"/>
      <c r="H3" s="19"/>
      <c r="I3" s="19"/>
      <c r="BQ3" s="5"/>
      <c r="CA3" s="5"/>
    </row>
    <row r="4" spans="2:156" x14ac:dyDescent="0.3">
      <c r="B4" s="186"/>
      <c r="C4" s="19"/>
      <c r="D4" s="19"/>
      <c r="E4" s="19"/>
      <c r="F4" s="186"/>
      <c r="G4" s="89"/>
      <c r="H4" s="19"/>
      <c r="I4" s="19"/>
      <c r="J4" t="s">
        <v>143</v>
      </c>
      <c r="L4" t="s">
        <v>144</v>
      </c>
      <c r="R4" s="47" t="s">
        <v>145</v>
      </c>
      <c r="S4" s="48" t="s">
        <v>170</v>
      </c>
      <c r="T4" t="s">
        <v>143</v>
      </c>
      <c r="V4" t="s">
        <v>144</v>
      </c>
      <c r="AB4" s="47" t="s">
        <v>145</v>
      </c>
      <c r="AC4" s="48" t="s">
        <v>171</v>
      </c>
      <c r="AD4" t="s">
        <v>143</v>
      </c>
      <c r="AF4" t="s">
        <v>144</v>
      </c>
      <c r="AL4" s="47" t="s">
        <v>145</v>
      </c>
      <c r="AM4" s="48" t="s">
        <v>172</v>
      </c>
      <c r="AN4" t="s">
        <v>143</v>
      </c>
      <c r="AP4" t="s">
        <v>144</v>
      </c>
      <c r="AV4" s="47" t="s">
        <v>145</v>
      </c>
      <c r="AW4" s="48" t="s">
        <v>173</v>
      </c>
      <c r="AX4" t="s">
        <v>143</v>
      </c>
      <c r="AZ4" t="s">
        <v>144</v>
      </c>
      <c r="BF4" s="47" t="s">
        <v>145</v>
      </c>
      <c r="BG4" s="48" t="s">
        <v>174</v>
      </c>
      <c r="BH4" t="s">
        <v>143</v>
      </c>
      <c r="BJ4" t="s">
        <v>144</v>
      </c>
      <c r="BP4" s="47" t="s">
        <v>145</v>
      </c>
      <c r="BQ4" s="48" t="s">
        <v>175</v>
      </c>
      <c r="BR4" t="s">
        <v>143</v>
      </c>
      <c r="BT4" t="s">
        <v>144</v>
      </c>
      <c r="BZ4" s="47" t="s">
        <v>145</v>
      </c>
      <c r="CA4" s="48" t="s">
        <v>184</v>
      </c>
      <c r="CB4" t="s">
        <v>143</v>
      </c>
      <c r="CD4" t="s">
        <v>144</v>
      </c>
      <c r="CJ4" s="47" t="s">
        <v>145</v>
      </c>
      <c r="CK4" s="48" t="s">
        <v>177</v>
      </c>
      <c r="CL4" t="s">
        <v>143</v>
      </c>
      <c r="CN4" t="s">
        <v>144</v>
      </c>
      <c r="CT4" s="47" t="s">
        <v>145</v>
      </c>
      <c r="CU4" s="48" t="s">
        <v>178</v>
      </c>
      <c r="CV4" t="s">
        <v>143</v>
      </c>
      <c r="CX4" t="s">
        <v>144</v>
      </c>
      <c r="DD4" s="47" t="s">
        <v>145</v>
      </c>
      <c r="DE4" s="48" t="s">
        <v>179</v>
      </c>
      <c r="DF4" t="s">
        <v>143</v>
      </c>
      <c r="DH4" t="s">
        <v>144</v>
      </c>
      <c r="DN4" s="47" t="s">
        <v>145</v>
      </c>
      <c r="DO4" s="48" t="s">
        <v>185</v>
      </c>
      <c r="DP4" t="s">
        <v>143</v>
      </c>
      <c r="DR4" t="s">
        <v>144</v>
      </c>
      <c r="DX4" s="47" t="s">
        <v>145</v>
      </c>
      <c r="DY4" s="48" t="s">
        <v>181</v>
      </c>
      <c r="DZ4" t="s">
        <v>143</v>
      </c>
      <c r="EB4" t="s">
        <v>144</v>
      </c>
      <c r="EH4" s="47" t="s">
        <v>214</v>
      </c>
      <c r="EI4" s="48" t="s">
        <v>215</v>
      </c>
    </row>
    <row r="5" spans="2:156" x14ac:dyDescent="0.3">
      <c r="B5" s="186"/>
      <c r="C5" s="186"/>
      <c r="D5" s="186"/>
      <c r="E5" s="186"/>
      <c r="F5" s="19"/>
      <c r="G5" s="90" t="s">
        <v>200</v>
      </c>
      <c r="H5" s="151">
        <v>1167796</v>
      </c>
      <c r="I5" s="20"/>
      <c r="J5" t="s">
        <v>146</v>
      </c>
      <c r="L5" s="104" t="s">
        <v>249</v>
      </c>
      <c r="R5" s="47" t="s">
        <v>147</v>
      </c>
      <c r="S5" s="48">
        <v>2020</v>
      </c>
      <c r="T5" t="s">
        <v>146</v>
      </c>
      <c r="V5" s="104" t="s">
        <v>249</v>
      </c>
      <c r="AB5" s="47" t="s">
        <v>147</v>
      </c>
      <c r="AC5" s="48">
        <v>2020</v>
      </c>
      <c r="AD5" t="s">
        <v>146</v>
      </c>
      <c r="AF5" s="104" t="s">
        <v>249</v>
      </c>
      <c r="AL5" s="47" t="s">
        <v>147</v>
      </c>
      <c r="AM5" s="48">
        <v>2020</v>
      </c>
      <c r="AN5" t="s">
        <v>146</v>
      </c>
      <c r="AP5" s="104" t="s">
        <v>249</v>
      </c>
      <c r="AV5" s="47" t="s">
        <v>147</v>
      </c>
      <c r="AW5" s="48">
        <v>2020</v>
      </c>
      <c r="AX5" t="s">
        <v>146</v>
      </c>
      <c r="AZ5" s="104" t="s">
        <v>249</v>
      </c>
      <c r="BF5" s="47" t="s">
        <v>147</v>
      </c>
      <c r="BG5" s="48">
        <v>2020</v>
      </c>
      <c r="BH5" t="s">
        <v>146</v>
      </c>
      <c r="BJ5" s="104" t="s">
        <v>249</v>
      </c>
      <c r="BP5" s="47" t="s">
        <v>147</v>
      </c>
      <c r="BQ5" s="48">
        <v>2020</v>
      </c>
      <c r="BR5" t="s">
        <v>146</v>
      </c>
      <c r="BT5" s="104" t="s">
        <v>249</v>
      </c>
      <c r="BZ5" s="47" t="s">
        <v>147</v>
      </c>
      <c r="CA5" s="48">
        <v>2020</v>
      </c>
      <c r="CB5" t="s">
        <v>146</v>
      </c>
      <c r="CD5" s="104" t="s">
        <v>249</v>
      </c>
      <c r="CJ5" s="47" t="s">
        <v>147</v>
      </c>
      <c r="CK5" s="48">
        <v>2020</v>
      </c>
      <c r="CL5" t="s">
        <v>146</v>
      </c>
      <c r="CN5" s="104" t="s">
        <v>249</v>
      </c>
      <c r="CT5" s="47" t="s">
        <v>147</v>
      </c>
      <c r="CU5" s="48">
        <v>2020</v>
      </c>
      <c r="CV5" t="s">
        <v>146</v>
      </c>
      <c r="CX5" s="104" t="s">
        <v>249</v>
      </c>
      <c r="DD5" s="47" t="s">
        <v>147</v>
      </c>
      <c r="DE5" s="48">
        <v>2020</v>
      </c>
      <c r="DF5" t="s">
        <v>146</v>
      </c>
      <c r="DH5" s="104" t="s">
        <v>249</v>
      </c>
      <c r="DN5" s="47" t="s">
        <v>147</v>
      </c>
      <c r="DO5" s="48">
        <v>2020</v>
      </c>
      <c r="DP5" t="s">
        <v>146</v>
      </c>
      <c r="DR5" s="104" t="s">
        <v>249</v>
      </c>
      <c r="DX5" s="47" t="s">
        <v>147</v>
      </c>
      <c r="DY5" s="48">
        <v>2020</v>
      </c>
      <c r="DZ5" t="s">
        <v>146</v>
      </c>
      <c r="EB5" s="104" t="s">
        <v>249</v>
      </c>
      <c r="EH5" s="47" t="s">
        <v>147</v>
      </c>
      <c r="EI5" s="48">
        <v>2020</v>
      </c>
    </row>
    <row r="6" spans="2:156" ht="15.75" customHeight="1" x14ac:dyDescent="0.3">
      <c r="B6" s="264" t="s">
        <v>201</v>
      </c>
      <c r="C6" s="265"/>
      <c r="D6" s="265"/>
      <c r="E6" s="265"/>
      <c r="F6" s="266"/>
      <c r="G6" s="270" t="s">
        <v>246</v>
      </c>
      <c r="H6" s="271"/>
      <c r="I6" s="272"/>
      <c r="S6" s="49"/>
      <c r="AC6" s="49"/>
      <c r="AM6" s="49"/>
      <c r="AW6" s="49"/>
      <c r="BG6" s="49"/>
      <c r="BQ6" s="49"/>
      <c r="CA6" s="49"/>
      <c r="CK6" s="49"/>
      <c r="CU6" s="49"/>
      <c r="DE6" s="49"/>
      <c r="DO6" s="49"/>
      <c r="DY6" s="49"/>
      <c r="EI6" s="49"/>
    </row>
    <row r="7" spans="2:156" ht="30" customHeight="1" x14ac:dyDescent="0.3">
      <c r="B7" s="267" t="s">
        <v>202</v>
      </c>
      <c r="C7" s="268"/>
      <c r="D7" s="268"/>
      <c r="E7" s="268"/>
      <c r="F7" s="269"/>
      <c r="G7" s="273"/>
      <c r="H7" s="274"/>
      <c r="I7" s="275"/>
      <c r="J7" s="239" t="s">
        <v>148</v>
      </c>
      <c r="K7" s="239" t="s">
        <v>149</v>
      </c>
      <c r="L7" s="187" t="s">
        <v>247</v>
      </c>
      <c r="M7" s="44" t="s">
        <v>248</v>
      </c>
      <c r="N7" s="44" t="s">
        <v>1</v>
      </c>
      <c r="O7" s="239" t="s">
        <v>150</v>
      </c>
      <c r="P7" s="239"/>
      <c r="Q7" s="44" t="s">
        <v>192</v>
      </c>
      <c r="R7" s="44" t="s">
        <v>151</v>
      </c>
      <c r="S7" s="44" t="s">
        <v>134</v>
      </c>
      <c r="T7" s="239" t="s">
        <v>148</v>
      </c>
      <c r="U7" s="239" t="s">
        <v>149</v>
      </c>
      <c r="V7" s="44" t="s">
        <v>247</v>
      </c>
      <c r="W7" s="44" t="s">
        <v>248</v>
      </c>
      <c r="X7" s="44" t="s">
        <v>1</v>
      </c>
      <c r="Y7" s="239" t="s">
        <v>150</v>
      </c>
      <c r="Z7" s="239"/>
      <c r="AA7" s="44" t="s">
        <v>192</v>
      </c>
      <c r="AB7" s="44" t="s">
        <v>151</v>
      </c>
      <c r="AC7" s="44" t="s">
        <v>134</v>
      </c>
      <c r="AD7" s="239" t="s">
        <v>148</v>
      </c>
      <c r="AE7" s="239" t="s">
        <v>149</v>
      </c>
      <c r="AF7" s="44" t="s">
        <v>247</v>
      </c>
      <c r="AG7" s="44" t="s">
        <v>248</v>
      </c>
      <c r="AH7" s="44" t="s">
        <v>1</v>
      </c>
      <c r="AI7" s="239" t="s">
        <v>150</v>
      </c>
      <c r="AJ7" s="239"/>
      <c r="AK7" s="44" t="s">
        <v>192</v>
      </c>
      <c r="AL7" s="44" t="s">
        <v>151</v>
      </c>
      <c r="AM7" s="44" t="s">
        <v>134</v>
      </c>
      <c r="AN7" s="239" t="s">
        <v>148</v>
      </c>
      <c r="AO7" s="239" t="s">
        <v>149</v>
      </c>
      <c r="AP7" s="187" t="s">
        <v>247</v>
      </c>
      <c r="AQ7" s="44" t="s">
        <v>248</v>
      </c>
      <c r="AR7" s="44" t="s">
        <v>1</v>
      </c>
      <c r="AS7" s="239" t="s">
        <v>150</v>
      </c>
      <c r="AT7" s="239"/>
      <c r="AU7" s="44" t="s">
        <v>192</v>
      </c>
      <c r="AV7" s="44" t="s">
        <v>151</v>
      </c>
      <c r="AW7" s="44" t="s">
        <v>134</v>
      </c>
      <c r="AX7" s="239" t="s">
        <v>148</v>
      </c>
      <c r="AY7" s="239" t="s">
        <v>149</v>
      </c>
      <c r="AZ7" s="44" t="s">
        <v>247</v>
      </c>
      <c r="BA7" s="44" t="s">
        <v>248</v>
      </c>
      <c r="BB7" s="44" t="s">
        <v>1</v>
      </c>
      <c r="BC7" s="239" t="s">
        <v>150</v>
      </c>
      <c r="BD7" s="239"/>
      <c r="BE7" s="44" t="s">
        <v>192</v>
      </c>
      <c r="BF7" s="44" t="s">
        <v>151</v>
      </c>
      <c r="BG7" s="44" t="s">
        <v>134</v>
      </c>
      <c r="BH7" s="239" t="s">
        <v>148</v>
      </c>
      <c r="BI7" s="239" t="s">
        <v>149</v>
      </c>
      <c r="BJ7" s="44" t="s">
        <v>247</v>
      </c>
      <c r="BK7" s="44" t="s">
        <v>248</v>
      </c>
      <c r="BL7" s="44" t="s">
        <v>1</v>
      </c>
      <c r="BM7" s="239" t="s">
        <v>150</v>
      </c>
      <c r="BN7" s="239"/>
      <c r="BO7" s="44" t="s">
        <v>192</v>
      </c>
      <c r="BP7" s="44" t="s">
        <v>151</v>
      </c>
      <c r="BQ7" s="44" t="s">
        <v>134</v>
      </c>
      <c r="BR7" s="239" t="s">
        <v>148</v>
      </c>
      <c r="BS7" s="239" t="s">
        <v>149</v>
      </c>
      <c r="BT7" s="44" t="s">
        <v>247</v>
      </c>
      <c r="BU7" s="44" t="s">
        <v>248</v>
      </c>
      <c r="BV7" s="44" t="s">
        <v>1</v>
      </c>
      <c r="BW7" s="239" t="s">
        <v>150</v>
      </c>
      <c r="BX7" s="239"/>
      <c r="BY7" s="44" t="s">
        <v>192</v>
      </c>
      <c r="BZ7" s="44" t="s">
        <v>151</v>
      </c>
      <c r="CA7" s="44" t="s">
        <v>134</v>
      </c>
      <c r="CB7" s="239" t="s">
        <v>148</v>
      </c>
      <c r="CC7" s="239" t="s">
        <v>149</v>
      </c>
      <c r="CD7" s="44" t="s">
        <v>247</v>
      </c>
      <c r="CE7" s="44" t="s">
        <v>248</v>
      </c>
      <c r="CF7" s="44" t="s">
        <v>1</v>
      </c>
      <c r="CG7" s="239" t="s">
        <v>150</v>
      </c>
      <c r="CH7" s="239"/>
      <c r="CI7" s="44" t="s">
        <v>192</v>
      </c>
      <c r="CJ7" s="44" t="s">
        <v>151</v>
      </c>
      <c r="CK7" s="44" t="s">
        <v>134</v>
      </c>
      <c r="CL7" s="239" t="s">
        <v>148</v>
      </c>
      <c r="CM7" s="239" t="s">
        <v>149</v>
      </c>
      <c r="CN7" s="44" t="s">
        <v>247</v>
      </c>
      <c r="CO7" s="44" t="s">
        <v>248</v>
      </c>
      <c r="CP7" s="44" t="s">
        <v>1</v>
      </c>
      <c r="CQ7" s="239" t="s">
        <v>150</v>
      </c>
      <c r="CR7" s="239"/>
      <c r="CS7" s="44" t="s">
        <v>192</v>
      </c>
      <c r="CT7" s="44" t="s">
        <v>151</v>
      </c>
      <c r="CU7" s="44" t="s">
        <v>134</v>
      </c>
      <c r="CV7" s="239" t="s">
        <v>148</v>
      </c>
      <c r="CW7" s="239" t="s">
        <v>149</v>
      </c>
      <c r="CX7" s="44" t="s">
        <v>247</v>
      </c>
      <c r="CY7" s="44" t="s">
        <v>248</v>
      </c>
      <c r="CZ7" s="44" t="s">
        <v>1</v>
      </c>
      <c r="DA7" s="239" t="s">
        <v>150</v>
      </c>
      <c r="DB7" s="239"/>
      <c r="DC7" s="44" t="s">
        <v>192</v>
      </c>
      <c r="DD7" s="44" t="s">
        <v>151</v>
      </c>
      <c r="DE7" s="44" t="s">
        <v>134</v>
      </c>
      <c r="DF7" s="239" t="s">
        <v>148</v>
      </c>
      <c r="DG7" s="239" t="s">
        <v>149</v>
      </c>
      <c r="DH7" s="44" t="s">
        <v>247</v>
      </c>
      <c r="DI7" s="44" t="s">
        <v>248</v>
      </c>
      <c r="DJ7" s="44" t="s">
        <v>1</v>
      </c>
      <c r="DK7" s="239" t="s">
        <v>150</v>
      </c>
      <c r="DL7" s="239"/>
      <c r="DM7" s="44" t="s">
        <v>192</v>
      </c>
      <c r="DN7" s="44" t="s">
        <v>151</v>
      </c>
      <c r="DO7" s="44" t="s">
        <v>134</v>
      </c>
      <c r="DP7" s="239" t="s">
        <v>148</v>
      </c>
      <c r="DQ7" s="239" t="s">
        <v>149</v>
      </c>
      <c r="DR7" s="44" t="s">
        <v>247</v>
      </c>
      <c r="DS7" s="44" t="s">
        <v>248</v>
      </c>
      <c r="DT7" s="44" t="s">
        <v>1</v>
      </c>
      <c r="DU7" s="239" t="s">
        <v>150</v>
      </c>
      <c r="DV7" s="239"/>
      <c r="DW7" s="44" t="s">
        <v>192</v>
      </c>
      <c r="DX7" s="44" t="s">
        <v>151</v>
      </c>
      <c r="DY7" s="44" t="s">
        <v>134</v>
      </c>
      <c r="DZ7" s="239" t="s">
        <v>148</v>
      </c>
      <c r="EA7" s="239" t="s">
        <v>149</v>
      </c>
      <c r="EB7" s="44" t="s">
        <v>247</v>
      </c>
      <c r="EC7" s="44" t="s">
        <v>248</v>
      </c>
      <c r="ED7" s="44" t="s">
        <v>1</v>
      </c>
      <c r="EE7" s="239" t="s">
        <v>150</v>
      </c>
      <c r="EF7" s="239"/>
      <c r="EG7" s="44" t="s">
        <v>192</v>
      </c>
      <c r="EH7" s="44" t="s">
        <v>151</v>
      </c>
      <c r="EI7" s="44" t="s">
        <v>134</v>
      </c>
      <c r="EJ7" s="44" t="s">
        <v>251</v>
      </c>
    </row>
    <row r="8" spans="2:156" ht="20.100000000000001" customHeight="1" x14ac:dyDescent="0.3">
      <c r="B8" s="250" t="s">
        <v>112</v>
      </c>
      <c r="C8" s="250" t="s">
        <v>113</v>
      </c>
      <c r="D8" s="252" t="s">
        <v>203</v>
      </c>
      <c r="E8" s="253"/>
      <c r="F8" s="250" t="s">
        <v>116</v>
      </c>
      <c r="G8" s="254" t="s">
        <v>117</v>
      </c>
      <c r="H8" s="250" t="s">
        <v>183</v>
      </c>
      <c r="I8" s="250" t="s">
        <v>204</v>
      </c>
      <c r="J8" s="239"/>
      <c r="K8" s="239"/>
      <c r="L8" s="70" t="s">
        <v>7</v>
      </c>
      <c r="M8" s="70" t="s">
        <v>7</v>
      </c>
      <c r="N8" s="70" t="s">
        <v>6</v>
      </c>
      <c r="O8" s="72" t="s">
        <v>9</v>
      </c>
      <c r="P8" s="72" t="s">
        <v>8</v>
      </c>
      <c r="Q8" s="70" t="s">
        <v>7</v>
      </c>
      <c r="R8" s="70" t="s">
        <v>6</v>
      </c>
      <c r="S8" s="71" t="s">
        <v>213</v>
      </c>
      <c r="T8" s="239"/>
      <c r="U8" s="239"/>
      <c r="V8" s="70" t="s">
        <v>7</v>
      </c>
      <c r="W8" s="70" t="s">
        <v>7</v>
      </c>
      <c r="X8" s="70" t="s">
        <v>6</v>
      </c>
      <c r="Y8" s="72" t="s">
        <v>9</v>
      </c>
      <c r="Z8" s="72" t="s">
        <v>8</v>
      </c>
      <c r="AA8" s="70" t="s">
        <v>7</v>
      </c>
      <c r="AB8" s="70" t="s">
        <v>6</v>
      </c>
      <c r="AC8" s="71" t="s">
        <v>213</v>
      </c>
      <c r="AD8" s="239"/>
      <c r="AE8" s="239"/>
      <c r="AF8" s="70" t="s">
        <v>7</v>
      </c>
      <c r="AG8" s="70" t="s">
        <v>7</v>
      </c>
      <c r="AH8" s="70" t="s">
        <v>6</v>
      </c>
      <c r="AI8" s="72" t="s">
        <v>9</v>
      </c>
      <c r="AJ8" s="72" t="s">
        <v>8</v>
      </c>
      <c r="AK8" s="70" t="s">
        <v>7</v>
      </c>
      <c r="AL8" s="70" t="s">
        <v>6</v>
      </c>
      <c r="AM8" s="71" t="s">
        <v>213</v>
      </c>
      <c r="AN8" s="239"/>
      <c r="AO8" s="239"/>
      <c r="AP8" s="70" t="s">
        <v>7</v>
      </c>
      <c r="AQ8" s="70" t="s">
        <v>7</v>
      </c>
      <c r="AR8" s="70" t="s">
        <v>6</v>
      </c>
      <c r="AS8" s="72" t="s">
        <v>9</v>
      </c>
      <c r="AT8" s="72" t="s">
        <v>8</v>
      </c>
      <c r="AU8" s="70" t="s">
        <v>7</v>
      </c>
      <c r="AV8" s="70" t="s">
        <v>6</v>
      </c>
      <c r="AW8" s="71" t="s">
        <v>213</v>
      </c>
      <c r="AX8" s="239"/>
      <c r="AY8" s="239"/>
      <c r="AZ8" s="70" t="s">
        <v>7</v>
      </c>
      <c r="BA8" s="70" t="s">
        <v>7</v>
      </c>
      <c r="BB8" s="70" t="s">
        <v>6</v>
      </c>
      <c r="BC8" s="72" t="s">
        <v>9</v>
      </c>
      <c r="BD8" s="72" t="s">
        <v>8</v>
      </c>
      <c r="BE8" s="70" t="s">
        <v>7</v>
      </c>
      <c r="BF8" s="70" t="s">
        <v>6</v>
      </c>
      <c r="BG8" s="71" t="s">
        <v>213</v>
      </c>
      <c r="BH8" s="239"/>
      <c r="BI8" s="239"/>
      <c r="BJ8" s="70" t="s">
        <v>7</v>
      </c>
      <c r="BK8" s="70" t="s">
        <v>7</v>
      </c>
      <c r="BL8" s="70" t="s">
        <v>6</v>
      </c>
      <c r="BM8" s="72" t="s">
        <v>9</v>
      </c>
      <c r="BN8" s="72" t="s">
        <v>8</v>
      </c>
      <c r="BO8" s="70" t="s">
        <v>7</v>
      </c>
      <c r="BP8" s="70" t="s">
        <v>6</v>
      </c>
      <c r="BQ8" s="71" t="s">
        <v>213</v>
      </c>
      <c r="BR8" s="239"/>
      <c r="BS8" s="239"/>
      <c r="BT8" s="70" t="s">
        <v>7</v>
      </c>
      <c r="BU8" s="70" t="s">
        <v>7</v>
      </c>
      <c r="BV8" s="70" t="s">
        <v>6</v>
      </c>
      <c r="BW8" s="72" t="s">
        <v>9</v>
      </c>
      <c r="BX8" s="72" t="s">
        <v>8</v>
      </c>
      <c r="BY8" s="70" t="s">
        <v>7</v>
      </c>
      <c r="BZ8" s="70" t="s">
        <v>6</v>
      </c>
      <c r="CA8" s="71" t="s">
        <v>213</v>
      </c>
      <c r="CB8" s="239"/>
      <c r="CC8" s="239"/>
      <c r="CD8" s="70" t="s">
        <v>7</v>
      </c>
      <c r="CE8" s="70" t="s">
        <v>7</v>
      </c>
      <c r="CF8" s="70" t="s">
        <v>6</v>
      </c>
      <c r="CG8" s="72" t="s">
        <v>9</v>
      </c>
      <c r="CH8" s="72" t="s">
        <v>8</v>
      </c>
      <c r="CI8" s="70" t="s">
        <v>7</v>
      </c>
      <c r="CJ8" s="70" t="s">
        <v>6</v>
      </c>
      <c r="CK8" s="71" t="s">
        <v>213</v>
      </c>
      <c r="CL8" s="239"/>
      <c r="CM8" s="239"/>
      <c r="CN8" s="70" t="s">
        <v>7</v>
      </c>
      <c r="CO8" s="70" t="s">
        <v>7</v>
      </c>
      <c r="CP8" s="70" t="s">
        <v>6</v>
      </c>
      <c r="CQ8" s="72" t="s">
        <v>9</v>
      </c>
      <c r="CR8" s="72" t="s">
        <v>8</v>
      </c>
      <c r="CS8" s="70" t="s">
        <v>7</v>
      </c>
      <c r="CT8" s="70" t="s">
        <v>6</v>
      </c>
      <c r="CU8" s="71" t="s">
        <v>213</v>
      </c>
      <c r="CV8" s="239"/>
      <c r="CW8" s="239"/>
      <c r="CX8" s="70" t="s">
        <v>7</v>
      </c>
      <c r="CY8" s="70" t="s">
        <v>7</v>
      </c>
      <c r="CZ8" s="70" t="s">
        <v>6</v>
      </c>
      <c r="DA8" s="72" t="s">
        <v>9</v>
      </c>
      <c r="DB8" s="72" t="s">
        <v>8</v>
      </c>
      <c r="DC8" s="70" t="s">
        <v>7</v>
      </c>
      <c r="DD8" s="70" t="s">
        <v>6</v>
      </c>
      <c r="DE8" s="71" t="s">
        <v>213</v>
      </c>
      <c r="DF8" s="239"/>
      <c r="DG8" s="239"/>
      <c r="DH8" s="70" t="s">
        <v>7</v>
      </c>
      <c r="DI8" s="70" t="s">
        <v>7</v>
      </c>
      <c r="DJ8" s="70" t="s">
        <v>6</v>
      </c>
      <c r="DK8" s="72" t="s">
        <v>9</v>
      </c>
      <c r="DL8" s="72" t="s">
        <v>8</v>
      </c>
      <c r="DM8" s="70" t="s">
        <v>7</v>
      </c>
      <c r="DN8" s="70" t="s">
        <v>6</v>
      </c>
      <c r="DO8" s="71" t="s">
        <v>213</v>
      </c>
      <c r="DP8" s="239"/>
      <c r="DQ8" s="239"/>
      <c r="DR8" s="70" t="s">
        <v>7</v>
      </c>
      <c r="DS8" s="70" t="s">
        <v>7</v>
      </c>
      <c r="DT8" s="70" t="s">
        <v>6</v>
      </c>
      <c r="DU8" s="72" t="s">
        <v>9</v>
      </c>
      <c r="DV8" s="72" t="s">
        <v>8</v>
      </c>
      <c r="DW8" s="70" t="s">
        <v>7</v>
      </c>
      <c r="DX8" s="70" t="s">
        <v>6</v>
      </c>
      <c r="DY8" s="71" t="s">
        <v>213</v>
      </c>
      <c r="DZ8" s="239"/>
      <c r="EA8" s="239"/>
      <c r="EB8" s="70" t="s">
        <v>7</v>
      </c>
      <c r="EC8" s="70" t="s">
        <v>7</v>
      </c>
      <c r="ED8" s="70" t="s">
        <v>6</v>
      </c>
      <c r="EE8" s="72" t="s">
        <v>9</v>
      </c>
      <c r="EF8" s="72" t="s">
        <v>8</v>
      </c>
      <c r="EG8" s="70" t="s">
        <v>7</v>
      </c>
      <c r="EH8" s="70" t="s">
        <v>6</v>
      </c>
      <c r="EI8" s="71" t="s">
        <v>213</v>
      </c>
      <c r="EJ8" s="1"/>
      <c r="ER8" s="159"/>
      <c r="ES8" s="159"/>
    </row>
    <row r="9" spans="2:156" ht="11.25" customHeight="1" x14ac:dyDescent="0.3">
      <c r="B9" s="251"/>
      <c r="C9" s="251"/>
      <c r="D9" s="103" t="s">
        <v>114</v>
      </c>
      <c r="E9" s="103" t="s">
        <v>115</v>
      </c>
      <c r="F9" s="251"/>
      <c r="G9" s="255"/>
      <c r="H9" s="251"/>
      <c r="I9" s="251"/>
      <c r="J9" s="68">
        <v>1</v>
      </c>
      <c r="K9" s="68">
        <v>2</v>
      </c>
      <c r="L9" s="68">
        <v>3</v>
      </c>
      <c r="M9" s="68">
        <v>4</v>
      </c>
      <c r="N9" s="68">
        <v>5</v>
      </c>
      <c r="O9" s="68">
        <v>7</v>
      </c>
      <c r="P9" s="68">
        <v>8</v>
      </c>
      <c r="Q9" s="68"/>
      <c r="R9" s="68">
        <v>9</v>
      </c>
      <c r="S9" s="68">
        <v>10</v>
      </c>
      <c r="T9" s="68">
        <v>1</v>
      </c>
      <c r="U9" s="68">
        <v>2</v>
      </c>
      <c r="V9" s="68">
        <v>3</v>
      </c>
      <c r="W9" s="68">
        <v>4</v>
      </c>
      <c r="X9" s="68">
        <v>5</v>
      </c>
      <c r="Y9" s="68">
        <v>7</v>
      </c>
      <c r="Z9" s="68">
        <v>8</v>
      </c>
      <c r="AA9" s="68"/>
      <c r="AB9" s="68">
        <v>9</v>
      </c>
      <c r="AC9" s="68">
        <v>10</v>
      </c>
      <c r="AD9" s="68">
        <v>1</v>
      </c>
      <c r="AE9" s="68">
        <v>2</v>
      </c>
      <c r="AF9" s="68">
        <v>3</v>
      </c>
      <c r="AG9" s="68">
        <v>4</v>
      </c>
      <c r="AH9" s="68">
        <v>5</v>
      </c>
      <c r="AI9" s="68">
        <v>7</v>
      </c>
      <c r="AJ9" s="68">
        <v>8</v>
      </c>
      <c r="AK9" s="68"/>
      <c r="AL9" s="68">
        <v>9</v>
      </c>
      <c r="AM9" s="68">
        <v>10</v>
      </c>
      <c r="AN9" s="68">
        <v>1</v>
      </c>
      <c r="AO9" s="68">
        <v>2</v>
      </c>
      <c r="AP9" s="68">
        <v>3</v>
      </c>
      <c r="AQ9" s="68">
        <v>4</v>
      </c>
      <c r="AR9" s="68">
        <v>5</v>
      </c>
      <c r="AS9" s="68">
        <v>7</v>
      </c>
      <c r="AT9" s="68">
        <v>8</v>
      </c>
      <c r="AU9" s="68"/>
      <c r="AV9" s="68">
        <v>9</v>
      </c>
      <c r="AW9" s="68">
        <v>10</v>
      </c>
      <c r="AX9" s="68">
        <v>1</v>
      </c>
      <c r="AY9" s="68">
        <v>2</v>
      </c>
      <c r="AZ9" s="68">
        <v>3</v>
      </c>
      <c r="BA9" s="68">
        <v>4</v>
      </c>
      <c r="BB9" s="68">
        <v>5</v>
      </c>
      <c r="BC9" s="68">
        <v>7</v>
      </c>
      <c r="BD9" s="68">
        <v>8</v>
      </c>
      <c r="BE9" s="68"/>
      <c r="BF9" s="68">
        <v>9</v>
      </c>
      <c r="BG9" s="68">
        <v>10</v>
      </c>
      <c r="BH9" s="68">
        <v>1</v>
      </c>
      <c r="BI9" s="68">
        <v>2</v>
      </c>
      <c r="BJ9" s="68">
        <v>3</v>
      </c>
      <c r="BK9" s="68">
        <v>4</v>
      </c>
      <c r="BL9" s="68">
        <v>5</v>
      </c>
      <c r="BM9" s="68">
        <v>7</v>
      </c>
      <c r="BN9" s="68">
        <v>8</v>
      </c>
      <c r="BO9" s="68"/>
      <c r="BP9" s="68">
        <v>9</v>
      </c>
      <c r="BQ9" s="68">
        <v>10</v>
      </c>
      <c r="BR9" s="68">
        <v>1</v>
      </c>
      <c r="BS9" s="68">
        <v>2</v>
      </c>
      <c r="BT9" s="68">
        <v>3</v>
      </c>
      <c r="BU9" s="68">
        <v>4</v>
      </c>
      <c r="BV9" s="68">
        <v>5</v>
      </c>
      <c r="BW9" s="68">
        <v>7</v>
      </c>
      <c r="BX9" s="68">
        <v>8</v>
      </c>
      <c r="BY9" s="68"/>
      <c r="BZ9" s="68">
        <v>9</v>
      </c>
      <c r="CA9" s="68">
        <v>10</v>
      </c>
      <c r="CB9" s="68">
        <v>1</v>
      </c>
      <c r="CC9" s="68">
        <v>2</v>
      </c>
      <c r="CD9" s="68">
        <v>3</v>
      </c>
      <c r="CE9" s="68">
        <v>4</v>
      </c>
      <c r="CF9" s="68">
        <v>5</v>
      </c>
      <c r="CG9" s="68">
        <v>7</v>
      </c>
      <c r="CH9" s="68">
        <v>8</v>
      </c>
      <c r="CI9" s="68"/>
      <c r="CJ9" s="68">
        <v>9</v>
      </c>
      <c r="CK9" s="68">
        <v>10</v>
      </c>
      <c r="CL9" s="68">
        <v>1</v>
      </c>
      <c r="CM9" s="68">
        <v>2</v>
      </c>
      <c r="CN9" s="68">
        <v>3</v>
      </c>
      <c r="CO9" s="68">
        <v>4</v>
      </c>
      <c r="CP9" s="68">
        <v>5</v>
      </c>
      <c r="CQ9" s="68">
        <v>7</v>
      </c>
      <c r="CR9" s="68">
        <v>8</v>
      </c>
      <c r="CS9" s="68"/>
      <c r="CT9" s="68">
        <v>9</v>
      </c>
      <c r="CU9" s="68">
        <v>10</v>
      </c>
      <c r="CV9" s="68">
        <v>1</v>
      </c>
      <c r="CW9" s="68">
        <v>2</v>
      </c>
      <c r="CX9" s="68">
        <v>3</v>
      </c>
      <c r="CY9" s="68">
        <v>4</v>
      </c>
      <c r="CZ9" s="68">
        <v>5</v>
      </c>
      <c r="DA9" s="68">
        <v>7</v>
      </c>
      <c r="DB9" s="68">
        <v>8</v>
      </c>
      <c r="DC9" s="68"/>
      <c r="DD9" s="68">
        <v>9</v>
      </c>
      <c r="DE9" s="68">
        <v>10</v>
      </c>
      <c r="DF9" s="68">
        <v>1</v>
      </c>
      <c r="DG9" s="68">
        <v>2</v>
      </c>
      <c r="DH9" s="68">
        <v>3</v>
      </c>
      <c r="DI9" s="68">
        <v>4</v>
      </c>
      <c r="DJ9" s="68">
        <v>5</v>
      </c>
      <c r="DK9" s="68">
        <v>7</v>
      </c>
      <c r="DL9" s="68">
        <v>8</v>
      </c>
      <c r="DM9" s="68"/>
      <c r="DN9" s="68">
        <v>9</v>
      </c>
      <c r="DO9" s="68">
        <v>10</v>
      </c>
      <c r="DP9" s="68">
        <v>1</v>
      </c>
      <c r="DQ9" s="68">
        <v>2</v>
      </c>
      <c r="DR9" s="68">
        <v>3</v>
      </c>
      <c r="DS9" s="68">
        <v>4</v>
      </c>
      <c r="DT9" s="68">
        <v>5</v>
      </c>
      <c r="DU9" s="68">
        <v>7</v>
      </c>
      <c r="DV9" s="68">
        <v>8</v>
      </c>
      <c r="DW9" s="68"/>
      <c r="DX9" s="68">
        <v>9</v>
      </c>
      <c r="DY9" s="68">
        <v>10</v>
      </c>
      <c r="DZ9" s="68">
        <v>1</v>
      </c>
      <c r="EA9" s="68">
        <v>2</v>
      </c>
      <c r="EB9" s="68">
        <v>3</v>
      </c>
      <c r="EC9" s="68">
        <v>4</v>
      </c>
      <c r="ED9" s="68">
        <v>5</v>
      </c>
      <c r="EE9" s="68">
        <v>7</v>
      </c>
      <c r="EF9" s="68">
        <v>8</v>
      </c>
      <c r="EG9" s="68"/>
      <c r="EH9" s="68">
        <v>9</v>
      </c>
      <c r="EI9" s="68">
        <v>10</v>
      </c>
      <c r="EJ9" s="1"/>
      <c r="ER9" s="159"/>
      <c r="ES9" s="159"/>
    </row>
    <row r="10" spans="2:156" ht="20.100000000000001" customHeight="1" x14ac:dyDescent="0.3">
      <c r="B10" s="13"/>
      <c r="C10" s="14">
        <v>4.4000000000000003E-3</v>
      </c>
      <c r="D10" s="15"/>
      <c r="E10" s="15"/>
      <c r="F10" s="16">
        <v>4.9200000000000001E-2</v>
      </c>
      <c r="G10" s="105"/>
      <c r="H10" s="158"/>
      <c r="I10" s="96"/>
      <c r="J10" s="52">
        <v>1</v>
      </c>
      <c r="K10" s="54" t="s">
        <v>231</v>
      </c>
      <c r="L10" s="50">
        <f>Produksi!D11</f>
        <v>13636</v>
      </c>
      <c r="M10" s="50">
        <f>Produksi!E11</f>
        <v>533</v>
      </c>
      <c r="N10" s="50">
        <f>Produksi!G11</f>
        <v>3114</v>
      </c>
      <c r="O10" s="76"/>
      <c r="P10" s="76"/>
      <c r="Q10" s="50">
        <v>0</v>
      </c>
      <c r="R10" s="74">
        <f>N10-(0)+P10-O10-(N10*(B10+C10+D10+E10+F10))</f>
        <v>2947.0895999999998</v>
      </c>
      <c r="S10" s="53">
        <f>H10</f>
        <v>0</v>
      </c>
      <c r="T10" s="52">
        <v>1</v>
      </c>
      <c r="U10" s="54" t="s">
        <v>231</v>
      </c>
      <c r="V10" s="50">
        <f>Produksi!N11</f>
        <v>7839</v>
      </c>
      <c r="W10" s="50">
        <f>Produksi!O11</f>
        <v>964</v>
      </c>
      <c r="X10" s="50">
        <f>Produksi!Q11</f>
        <v>5632</v>
      </c>
      <c r="Y10" s="76"/>
      <c r="Z10" s="76"/>
      <c r="AA10" s="50">
        <v>0</v>
      </c>
      <c r="AB10" s="74">
        <f>X10-(0)+Z10-Y10-(B11+C11+D11+E11+F11)</f>
        <v>5631.9982</v>
      </c>
      <c r="AC10" s="53">
        <f>'Data Ketersediaan Pangan'!H10</f>
        <v>0</v>
      </c>
      <c r="AD10" s="52">
        <v>1</v>
      </c>
      <c r="AE10" s="54" t="s">
        <v>231</v>
      </c>
      <c r="AF10" s="50">
        <f>Produksi!X11</f>
        <v>3137</v>
      </c>
      <c r="AG10" s="50">
        <f>Produksi!Y11</f>
        <v>3736</v>
      </c>
      <c r="AH10" s="50">
        <f>Produksi!AA11</f>
        <v>25505</v>
      </c>
      <c r="AI10" s="76"/>
      <c r="AJ10" s="76"/>
      <c r="AK10" s="50">
        <v>0</v>
      </c>
      <c r="AL10" s="74">
        <f>AH10-(0)+AJ10-AI10-(B11+C11+D11+E11+F11)</f>
        <v>25504.998200000002</v>
      </c>
      <c r="AM10" s="53">
        <f>H10</f>
        <v>0</v>
      </c>
      <c r="AN10" s="52">
        <v>1</v>
      </c>
      <c r="AO10" s="54" t="s">
        <v>231</v>
      </c>
      <c r="AP10" s="50">
        <f>Produksi!AH11</f>
        <v>1741</v>
      </c>
      <c r="AQ10" s="50">
        <f>Produksi!AI11</f>
        <v>14629</v>
      </c>
      <c r="AR10" s="50">
        <f>Produksi!AK11</f>
        <v>86970</v>
      </c>
      <c r="AS10" s="76"/>
      <c r="AT10" s="76"/>
      <c r="AU10" s="50">
        <f>Produksi!AJ11</f>
        <v>0</v>
      </c>
      <c r="AV10" s="74">
        <f>AR10-(0)+(AT10-AS10)-(B11+C11+D11+E11+F11)</f>
        <v>86969.998200000002</v>
      </c>
      <c r="AW10" s="53">
        <f>'Data Ketersediaan Pangan'!H10</f>
        <v>0</v>
      </c>
      <c r="AX10" s="52">
        <v>1</v>
      </c>
      <c r="AY10" s="54" t="s">
        <v>231</v>
      </c>
      <c r="AZ10" s="50">
        <f>Produksi!AR11</f>
        <v>3522</v>
      </c>
      <c r="BA10" s="50">
        <f>Produksi!AS11</f>
        <v>10622</v>
      </c>
      <c r="BB10" s="50">
        <f>Produksi!AU11</f>
        <v>66922</v>
      </c>
      <c r="BC10" s="76"/>
      <c r="BD10" s="76"/>
      <c r="BE10" s="50">
        <v>0</v>
      </c>
      <c r="BF10" s="74">
        <f>BB10-(0)+(BD10-BC10)-(B11+C11+D11+E11+F11)</f>
        <v>66921.998200000002</v>
      </c>
      <c r="BG10" s="53">
        <f>H10</f>
        <v>0</v>
      </c>
      <c r="BH10" s="52">
        <v>1</v>
      </c>
      <c r="BI10" s="54" t="s">
        <v>231</v>
      </c>
      <c r="BJ10" s="50">
        <f>Produksi!BB11</f>
        <v>3407</v>
      </c>
      <c r="BK10" s="50">
        <f>Produksi!BC11</f>
        <v>3170</v>
      </c>
      <c r="BL10" s="50">
        <f>Produksi!BE11</f>
        <v>20131</v>
      </c>
      <c r="BM10" s="76"/>
      <c r="BN10" s="76"/>
      <c r="BO10" s="50">
        <v>0</v>
      </c>
      <c r="BP10" s="74">
        <f>BL10-(0)+(BN10-BM10)-(B11+C11+D11+E11+F11)</f>
        <v>20130.998200000002</v>
      </c>
      <c r="BQ10" s="53">
        <f>'Data Ketersediaan Pangan'!H10</f>
        <v>0</v>
      </c>
      <c r="BR10" s="52">
        <v>1</v>
      </c>
      <c r="BS10" s="54" t="s">
        <v>231</v>
      </c>
      <c r="BT10" s="50">
        <f>Produksi!BL11</f>
        <v>2577</v>
      </c>
      <c r="BU10" s="50">
        <f>Produksi!BM11</f>
        <v>2288</v>
      </c>
      <c r="BV10" s="50">
        <f>Produksi!BO11</f>
        <v>14907</v>
      </c>
      <c r="BW10" s="76"/>
      <c r="BX10" s="76"/>
      <c r="BY10" s="50">
        <v>0</v>
      </c>
      <c r="BZ10" s="74">
        <f>BV10-(0)+(BX10-BW10)-(B11+C11+D11+E11+F11)</f>
        <v>14906.9982</v>
      </c>
      <c r="CA10" s="53">
        <f>'Data Ketersediaan Pangan'!H10</f>
        <v>0</v>
      </c>
      <c r="CB10" s="52">
        <v>1</v>
      </c>
      <c r="CC10" s="54" t="s">
        <v>231</v>
      </c>
      <c r="CD10" s="50">
        <f>Produksi!BV11</f>
        <v>2238</v>
      </c>
      <c r="CE10" s="50">
        <f>Produksi!BW11</f>
        <v>4750</v>
      </c>
      <c r="CF10" s="50">
        <f>Produksi!BY11</f>
        <v>30394</v>
      </c>
      <c r="CG10" s="76"/>
      <c r="CH10" s="76"/>
      <c r="CI10" s="50">
        <v>0</v>
      </c>
      <c r="CJ10" s="74">
        <f>CF10-(0)+(CH10+CG10)-(B11+C11+D11+E11+F11)</f>
        <v>30393.998200000002</v>
      </c>
      <c r="CK10" s="53">
        <f>H10</f>
        <v>0</v>
      </c>
      <c r="CL10" s="52">
        <v>1</v>
      </c>
      <c r="CM10" s="54" t="s">
        <v>231</v>
      </c>
      <c r="CN10" s="50">
        <f>Produksi!CF11</f>
        <v>2318</v>
      </c>
      <c r="CO10" s="50">
        <f>Produksi!CG11</f>
        <v>3480</v>
      </c>
      <c r="CP10" s="50">
        <f>Produksi!CI11</f>
        <v>22200</v>
      </c>
      <c r="CQ10" s="76"/>
      <c r="CR10" s="76"/>
      <c r="CS10" s="50">
        <v>0</v>
      </c>
      <c r="CT10" s="74">
        <f>CP10-(0)+(CR10-CQ10)-(B11+C11+D11+E11+F11)</f>
        <v>22199.998200000002</v>
      </c>
      <c r="CU10" s="53">
        <f>H10</f>
        <v>0</v>
      </c>
      <c r="CV10" s="52">
        <v>1</v>
      </c>
      <c r="CW10" s="54" t="s">
        <v>231</v>
      </c>
      <c r="CX10" s="50">
        <f>Produksi!CP11</f>
        <v>6962</v>
      </c>
      <c r="CY10" s="50">
        <f>Produksi!CQ11</f>
        <v>1827</v>
      </c>
      <c r="CZ10" s="50">
        <f>Produksi!CS11</f>
        <v>11664</v>
      </c>
      <c r="DA10" s="76"/>
      <c r="DB10" s="76"/>
      <c r="DC10" s="50">
        <v>0</v>
      </c>
      <c r="DD10" s="74">
        <f>CZ10-(0)+(DB10-DA10)-(B11+C11+D11+E11+F11)</f>
        <v>11663.9982</v>
      </c>
      <c r="DE10" s="53">
        <f>H10</f>
        <v>0</v>
      </c>
      <c r="DF10" s="52">
        <v>1</v>
      </c>
      <c r="DG10" s="54" t="s">
        <v>231</v>
      </c>
      <c r="DH10" s="50">
        <f>Produksi!CZ11</f>
        <v>5256</v>
      </c>
      <c r="DI10" s="50">
        <f>Produksi!CZ11</f>
        <v>5256</v>
      </c>
      <c r="DJ10" s="50">
        <f>Produksi!DC11</f>
        <v>16432</v>
      </c>
      <c r="DK10" s="76"/>
      <c r="DL10" s="76"/>
      <c r="DM10" s="50">
        <f>Produksi!DB11</f>
        <v>0</v>
      </c>
      <c r="DN10" s="74">
        <f>(DJ10)-(0)+(DL10-DK10)-(B11+C11+D11+E11+F11)</f>
        <v>16431.998200000002</v>
      </c>
      <c r="DO10" s="53">
        <f>H10</f>
        <v>0</v>
      </c>
      <c r="DP10" s="52">
        <v>1</v>
      </c>
      <c r="DQ10" s="54" t="s">
        <v>231</v>
      </c>
      <c r="DR10" s="50">
        <f>Produksi!DJ11</f>
        <v>13636</v>
      </c>
      <c r="DS10" s="50">
        <f>Produksi!DK11</f>
        <v>533</v>
      </c>
      <c r="DT10" s="50">
        <f>Produksi!DM11</f>
        <v>13208</v>
      </c>
      <c r="DU10" s="76"/>
      <c r="DV10" s="76"/>
      <c r="DW10" s="50"/>
      <c r="DX10" s="74">
        <f>(DT10)-(0)+(DV10-DU10)-(B11+C11+D11+E11+F11)</f>
        <v>13207.9982</v>
      </c>
      <c r="DY10" s="53">
        <f>H10</f>
        <v>0</v>
      </c>
      <c r="DZ10" s="52">
        <v>1</v>
      </c>
      <c r="EA10" s="54" t="s">
        <v>231</v>
      </c>
      <c r="EB10" s="50">
        <f>L10+V10+AF10+AP10+AZ10+BJ10+BT10+CD10+CN10+CX10+DH10+DR10</f>
        <v>66269</v>
      </c>
      <c r="EC10" s="50">
        <f>M10+W10+AG10+AQ10+BA10+BK10+BU10+CE10+CO10+CY10+DI10+DS10</f>
        <v>51788</v>
      </c>
      <c r="ED10" s="50">
        <f>N10+X10+AH10+AR10+BB10+BL10+BV10+CF10+CP10+CZ10+DJ10+DT10</f>
        <v>317079</v>
      </c>
      <c r="EE10" s="76"/>
      <c r="EF10" s="76"/>
      <c r="EG10" s="50">
        <v>0</v>
      </c>
      <c r="EH10" s="74">
        <f>R10+AB10+AL10+AV10+BF10+BP10+BZ10+CJ10+CT10+DD10+DN10+DX10</f>
        <v>316912.0698</v>
      </c>
      <c r="EI10" s="53">
        <f>S10+AC10+AM10+AW10+BG10+BQ10+CA10+CK10+CU10+DE10+DO10+DY10</f>
        <v>0</v>
      </c>
      <c r="EJ10" s="1"/>
      <c r="EL10" s="256" t="s">
        <v>243</v>
      </c>
      <c r="EM10" s="256"/>
      <c r="EN10" s="256"/>
      <c r="EO10" s="256"/>
      <c r="EP10" s="256"/>
      <c r="EQ10" s="256"/>
      <c r="ER10" s="256"/>
      <c r="ES10" s="256"/>
      <c r="ET10" s="256"/>
      <c r="EU10" s="256"/>
      <c r="EV10" s="256"/>
      <c r="EW10" s="256"/>
      <c r="EX10" s="256"/>
      <c r="EY10" s="256"/>
    </row>
    <row r="11" spans="2:156" s="184" customFormat="1" ht="20.100000000000001" customHeight="1" x14ac:dyDescent="0.3">
      <c r="B11" s="167">
        <v>1.6999999999999999E-3</v>
      </c>
      <c r="C11" s="167">
        <v>0</v>
      </c>
      <c r="D11" s="167">
        <v>0</v>
      </c>
      <c r="E11" s="167">
        <v>0</v>
      </c>
      <c r="F11" s="167">
        <v>1E-4</v>
      </c>
      <c r="G11" s="168">
        <v>78.400000000000006</v>
      </c>
      <c r="H11" s="168">
        <f>G11*H5/I11/1000</f>
        <v>7629.6005333333342</v>
      </c>
      <c r="I11" s="169">
        <v>12</v>
      </c>
      <c r="J11" s="156">
        <v>2</v>
      </c>
      <c r="K11" s="153" t="s">
        <v>232</v>
      </c>
      <c r="L11" s="154"/>
      <c r="M11" s="154"/>
      <c r="N11" s="154">
        <f>R10*64.02%</f>
        <v>1886.7267619199999</v>
      </c>
      <c r="O11" s="154"/>
      <c r="P11" s="154"/>
      <c r="Q11" s="154"/>
      <c r="R11" s="155">
        <f>N11-(0)+P11-O11-(N11*(B11-C11-D11-E11-F11))</f>
        <v>1883.707999100928</v>
      </c>
      <c r="S11" s="157">
        <f>H11</f>
        <v>7629.6005333333342</v>
      </c>
      <c r="T11" s="156">
        <v>2</v>
      </c>
      <c r="U11" s="153" t="s">
        <v>232</v>
      </c>
      <c r="V11" s="154"/>
      <c r="W11" s="154"/>
      <c r="X11" s="154"/>
      <c r="Y11" s="154"/>
      <c r="Z11" s="154"/>
      <c r="AA11" s="154"/>
      <c r="AB11" s="155">
        <f>AB10*64.02%</f>
        <v>3605.60524764</v>
      </c>
      <c r="AC11" s="157">
        <f>'Data Ketersediaan Pangan'!H11</f>
        <v>7629.6005333333342</v>
      </c>
      <c r="AD11" s="156">
        <v>2</v>
      </c>
      <c r="AE11" s="153" t="s">
        <v>232</v>
      </c>
      <c r="AF11" s="154"/>
      <c r="AG11" s="154"/>
      <c r="AH11" s="154"/>
      <c r="AI11" s="154"/>
      <c r="AJ11" s="154"/>
      <c r="AK11" s="154"/>
      <c r="AL11" s="155">
        <f>AL10*64.02%</f>
        <v>16328.299847640001</v>
      </c>
      <c r="AM11" s="157">
        <f>H11</f>
        <v>7629.6005333333342</v>
      </c>
      <c r="AN11" s="156">
        <v>2</v>
      </c>
      <c r="AO11" s="153" t="s">
        <v>232</v>
      </c>
      <c r="AP11" s="154"/>
      <c r="AQ11" s="154"/>
      <c r="AR11" s="154"/>
      <c r="AS11" s="154"/>
      <c r="AT11" s="154"/>
      <c r="AU11" s="154"/>
      <c r="AV11" s="155">
        <f>AV10*64.02%</f>
        <v>55678.192847639999</v>
      </c>
      <c r="AW11" s="157">
        <f>'Data Ketersediaan Pangan'!H11</f>
        <v>7629.6005333333342</v>
      </c>
      <c r="AX11" s="156">
        <v>2</v>
      </c>
      <c r="AY11" s="153" t="s">
        <v>232</v>
      </c>
      <c r="AZ11" s="154"/>
      <c r="BA11" s="154"/>
      <c r="BB11" s="154"/>
      <c r="BC11" s="154"/>
      <c r="BD11" s="154"/>
      <c r="BE11" s="154"/>
      <c r="BF11" s="155">
        <f>BF10*64.02%</f>
        <v>42843.46324764</v>
      </c>
      <c r="BG11" s="157">
        <f>H11</f>
        <v>7629.6005333333342</v>
      </c>
      <c r="BH11" s="156">
        <v>2</v>
      </c>
      <c r="BI11" s="153" t="s">
        <v>232</v>
      </c>
      <c r="BJ11" s="154"/>
      <c r="BK11" s="154"/>
      <c r="BL11" s="154"/>
      <c r="BM11" s="154"/>
      <c r="BN11" s="154"/>
      <c r="BO11" s="154"/>
      <c r="BP11" s="155">
        <f>BP10*64.02%</f>
        <v>12887.865047640002</v>
      </c>
      <c r="BQ11" s="157">
        <f>'Data Ketersediaan Pangan'!H11</f>
        <v>7629.6005333333342</v>
      </c>
      <c r="BR11" s="156">
        <v>2</v>
      </c>
      <c r="BS11" s="153" t="s">
        <v>232</v>
      </c>
      <c r="BT11" s="154"/>
      <c r="BU11" s="154"/>
      <c r="BV11" s="185"/>
      <c r="BW11" s="154"/>
      <c r="BX11" s="154"/>
      <c r="BY11" s="154"/>
      <c r="BZ11" s="155">
        <f>BZ10*64.02%</f>
        <v>9543.4602476399996</v>
      </c>
      <c r="CA11" s="157">
        <f>'Data Ketersediaan Pangan'!H11</f>
        <v>7629.6005333333342</v>
      </c>
      <c r="CB11" s="156">
        <v>2</v>
      </c>
      <c r="CC11" s="153" t="s">
        <v>232</v>
      </c>
      <c r="CD11" s="154"/>
      <c r="CE11" s="154"/>
      <c r="CF11" s="154"/>
      <c r="CG11" s="154"/>
      <c r="CH11" s="154"/>
      <c r="CI11" s="154"/>
      <c r="CJ11" s="155">
        <f>CJ10*64.02%</f>
        <v>19458.237647640002</v>
      </c>
      <c r="CK11" s="157">
        <f>H11</f>
        <v>7629.6005333333342</v>
      </c>
      <c r="CL11" s="156">
        <v>2</v>
      </c>
      <c r="CM11" s="153" t="s">
        <v>232</v>
      </c>
      <c r="CN11" s="154"/>
      <c r="CO11" s="154"/>
      <c r="CP11" s="154"/>
      <c r="CQ11" s="154"/>
      <c r="CR11" s="154"/>
      <c r="CS11" s="154"/>
      <c r="CT11" s="155">
        <f>CT10*64.02%</f>
        <v>14212.438847640002</v>
      </c>
      <c r="CU11" s="157">
        <f>H11</f>
        <v>7629.6005333333342</v>
      </c>
      <c r="CV11" s="156">
        <v>2</v>
      </c>
      <c r="CW11" s="153" t="s">
        <v>232</v>
      </c>
      <c r="CX11" s="154"/>
      <c r="CY11" s="154"/>
      <c r="CZ11" s="154"/>
      <c r="DA11" s="154"/>
      <c r="DB11" s="154"/>
      <c r="DC11" s="154"/>
      <c r="DD11" s="155">
        <f>DD10*64.02%</f>
        <v>7467.2916476399996</v>
      </c>
      <c r="DE11" s="157">
        <f>H11</f>
        <v>7629.6005333333342</v>
      </c>
      <c r="DF11" s="156">
        <v>2</v>
      </c>
      <c r="DG11" s="153" t="s">
        <v>232</v>
      </c>
      <c r="DH11" s="154"/>
      <c r="DI11" s="154"/>
      <c r="DJ11" s="154"/>
      <c r="DK11" s="154"/>
      <c r="DL11" s="154"/>
      <c r="DM11" s="154"/>
      <c r="DN11" s="155">
        <f>DN10*64.02%</f>
        <v>10519.765247640002</v>
      </c>
      <c r="DO11" s="157">
        <f>H11</f>
        <v>7629.6005333333342</v>
      </c>
      <c r="DP11" s="156">
        <v>2</v>
      </c>
      <c r="DQ11" s="153" t="s">
        <v>232</v>
      </c>
      <c r="DR11" s="154"/>
      <c r="DS11" s="154"/>
      <c r="DT11" s="154"/>
      <c r="DU11" s="154"/>
      <c r="DV11" s="154"/>
      <c r="DW11" s="154"/>
      <c r="DX11" s="155">
        <f>DX10*64.02%</f>
        <v>8455.7604476399993</v>
      </c>
      <c r="DY11" s="157">
        <f>H11</f>
        <v>7629.6005333333342</v>
      </c>
      <c r="DZ11" s="156">
        <v>2</v>
      </c>
      <c r="EA11" s="153" t="s">
        <v>232</v>
      </c>
      <c r="EB11" s="154"/>
      <c r="EC11" s="154"/>
      <c r="ED11" s="154"/>
      <c r="EE11" s="154"/>
      <c r="EF11" s="154"/>
      <c r="EG11" s="154"/>
      <c r="EH11" s="155">
        <f>EH10*64.02%</f>
        <v>202887.10708595999</v>
      </c>
      <c r="EI11" s="157">
        <f>S11+AC11+AM11+AW11+BG11+BQ11+CA11+CK11+CU11+DE11+DO11+DY11</f>
        <v>91555.206399999981</v>
      </c>
      <c r="EJ11" s="205">
        <f>EH11-EI11</f>
        <v>111331.90068596</v>
      </c>
      <c r="EK11" s="206"/>
      <c r="EL11" s="256"/>
      <c r="EM11" s="256"/>
      <c r="EN11" s="256"/>
      <c r="EO11" s="256"/>
      <c r="EP11" s="256"/>
      <c r="EQ11" s="256"/>
      <c r="ER11" s="256"/>
      <c r="ES11" s="256"/>
      <c r="ET11" s="256"/>
      <c r="EU11" s="256"/>
      <c r="EV11" s="256"/>
      <c r="EW11" s="256"/>
      <c r="EX11" s="256"/>
      <c r="EY11" s="256"/>
    </row>
    <row r="12" spans="2:156" ht="20.100000000000001" customHeight="1" x14ac:dyDescent="0.3">
      <c r="B12" s="170">
        <v>0.06</v>
      </c>
      <c r="C12" s="171">
        <v>0</v>
      </c>
      <c r="D12" s="172">
        <v>0</v>
      </c>
      <c r="E12" s="172">
        <v>0</v>
      </c>
      <c r="F12" s="173">
        <v>7.1599999999999997E-2</v>
      </c>
      <c r="G12" s="174">
        <v>1.1000000000000001</v>
      </c>
      <c r="H12" s="175">
        <f>G12*H5/I12/1000</f>
        <v>107.04796666666667</v>
      </c>
      <c r="I12" s="176">
        <v>12</v>
      </c>
      <c r="J12" s="177">
        <v>3</v>
      </c>
      <c r="K12" s="178" t="s">
        <v>119</v>
      </c>
      <c r="L12" s="179">
        <f>Produksi!D12</f>
        <v>5799</v>
      </c>
      <c r="M12" s="179">
        <f>Produksi!E12</f>
        <v>4480</v>
      </c>
      <c r="N12" s="5">
        <f>Produksi!G12</f>
        <v>22925</v>
      </c>
      <c r="O12" s="180"/>
      <c r="P12" s="180"/>
      <c r="Q12" s="181">
        <v>0</v>
      </c>
      <c r="R12" s="155">
        <f t="shared" ref="R12:R30" si="0">N12-(0)+P12-O12-(N12*(B12-C12-D12-E12-F12))</f>
        <v>23190.93</v>
      </c>
      <c r="S12" s="183">
        <f t="shared" ref="S12:S30" si="1">H12</f>
        <v>107.04796666666667</v>
      </c>
      <c r="T12" s="177">
        <v>3</v>
      </c>
      <c r="U12" s="178" t="s">
        <v>119</v>
      </c>
      <c r="V12" s="179">
        <f>Produksi!N12</f>
        <v>1000</v>
      </c>
      <c r="W12" s="179">
        <f>Produksi!O12</f>
        <v>2119</v>
      </c>
      <c r="X12" s="5">
        <f>Produksi!Q12</f>
        <v>11614</v>
      </c>
      <c r="Y12" s="180"/>
      <c r="Z12" s="180"/>
      <c r="AA12" s="181">
        <v>0</v>
      </c>
      <c r="AB12" s="74">
        <f>X12-(0)+Z12-Y12-(B12+C12+D12+E12+F12)</f>
        <v>11613.868399999999</v>
      </c>
      <c r="AC12" s="183">
        <f>'Data Ketersediaan Pangan'!H12</f>
        <v>107.04796666666667</v>
      </c>
      <c r="AD12" s="177">
        <v>3</v>
      </c>
      <c r="AE12" s="178" t="s">
        <v>119</v>
      </c>
      <c r="AF12" s="179">
        <f>Produksi!X12</f>
        <v>572</v>
      </c>
      <c r="AG12" s="179">
        <f>Produksi!Y12</f>
        <v>8915</v>
      </c>
      <c r="AH12" s="5">
        <f>Produksi!AA12</f>
        <v>45104</v>
      </c>
      <c r="AI12" s="180"/>
      <c r="AJ12" s="180"/>
      <c r="AK12" s="181">
        <v>0</v>
      </c>
      <c r="AL12" s="182">
        <f>AH12-(0)+AJ12-AI12-(B12+C12+D12+E12+F12)</f>
        <v>45103.868399999999</v>
      </c>
      <c r="AM12" s="183">
        <f t="shared" ref="AM12:AM30" si="2">H12</f>
        <v>107.04796666666667</v>
      </c>
      <c r="AN12" s="177">
        <v>3</v>
      </c>
      <c r="AO12" s="178" t="s">
        <v>119</v>
      </c>
      <c r="AP12" s="179">
        <f>Produksi!AH12</f>
        <v>3501</v>
      </c>
      <c r="AQ12" s="179">
        <f>Produksi!AH12</f>
        <v>3501</v>
      </c>
      <c r="AR12" s="5">
        <f>Produksi!AK12</f>
        <v>68311</v>
      </c>
      <c r="AS12" s="180"/>
      <c r="AT12" s="180"/>
      <c r="AU12" s="181">
        <f>Produksi!AJ12</f>
        <v>0</v>
      </c>
      <c r="AV12" s="182">
        <f>AR12-(0)+(AT12-AS12)-(B12+C12+D12+E12+F12)</f>
        <v>68310.868400000007</v>
      </c>
      <c r="AW12" s="183">
        <f>'Data Ketersediaan Pangan'!H12</f>
        <v>107.04796666666667</v>
      </c>
      <c r="AX12" s="177">
        <v>3</v>
      </c>
      <c r="AY12" s="178" t="s">
        <v>119</v>
      </c>
      <c r="AZ12" s="179">
        <f>Produksi!AR12</f>
        <v>6808</v>
      </c>
      <c r="BA12" s="179">
        <f>Produksi!AS12</f>
        <v>2325</v>
      </c>
      <c r="BB12" s="5">
        <f>Produksi!AU12</f>
        <v>13227</v>
      </c>
      <c r="BC12" s="180"/>
      <c r="BD12" s="180"/>
      <c r="BE12" s="181">
        <v>0</v>
      </c>
      <c r="BF12" s="182">
        <f>BB12-(0)+(BD12-BC12)-(B12+C12+D12+E12+F12)</f>
        <v>13226.868399999999</v>
      </c>
      <c r="BG12" s="183">
        <f t="shared" ref="BG12:BG30" si="3">H12</f>
        <v>107.04796666666667</v>
      </c>
      <c r="BH12" s="177">
        <v>3</v>
      </c>
      <c r="BI12" s="178" t="s">
        <v>119</v>
      </c>
      <c r="BJ12" s="181">
        <f>Produksi!BB12</f>
        <v>5332</v>
      </c>
      <c r="BK12" s="181">
        <f>Produksi!BC12</f>
        <v>1321</v>
      </c>
      <c r="BL12" s="181">
        <f>Produksi!BE12</f>
        <v>5693</v>
      </c>
      <c r="BM12" s="180"/>
      <c r="BN12" s="180"/>
      <c r="BO12" s="181">
        <v>0</v>
      </c>
      <c r="BP12" s="182">
        <f>BL12-(0)+(BN12-BM12)-(B12+C12+D12+E12+F12)</f>
        <v>5692.8684000000003</v>
      </c>
      <c r="BQ12" s="183">
        <f>'Data Ketersediaan Pangan'!H12</f>
        <v>107.04796666666667</v>
      </c>
      <c r="BR12" s="177">
        <v>3</v>
      </c>
      <c r="BS12" s="178" t="s">
        <v>119</v>
      </c>
      <c r="BT12" s="179">
        <f>Produksi!BL12</f>
        <v>1571</v>
      </c>
      <c r="BU12" s="179">
        <f>Produksi!BM12</f>
        <v>3261</v>
      </c>
      <c r="BV12" s="5">
        <f>Produksi!BO12</f>
        <v>17832</v>
      </c>
      <c r="BW12" s="180"/>
      <c r="BX12" s="180"/>
      <c r="BY12" s="181">
        <v>0</v>
      </c>
      <c r="BZ12" s="182">
        <f>BV12-(0)+(BX12-BW12)-(B12+C12+D12+E12+F12)</f>
        <v>17831.868399999999</v>
      </c>
      <c r="CA12" s="183">
        <f>'Data Ketersediaan Pangan'!H12</f>
        <v>107.04796666666667</v>
      </c>
      <c r="CB12" s="177">
        <v>3</v>
      </c>
      <c r="CC12" s="178" t="s">
        <v>119</v>
      </c>
      <c r="CD12" s="179">
        <f>Produksi!BV12</f>
        <v>7408</v>
      </c>
      <c r="CE12" s="179">
        <f>Produksi!BW12</f>
        <v>5901</v>
      </c>
      <c r="CF12" s="5">
        <f>Produksi!BY12</f>
        <v>31811</v>
      </c>
      <c r="CG12" s="180"/>
      <c r="CH12" s="180"/>
      <c r="CI12" s="181">
        <v>0</v>
      </c>
      <c r="CJ12" s="182">
        <f>CF12-(0)+(CH12+CG12)-(B12+C12+D12+E12+F12)</f>
        <v>31810.868399999999</v>
      </c>
      <c r="CK12" s="183">
        <f t="shared" ref="CK12:CK30" si="4">H12</f>
        <v>107.04796666666667</v>
      </c>
      <c r="CL12" s="177">
        <v>3</v>
      </c>
      <c r="CM12" s="178" t="s">
        <v>119</v>
      </c>
      <c r="CN12" s="179">
        <f>Produksi!CF12</f>
        <v>8979</v>
      </c>
      <c r="CO12" s="179">
        <f>Produksi!CG12</f>
        <v>5542</v>
      </c>
      <c r="CP12" s="5">
        <f>Produksi!CI12</f>
        <v>30155</v>
      </c>
      <c r="CQ12" s="180"/>
      <c r="CR12" s="180"/>
      <c r="CS12" s="181">
        <v>0</v>
      </c>
      <c r="CT12" s="182">
        <f>CP12-(0)+(CR12-CQ12)-(B12+C12+D12+E12+F12)</f>
        <v>30154.868399999999</v>
      </c>
      <c r="CU12" s="183">
        <f t="shared" ref="CU12:CU30" si="5">H12</f>
        <v>107.04796666666667</v>
      </c>
      <c r="CV12" s="177">
        <v>3</v>
      </c>
      <c r="CW12" s="178" t="s">
        <v>119</v>
      </c>
      <c r="CX12" s="181">
        <f>Produksi!CP12</f>
        <v>15513</v>
      </c>
      <c r="CY12" s="181">
        <f>Produksi!CQ12</f>
        <v>4660</v>
      </c>
      <c r="CZ12" s="181">
        <f>Produksi!CS12</f>
        <v>25389</v>
      </c>
      <c r="DA12" s="180"/>
      <c r="DB12" s="180"/>
      <c r="DC12" s="181">
        <v>0</v>
      </c>
      <c r="DD12" s="182">
        <f>CZ12-(0)+(DB12-DA12)-(B12+C12+D12+E12+F12)</f>
        <v>25388.868399999999</v>
      </c>
      <c r="DE12" s="183">
        <f t="shared" ref="DE12:DE30" si="6">H12</f>
        <v>107.04796666666667</v>
      </c>
      <c r="DF12" s="177">
        <v>3</v>
      </c>
      <c r="DG12" s="178" t="s">
        <v>119</v>
      </c>
      <c r="DH12" s="179">
        <f>Produksi!CZ12</f>
        <v>3477</v>
      </c>
      <c r="DI12" s="179">
        <f>Produksi!DA12</f>
        <v>3304</v>
      </c>
      <c r="DJ12" s="5">
        <f>Produksi!DC12</f>
        <v>19658</v>
      </c>
      <c r="DK12" s="180"/>
      <c r="DL12" s="180"/>
      <c r="DM12" s="181">
        <v>0</v>
      </c>
      <c r="DN12" s="182">
        <f>(DJ12)-(0)+(DL12-DK12)-(B12+C12+D12+E12+F12)</f>
        <v>19657.868399999999</v>
      </c>
      <c r="DO12" s="183">
        <f t="shared" ref="DO12:DO29" si="7">H12</f>
        <v>107.04796666666667</v>
      </c>
      <c r="DP12" s="177">
        <v>3</v>
      </c>
      <c r="DQ12" s="178" t="s">
        <v>119</v>
      </c>
      <c r="DR12" s="179">
        <f>Produksi!DJ12</f>
        <v>392</v>
      </c>
      <c r="DS12" s="179">
        <f>Produksi!DK12</f>
        <v>9976</v>
      </c>
      <c r="DT12" s="179">
        <f>Produksi!DM12</f>
        <v>51176</v>
      </c>
      <c r="DU12" s="180"/>
      <c r="DV12" s="180"/>
      <c r="DW12" s="181"/>
      <c r="DX12" s="182">
        <f>(DT12)-(0)+(DV12-DU12)-(B12+C12+D12+E12+F12)</f>
        <v>51175.868399999999</v>
      </c>
      <c r="DY12" s="183">
        <f t="shared" ref="DY12:DY30" si="8">H12</f>
        <v>107.04796666666667</v>
      </c>
      <c r="DZ12" s="177">
        <v>3</v>
      </c>
      <c r="EA12" s="178" t="s">
        <v>119</v>
      </c>
      <c r="EB12" s="181">
        <f t="shared" ref="EB12:EB30" si="9">L12+V12+AF12+AP12+AZ12+BJ12+BT12+CD12+CN12+CX12+DH12+DR12</f>
        <v>60352</v>
      </c>
      <c r="EC12" s="181">
        <f t="shared" ref="EC12:EC30" si="10">M12+W12+AG12+AQ12+BA12+BK12+BU12+CE12+CO12+CY12+DI12+DS12</f>
        <v>55305</v>
      </c>
      <c r="ED12" s="181">
        <f>N12+X12+AH12+AR12+BB12+BL12+BV12+CF12+CP12+CZ12+DJ12+DT12</f>
        <v>342895</v>
      </c>
      <c r="EE12" s="180"/>
      <c r="EF12" s="180"/>
      <c r="EG12" s="181">
        <f t="shared" ref="EG12:EG30" si="11">Q12+AA12+AK12+AU12+BE12+BO12+BY12+CI12+CS12+DC12+DM12+DW12</f>
        <v>0</v>
      </c>
      <c r="EH12" s="182">
        <f>R12+AB12+AL12+AV12+BF12+BP12+BZ12+CJ12+CT12+DD12+DN12+DX12</f>
        <v>343159.48239999998</v>
      </c>
      <c r="EI12" s="183">
        <f>S12+AC12+AM12+AW12+BG12+BQ12+CA12+CK12+CU12+DE12+DO12+DY12+EN27</f>
        <v>408624.57559999998</v>
      </c>
      <c r="EJ12" s="205">
        <f t="shared" ref="EJ12:EJ34" si="12">EH12-EI12</f>
        <v>-65465.093200000003</v>
      </c>
      <c r="EL12" s="256"/>
      <c r="EM12" s="256"/>
      <c r="EN12" s="256"/>
      <c r="EO12" s="256"/>
      <c r="EP12" s="256"/>
      <c r="EQ12" s="256"/>
      <c r="ER12" s="256"/>
      <c r="ES12" s="256"/>
      <c r="ET12" s="256"/>
      <c r="EU12" s="256"/>
      <c r="EV12" s="256"/>
      <c r="EW12" s="256"/>
      <c r="EX12" s="256"/>
      <c r="EY12" s="256"/>
    </row>
    <row r="13" spans="2:156" ht="20.100000000000001" customHeight="1" x14ac:dyDescent="0.3">
      <c r="B13" s="13">
        <v>0.02</v>
      </c>
      <c r="C13" s="14">
        <v>0</v>
      </c>
      <c r="D13" s="15">
        <v>0</v>
      </c>
      <c r="E13" s="15">
        <v>0</v>
      </c>
      <c r="F13" s="16">
        <v>4.2299999999999997E-2</v>
      </c>
      <c r="G13" s="105">
        <v>4.54</v>
      </c>
      <c r="H13" s="152">
        <f>G13*H5/I13/1000</f>
        <v>441.81615333333332</v>
      </c>
      <c r="I13" s="96">
        <v>12</v>
      </c>
      <c r="J13" s="52">
        <v>4</v>
      </c>
      <c r="K13" s="1" t="s">
        <v>152</v>
      </c>
      <c r="L13" s="62">
        <f>Produksi!D14</f>
        <v>1904</v>
      </c>
      <c r="M13" s="62">
        <f>Produksi!E14</f>
        <v>18</v>
      </c>
      <c r="N13" s="62">
        <f>Produksi!G14</f>
        <v>314</v>
      </c>
      <c r="O13" s="76"/>
      <c r="P13" s="76"/>
      <c r="Q13" s="50">
        <v>0</v>
      </c>
      <c r="R13" s="155">
        <f t="shared" si="0"/>
        <v>321.00220000000002</v>
      </c>
      <c r="S13" s="53">
        <f t="shared" si="1"/>
        <v>441.81615333333332</v>
      </c>
      <c r="T13" s="52">
        <v>4</v>
      </c>
      <c r="U13" s="1" t="s">
        <v>152</v>
      </c>
      <c r="V13" s="62">
        <f>Produksi!N14</f>
        <v>138</v>
      </c>
      <c r="W13" s="62">
        <f>Produksi!O14</f>
        <v>36</v>
      </c>
      <c r="X13" s="62">
        <f>Produksi!Q14</f>
        <v>628</v>
      </c>
      <c r="Y13" s="76"/>
      <c r="Z13" s="76"/>
      <c r="AA13" s="50">
        <v>0</v>
      </c>
      <c r="AB13" s="74">
        <f t="shared" ref="AB13:AB30" si="13">X13-(0)+Z13-Y13-(B13+C13+D13+E13+F13)</f>
        <v>627.93769999999995</v>
      </c>
      <c r="AC13" s="53">
        <f>'Data Ketersediaan Pangan'!H13</f>
        <v>441.81615333333332</v>
      </c>
      <c r="AD13" s="52">
        <v>4</v>
      </c>
      <c r="AE13" s="1" t="s">
        <v>152</v>
      </c>
      <c r="AF13" s="62">
        <f>Produksi!X14</f>
        <v>43</v>
      </c>
      <c r="AG13" s="62">
        <f>Produksi!Y14</f>
        <v>17</v>
      </c>
      <c r="AH13" s="62">
        <f>Produksi!AA14</f>
        <v>296</v>
      </c>
      <c r="AI13" s="76"/>
      <c r="AJ13" s="76"/>
      <c r="AK13" s="50">
        <v>0</v>
      </c>
      <c r="AL13" s="182">
        <f t="shared" ref="AL13:AL29" si="14">AH13-(0)+AJ13-AI13-(B13+C13+D13+E13+F13)</f>
        <v>295.93770000000001</v>
      </c>
      <c r="AM13" s="53">
        <f t="shared" si="2"/>
        <v>441.81615333333332</v>
      </c>
      <c r="AN13" s="52">
        <v>4</v>
      </c>
      <c r="AO13" s="1" t="s">
        <v>152</v>
      </c>
      <c r="AP13" s="62">
        <f>Produksi!AH14</f>
        <v>49</v>
      </c>
      <c r="AQ13" s="62">
        <f>Produksi!AI14</f>
        <v>88</v>
      </c>
      <c r="AR13" s="62">
        <f>Produksi!AK14</f>
        <v>851</v>
      </c>
      <c r="AS13" s="76"/>
      <c r="AT13" s="76"/>
      <c r="AU13" s="50">
        <f>Produksi!AJ14</f>
        <v>0</v>
      </c>
      <c r="AV13" s="182">
        <f t="shared" ref="AV13:AV30" si="15">AR13-(0)+(AT13-AS13)-(B13+C13+D13+E13+F13)</f>
        <v>850.93769999999995</v>
      </c>
      <c r="AW13" s="53">
        <f>'Data Ketersediaan Pangan'!H13</f>
        <v>441.81615333333332</v>
      </c>
      <c r="AX13" s="52">
        <v>4</v>
      </c>
      <c r="AY13" s="1" t="s">
        <v>152</v>
      </c>
      <c r="AZ13" s="62">
        <f>Produksi!AR14</f>
        <v>44</v>
      </c>
      <c r="BA13" s="62">
        <f>Produksi!AS14</f>
        <v>14</v>
      </c>
      <c r="BB13" s="62">
        <f>Produksi!AU14</f>
        <v>237</v>
      </c>
      <c r="BC13" s="76"/>
      <c r="BD13" s="76"/>
      <c r="BE13" s="50">
        <v>0</v>
      </c>
      <c r="BF13" s="182">
        <f t="shared" ref="BF13:BF30" si="16">BB13-(0)+(BD13-BC13)-(B13+C13+D13+E13+F13)</f>
        <v>236.93770000000001</v>
      </c>
      <c r="BG13" s="53">
        <f t="shared" si="3"/>
        <v>441.81615333333332</v>
      </c>
      <c r="BH13" s="52">
        <v>4</v>
      </c>
      <c r="BI13" s="1" t="s">
        <v>152</v>
      </c>
      <c r="BJ13" s="62">
        <f>Produksi!BB14</f>
        <v>92</v>
      </c>
      <c r="BK13" s="62">
        <f>Produksi!BC14</f>
        <v>29</v>
      </c>
      <c r="BL13" s="62">
        <f>Produksi!BE14</f>
        <v>502</v>
      </c>
      <c r="BM13" s="76"/>
      <c r="BN13" s="76"/>
      <c r="BO13" s="50">
        <v>0</v>
      </c>
      <c r="BP13" s="182">
        <f t="shared" ref="BP13:BP30" si="17">BL13-(0)+(BN13-BM13)-(B13+C13+D13+E13+F13)</f>
        <v>501.93770000000001</v>
      </c>
      <c r="BQ13" s="53">
        <f>'Data Ketersediaan Pangan'!H13</f>
        <v>441.81615333333332</v>
      </c>
      <c r="BR13" s="52">
        <v>4</v>
      </c>
      <c r="BS13" s="1" t="s">
        <v>152</v>
      </c>
      <c r="BT13" s="62">
        <f>Produksi!BL14</f>
        <v>29</v>
      </c>
      <c r="BU13" s="62">
        <f>Produksi!BM14</f>
        <v>878</v>
      </c>
      <c r="BV13" s="62">
        <f>Produksi!BO14</f>
        <v>15311</v>
      </c>
      <c r="BW13" s="76"/>
      <c r="BX13" s="76"/>
      <c r="BY13" s="50">
        <v>0</v>
      </c>
      <c r="BZ13" s="182">
        <f t="shared" ref="BZ13:BZ30" si="18">BV13-(0)+(BX13-BW13)-(B13+C13+D13+E13+F13)</f>
        <v>15310.9377</v>
      </c>
      <c r="CA13" s="53">
        <f>'Data Ketersediaan Pangan'!H13</f>
        <v>441.81615333333332</v>
      </c>
      <c r="CB13" s="52">
        <v>4</v>
      </c>
      <c r="CC13" s="1" t="s">
        <v>152</v>
      </c>
      <c r="CD13" s="62">
        <f>Produksi!BV14</f>
        <v>52</v>
      </c>
      <c r="CE13" s="62">
        <f>Produksi!BW14</f>
        <v>909</v>
      </c>
      <c r="CF13" s="62">
        <f>Produksi!BY14</f>
        <v>15849</v>
      </c>
      <c r="CG13" s="76"/>
      <c r="CH13" s="76"/>
      <c r="CI13" s="50">
        <v>0</v>
      </c>
      <c r="CJ13" s="182">
        <f t="shared" ref="CJ13:CJ30" si="19">CF13-(0)+(CH13+CG13)-(B13+C13+D13+E13+F13)</f>
        <v>15848.9377</v>
      </c>
      <c r="CK13" s="53">
        <f t="shared" si="4"/>
        <v>441.81615333333332</v>
      </c>
      <c r="CL13" s="52">
        <v>4</v>
      </c>
      <c r="CM13" s="1" t="s">
        <v>152</v>
      </c>
      <c r="CN13" s="62">
        <f>Produksi!CF14</f>
        <v>74</v>
      </c>
      <c r="CO13" s="62">
        <f>Produksi!CG14</f>
        <v>845</v>
      </c>
      <c r="CP13" s="62">
        <f>Produksi!CI14</f>
        <v>14733</v>
      </c>
      <c r="CQ13" s="76"/>
      <c r="CR13" s="76"/>
      <c r="CS13" s="50">
        <v>0</v>
      </c>
      <c r="CT13" s="182">
        <f t="shared" ref="CT13:CT30" si="20">CP13-(0)+(CR13-CQ13)-(B13+C13+D13+E13+F13)</f>
        <v>14732.9377</v>
      </c>
      <c r="CU13" s="53">
        <f t="shared" si="5"/>
        <v>441.81615333333332</v>
      </c>
      <c r="CV13" s="52">
        <v>4</v>
      </c>
      <c r="CW13" s="1" t="s">
        <v>152</v>
      </c>
      <c r="CX13" s="62">
        <f>Produksi!CP14</f>
        <v>1750</v>
      </c>
      <c r="CY13" s="62">
        <f>Produksi!CQ14</f>
        <v>251</v>
      </c>
      <c r="CZ13" s="62">
        <f>Produksi!CS14</f>
        <v>4376</v>
      </c>
      <c r="DA13" s="76"/>
      <c r="DB13" s="76"/>
      <c r="DC13" s="50">
        <v>0</v>
      </c>
      <c r="DD13" s="182">
        <f t="shared" ref="DD13:DD30" si="21">CZ13-(0)+(DB13-DA13)-(B13+C13+D13+E13+F13)</f>
        <v>4375.9377000000004</v>
      </c>
      <c r="DE13" s="53">
        <f t="shared" si="6"/>
        <v>441.81615333333332</v>
      </c>
      <c r="DF13" s="52">
        <v>4</v>
      </c>
      <c r="DG13" s="1" t="s">
        <v>152</v>
      </c>
      <c r="DH13" s="62">
        <f>Produksi!CZ14</f>
        <v>406</v>
      </c>
      <c r="DI13" s="62">
        <f>Produksi!DA14</f>
        <v>135</v>
      </c>
      <c r="DJ13" s="62">
        <f>Produksi!DC14</f>
        <v>2351</v>
      </c>
      <c r="DK13" s="76"/>
      <c r="DL13" s="76"/>
      <c r="DM13" s="50">
        <v>0</v>
      </c>
      <c r="DN13" s="182">
        <f t="shared" ref="DN13:DN30" si="22">(DJ13)-(0)+(DL13-DK13)-(B13+C13+D13+E13+F13)</f>
        <v>2350.9376999999999</v>
      </c>
      <c r="DO13" s="53">
        <f t="shared" si="7"/>
        <v>441.81615333333332</v>
      </c>
      <c r="DP13" s="52">
        <v>4</v>
      </c>
      <c r="DQ13" s="1" t="s">
        <v>152</v>
      </c>
      <c r="DR13" s="62">
        <f>Produksi!DJ14</f>
        <v>185</v>
      </c>
      <c r="DS13" s="62">
        <f>Produksi!DK14</f>
        <v>165</v>
      </c>
      <c r="DT13" s="62">
        <f>Produksi!DM14</f>
        <v>2877</v>
      </c>
      <c r="DU13" s="76"/>
      <c r="DV13" s="76"/>
      <c r="DW13" s="50"/>
      <c r="DX13" s="182">
        <f t="shared" ref="DX13:DX30" si="23">(DT13)-(0)+(DV13-DU13)-(B13+C13+D13+E13+F13)</f>
        <v>2876.9376999999999</v>
      </c>
      <c r="DY13" s="53">
        <f t="shared" si="8"/>
        <v>441.81615333333332</v>
      </c>
      <c r="DZ13" s="52">
        <v>4</v>
      </c>
      <c r="EA13" s="1" t="s">
        <v>152</v>
      </c>
      <c r="EB13" s="50">
        <f t="shared" si="9"/>
        <v>4766</v>
      </c>
      <c r="EC13" s="50">
        <f t="shared" si="10"/>
        <v>3385</v>
      </c>
      <c r="ED13" s="50">
        <f t="shared" ref="ED13:ED30" si="24">N13+AH13+AR13+BB13+BL13+BV13+CF13+CP13+CZ13+DJ13+DT13</f>
        <v>57697</v>
      </c>
      <c r="EE13" s="76"/>
      <c r="EF13" s="76"/>
      <c r="EG13" s="50">
        <f t="shared" si="11"/>
        <v>0</v>
      </c>
      <c r="EH13" s="74">
        <f t="shared" ref="EH13:EH29" si="25">R13+AB13+AL13+AV13+BF13+BP13+BZ13+CJ13+CT13+DD13+DN13+DX13</f>
        <v>58331.316900000013</v>
      </c>
      <c r="EI13" s="53">
        <f t="shared" ref="EI13:EI30" si="26">S13+AC13+AM13+AW13+BG13+BQ13+CA13+CK13+CU13+DE13+DO13+DY13</f>
        <v>5301.7938399999994</v>
      </c>
      <c r="EJ13" s="205">
        <f t="shared" si="12"/>
        <v>53029.523060000014</v>
      </c>
      <c r="EL13" s="69" t="s">
        <v>3</v>
      </c>
      <c r="EM13" s="69" t="s">
        <v>2</v>
      </c>
      <c r="EN13" s="69" t="s">
        <v>170</v>
      </c>
      <c r="EO13" s="69" t="s">
        <v>244</v>
      </c>
      <c r="EP13" s="69" t="s">
        <v>172</v>
      </c>
      <c r="EQ13" s="69" t="s">
        <v>173</v>
      </c>
      <c r="ER13" s="69" t="s">
        <v>174</v>
      </c>
      <c r="ES13" s="69" t="s">
        <v>175</v>
      </c>
      <c r="ET13" s="69" t="s">
        <v>184</v>
      </c>
      <c r="EU13" s="69" t="s">
        <v>177</v>
      </c>
      <c r="EV13" s="69" t="s">
        <v>178</v>
      </c>
      <c r="EW13" s="69" t="s">
        <v>179</v>
      </c>
      <c r="EX13" s="69" t="s">
        <v>185</v>
      </c>
      <c r="EY13" s="69" t="s">
        <v>181</v>
      </c>
      <c r="EZ13" s="69" t="s">
        <v>252</v>
      </c>
    </row>
    <row r="14" spans="2:156" ht="20.100000000000001" customHeight="1" x14ac:dyDescent="0.3">
      <c r="B14" s="13">
        <v>0.02</v>
      </c>
      <c r="C14" s="14">
        <v>0</v>
      </c>
      <c r="D14" s="15">
        <v>0</v>
      </c>
      <c r="E14" s="15">
        <v>0</v>
      </c>
      <c r="F14" s="16">
        <v>6.0299999999999999E-2</v>
      </c>
      <c r="G14" s="105">
        <v>2.09</v>
      </c>
      <c r="H14" s="152">
        <f>G14*H5/I14/1000</f>
        <v>203.39113666666663</v>
      </c>
      <c r="I14" s="96">
        <v>12</v>
      </c>
      <c r="J14" s="52">
        <v>5</v>
      </c>
      <c r="K14" s="1" t="s">
        <v>153</v>
      </c>
      <c r="L14" s="62">
        <f>Produksi!D15</f>
        <v>27</v>
      </c>
      <c r="M14" s="62">
        <f>Produksi!E15</f>
        <v>10</v>
      </c>
      <c r="N14" s="62">
        <f>Produksi!G15</f>
        <v>153</v>
      </c>
      <c r="O14" s="76"/>
      <c r="P14" s="76"/>
      <c r="Q14" s="50">
        <v>0</v>
      </c>
      <c r="R14" s="155">
        <f t="shared" si="0"/>
        <v>159.16589999999999</v>
      </c>
      <c r="S14" s="53">
        <f t="shared" si="1"/>
        <v>203.39113666666663</v>
      </c>
      <c r="T14" s="52">
        <v>5</v>
      </c>
      <c r="U14" s="1" t="s">
        <v>153</v>
      </c>
      <c r="V14" s="62">
        <f>Produksi!N15</f>
        <v>36</v>
      </c>
      <c r="W14" s="62">
        <f>Produksi!O15</f>
        <v>44</v>
      </c>
      <c r="X14" s="62">
        <f>Produksi!Q15</f>
        <v>672</v>
      </c>
      <c r="Y14" s="76"/>
      <c r="Z14" s="76"/>
      <c r="AA14" s="50">
        <v>0</v>
      </c>
      <c r="AB14" s="74">
        <f t="shared" si="13"/>
        <v>671.91970000000003</v>
      </c>
      <c r="AC14" s="53">
        <f>'Data Ketersediaan Pangan'!H14</f>
        <v>203.39113666666663</v>
      </c>
      <c r="AD14" s="52">
        <v>5</v>
      </c>
      <c r="AE14" s="1" t="s">
        <v>153</v>
      </c>
      <c r="AF14" s="62">
        <f>Produksi!X15</f>
        <v>7</v>
      </c>
      <c r="AG14" s="62">
        <f>Produksi!Y15</f>
        <v>20</v>
      </c>
      <c r="AH14" s="62">
        <f>Produksi!AA15</f>
        <v>307</v>
      </c>
      <c r="AI14" s="76"/>
      <c r="AJ14" s="76"/>
      <c r="AK14" s="50">
        <v>0</v>
      </c>
      <c r="AL14" s="182">
        <f t="shared" si="14"/>
        <v>306.91969999999998</v>
      </c>
      <c r="AM14" s="53">
        <f t="shared" si="2"/>
        <v>203.39113666666663</v>
      </c>
      <c r="AN14" s="52">
        <v>5</v>
      </c>
      <c r="AO14" s="1" t="s">
        <v>153</v>
      </c>
      <c r="AP14" s="62">
        <f>Produksi!AH15</f>
        <v>14</v>
      </c>
      <c r="AQ14" s="62">
        <f>Produksi!AI15</f>
        <v>53</v>
      </c>
      <c r="AR14" s="62">
        <f>Produksi!AK15</f>
        <v>818</v>
      </c>
      <c r="AS14" s="76"/>
      <c r="AT14" s="76"/>
      <c r="AU14" s="50">
        <f>Produksi!AJ15</f>
        <v>0</v>
      </c>
      <c r="AV14" s="182">
        <f t="shared" si="15"/>
        <v>817.91970000000003</v>
      </c>
      <c r="AW14" s="53">
        <f>'Data Ketersediaan Pangan'!H14</f>
        <v>203.39113666666663</v>
      </c>
      <c r="AX14" s="52">
        <v>5</v>
      </c>
      <c r="AY14" s="1" t="s">
        <v>153</v>
      </c>
      <c r="AZ14" s="62">
        <f>Produksi!AR15</f>
        <v>16</v>
      </c>
      <c r="BA14" s="62">
        <f>Produksi!AS15</f>
        <v>24</v>
      </c>
      <c r="BB14" s="62">
        <f>Produksi!AU15</f>
        <v>368</v>
      </c>
      <c r="BC14" s="76"/>
      <c r="BD14" s="76"/>
      <c r="BE14" s="50">
        <v>0</v>
      </c>
      <c r="BF14" s="182">
        <f t="shared" si="16"/>
        <v>367.91969999999998</v>
      </c>
      <c r="BG14" s="53">
        <f t="shared" si="3"/>
        <v>203.39113666666663</v>
      </c>
      <c r="BH14" s="52">
        <v>5</v>
      </c>
      <c r="BI14" s="1" t="s">
        <v>153</v>
      </c>
      <c r="BJ14" s="62">
        <f>Produksi!BB15</f>
        <v>48</v>
      </c>
      <c r="BK14" s="62">
        <f>Produksi!BC15</f>
        <v>7</v>
      </c>
      <c r="BL14" s="62">
        <f>Produksi!BE15</f>
        <v>123</v>
      </c>
      <c r="BM14" s="76"/>
      <c r="BN14" s="76"/>
      <c r="BO14" s="50">
        <v>0</v>
      </c>
      <c r="BP14" s="182">
        <f t="shared" si="17"/>
        <v>122.91970000000001</v>
      </c>
      <c r="BQ14" s="53">
        <f>'Data Ketersediaan Pangan'!H14</f>
        <v>203.39113666666663</v>
      </c>
      <c r="BR14" s="52">
        <v>5</v>
      </c>
      <c r="BS14" s="1" t="s">
        <v>153</v>
      </c>
      <c r="BT14" s="62">
        <f>Produksi!BL15</f>
        <v>100</v>
      </c>
      <c r="BU14" s="62">
        <f>Produksi!BM15</f>
        <v>14</v>
      </c>
      <c r="BV14" s="62">
        <f>Produksi!BO15</f>
        <v>215</v>
      </c>
      <c r="BW14" s="76"/>
      <c r="BX14" s="76"/>
      <c r="BY14" s="50">
        <v>0</v>
      </c>
      <c r="BZ14" s="182">
        <f t="shared" si="18"/>
        <v>214.91970000000001</v>
      </c>
      <c r="CA14" s="53">
        <f>'Data Ketersediaan Pangan'!H14</f>
        <v>203.39113666666663</v>
      </c>
      <c r="CB14" s="52">
        <v>5</v>
      </c>
      <c r="CC14" s="1" t="s">
        <v>153</v>
      </c>
      <c r="CD14" s="62">
        <f>Produksi!BV15</f>
        <v>57</v>
      </c>
      <c r="CE14" s="62">
        <f>Produksi!BW15</f>
        <v>28</v>
      </c>
      <c r="CF14" s="62">
        <f>Produksi!BY15</f>
        <v>427</v>
      </c>
      <c r="CG14" s="76"/>
      <c r="CH14" s="76"/>
      <c r="CI14" s="50">
        <v>0</v>
      </c>
      <c r="CJ14" s="182">
        <f t="shared" si="19"/>
        <v>426.91969999999998</v>
      </c>
      <c r="CK14" s="53">
        <f t="shared" si="4"/>
        <v>203.39113666666663</v>
      </c>
      <c r="CL14" s="52">
        <v>5</v>
      </c>
      <c r="CM14" s="1" t="s">
        <v>153</v>
      </c>
      <c r="CN14" s="62">
        <f>Produksi!CF15</f>
        <v>36</v>
      </c>
      <c r="CO14" s="62">
        <f>Produksi!CG15</f>
        <v>33</v>
      </c>
      <c r="CP14" s="62">
        <f>Produksi!CI15</f>
        <v>507</v>
      </c>
      <c r="CQ14" s="76"/>
      <c r="CR14" s="76"/>
      <c r="CS14" s="50">
        <v>0</v>
      </c>
      <c r="CT14" s="182">
        <f t="shared" si="20"/>
        <v>506.91969999999998</v>
      </c>
      <c r="CU14" s="53">
        <f t="shared" si="5"/>
        <v>203.39113666666663</v>
      </c>
      <c r="CV14" s="52">
        <v>5</v>
      </c>
      <c r="CW14" s="1" t="s">
        <v>153</v>
      </c>
      <c r="CX14" s="62">
        <f>Produksi!CP15</f>
        <v>28</v>
      </c>
      <c r="CY14" s="62">
        <f>Produksi!CQ15</f>
        <v>67</v>
      </c>
      <c r="CZ14" s="62">
        <f>Produksi!CS15</f>
        <v>1028</v>
      </c>
      <c r="DA14" s="76"/>
      <c r="DB14" s="76"/>
      <c r="DC14" s="50">
        <v>0</v>
      </c>
      <c r="DD14" s="182">
        <f t="shared" si="21"/>
        <v>1027.9196999999999</v>
      </c>
      <c r="DE14" s="53">
        <f t="shared" si="6"/>
        <v>203.39113666666663</v>
      </c>
      <c r="DF14" s="52">
        <v>5</v>
      </c>
      <c r="DG14" s="1" t="s">
        <v>153</v>
      </c>
      <c r="DH14" s="62">
        <f>Produksi!CZ15</f>
        <v>12</v>
      </c>
      <c r="DI14" s="62">
        <f>Produksi!DA15</f>
        <v>44</v>
      </c>
      <c r="DJ14" s="62">
        <f>Produksi!DC15</f>
        <v>677</v>
      </c>
      <c r="DK14" s="76"/>
      <c r="DL14" s="76"/>
      <c r="DM14" s="50">
        <v>0</v>
      </c>
      <c r="DN14" s="182">
        <f t="shared" si="22"/>
        <v>676.91970000000003</v>
      </c>
      <c r="DO14" s="53">
        <f t="shared" si="7"/>
        <v>203.39113666666663</v>
      </c>
      <c r="DP14" s="52">
        <v>5</v>
      </c>
      <c r="DQ14" s="1" t="s">
        <v>153</v>
      </c>
      <c r="DR14" s="62">
        <f>Produksi!DJ15</f>
        <v>14</v>
      </c>
      <c r="DS14" s="62">
        <f>Produksi!DK15</f>
        <v>77</v>
      </c>
      <c r="DT14" s="62">
        <f>Produksi!DM15</f>
        <v>1205</v>
      </c>
      <c r="DU14" s="76"/>
      <c r="DV14" s="76"/>
      <c r="DW14" s="50"/>
      <c r="DX14" s="182">
        <f t="shared" si="23"/>
        <v>1204.9196999999999</v>
      </c>
      <c r="DY14" s="53">
        <f t="shared" si="8"/>
        <v>203.39113666666663</v>
      </c>
      <c r="DZ14" s="52">
        <v>5</v>
      </c>
      <c r="EA14" s="1" t="s">
        <v>153</v>
      </c>
      <c r="EB14" s="50">
        <f t="shared" si="9"/>
        <v>395</v>
      </c>
      <c r="EC14" s="50">
        <f t="shared" si="10"/>
        <v>421</v>
      </c>
      <c r="ED14" s="50">
        <f t="shared" si="24"/>
        <v>5828</v>
      </c>
      <c r="EE14" s="76"/>
      <c r="EF14" s="76"/>
      <c r="EG14" s="50">
        <f t="shared" si="11"/>
        <v>0</v>
      </c>
      <c r="EH14" s="74">
        <f t="shared" si="25"/>
        <v>6505.2826000000005</v>
      </c>
      <c r="EI14" s="53">
        <f t="shared" si="26"/>
        <v>2440.6936399999995</v>
      </c>
      <c r="EJ14" s="205">
        <f t="shared" si="12"/>
        <v>4064.588960000001</v>
      </c>
      <c r="EL14" s="160">
        <v>1</v>
      </c>
      <c r="EM14" s="160" t="s">
        <v>234</v>
      </c>
      <c r="EN14" s="161">
        <f>R11</f>
        <v>1883.707999100928</v>
      </c>
      <c r="EO14" s="161">
        <f>AB11</f>
        <v>3605.60524764</v>
      </c>
      <c r="EP14" s="161">
        <f>AL11</f>
        <v>16328.299847640001</v>
      </c>
      <c r="EQ14" s="6">
        <f>AV11</f>
        <v>55678.192847639999</v>
      </c>
      <c r="ER14" s="6">
        <f>BF11</f>
        <v>42843.46324764</v>
      </c>
      <c r="ES14" s="6">
        <f>BP11</f>
        <v>12887.865047640002</v>
      </c>
      <c r="ET14" s="6">
        <f>BZ11</f>
        <v>9543.4602476399996</v>
      </c>
      <c r="EU14" s="6">
        <f>CJ11</f>
        <v>19458.237647640002</v>
      </c>
      <c r="EV14" s="6">
        <f>CT11</f>
        <v>14212.438847640002</v>
      </c>
      <c r="EW14" s="6">
        <f>DD11</f>
        <v>7467.2916476399996</v>
      </c>
      <c r="EX14" s="6">
        <f>DN11</f>
        <v>10519.765247640002</v>
      </c>
      <c r="EY14" s="6">
        <f>DX11</f>
        <v>8455.7604476399993</v>
      </c>
      <c r="EZ14" s="6">
        <f>SUM(EN14:EY14)</f>
        <v>202884.08832314092</v>
      </c>
    </row>
    <row r="15" spans="2:156" ht="20.100000000000001" customHeight="1" x14ac:dyDescent="0.3">
      <c r="B15" s="13">
        <v>0</v>
      </c>
      <c r="C15" s="14">
        <v>0</v>
      </c>
      <c r="D15" s="15">
        <v>8.5099999999999995E-2</v>
      </c>
      <c r="E15" s="15">
        <v>0</v>
      </c>
      <c r="F15" s="16">
        <v>3.8399999999999997E-2</v>
      </c>
      <c r="G15" s="105">
        <v>0.08</v>
      </c>
      <c r="H15" s="152">
        <f>G15*H5/I15/1000</f>
        <v>7.785306666666667</v>
      </c>
      <c r="I15" s="96">
        <v>12</v>
      </c>
      <c r="J15" s="52">
        <v>6</v>
      </c>
      <c r="K15" s="1" t="s">
        <v>159</v>
      </c>
      <c r="L15" s="62">
        <f>Produksi!D17</f>
        <v>307</v>
      </c>
      <c r="M15" s="62">
        <f>Produksi!E17</f>
        <v>83</v>
      </c>
      <c r="N15" s="62">
        <f>Produksi!G17</f>
        <v>170</v>
      </c>
      <c r="O15" s="76"/>
      <c r="P15" s="76"/>
      <c r="Q15" s="50">
        <v>0</v>
      </c>
      <c r="R15" s="155">
        <f t="shared" si="0"/>
        <v>190.995</v>
      </c>
      <c r="S15" s="53">
        <f t="shared" si="1"/>
        <v>7.785306666666667</v>
      </c>
      <c r="T15" s="52">
        <v>6</v>
      </c>
      <c r="U15" s="1" t="s">
        <v>159</v>
      </c>
      <c r="V15" s="62">
        <f>Produksi!N17</f>
        <v>21</v>
      </c>
      <c r="W15" s="62">
        <f>Produksi!O17</f>
        <v>25</v>
      </c>
      <c r="X15" s="62">
        <f>Produksi!Q17</f>
        <v>53</v>
      </c>
      <c r="Y15" s="76"/>
      <c r="Z15" s="76"/>
      <c r="AA15" s="50">
        <v>0</v>
      </c>
      <c r="AB15" s="74">
        <f t="shared" si="13"/>
        <v>52.8765</v>
      </c>
      <c r="AC15" s="53">
        <f>'Data Ketersediaan Pangan'!H15</f>
        <v>7.785306666666667</v>
      </c>
      <c r="AD15" s="52">
        <v>6</v>
      </c>
      <c r="AE15" s="1" t="s">
        <v>159</v>
      </c>
      <c r="AF15" s="62">
        <f>Produksi!X17</f>
        <v>34</v>
      </c>
      <c r="AG15" s="62">
        <f>Produksi!Y17</f>
        <v>113</v>
      </c>
      <c r="AH15" s="62">
        <f>Produksi!AA17</f>
        <v>241</v>
      </c>
      <c r="AI15" s="76"/>
      <c r="AJ15" s="76"/>
      <c r="AK15" s="50">
        <v>0</v>
      </c>
      <c r="AL15" s="182">
        <f t="shared" si="14"/>
        <v>240.87649999999999</v>
      </c>
      <c r="AM15" s="53">
        <f t="shared" si="2"/>
        <v>7.785306666666667</v>
      </c>
      <c r="AN15" s="52">
        <v>6</v>
      </c>
      <c r="AO15" s="1" t="s">
        <v>159</v>
      </c>
      <c r="AP15" s="62">
        <f>Produksi!AH17</f>
        <v>151</v>
      </c>
      <c r="AQ15" s="62">
        <f>Produksi!AI17</f>
        <v>245</v>
      </c>
      <c r="AR15" s="62">
        <f>Produksi!AK17</f>
        <v>528</v>
      </c>
      <c r="AS15" s="76"/>
      <c r="AT15" s="76"/>
      <c r="AU15" s="50">
        <f>Produksi!AJ17</f>
        <v>0</v>
      </c>
      <c r="AV15" s="182">
        <f t="shared" si="15"/>
        <v>527.87649999999996</v>
      </c>
      <c r="AW15" s="53">
        <f>'Data Ketersediaan Pangan'!H15</f>
        <v>7.785306666666667</v>
      </c>
      <c r="AX15" s="52">
        <v>6</v>
      </c>
      <c r="AY15" s="1" t="s">
        <v>159</v>
      </c>
      <c r="AZ15" s="62">
        <f>Produksi!AR17</f>
        <v>152</v>
      </c>
      <c r="BA15" s="62">
        <f>Produksi!AS17</f>
        <v>53</v>
      </c>
      <c r="BB15" s="62">
        <f>Produksi!AU17</f>
        <v>112</v>
      </c>
      <c r="BC15" s="76"/>
      <c r="BD15" s="76"/>
      <c r="BE15" s="50">
        <v>0</v>
      </c>
      <c r="BF15" s="182">
        <f t="shared" si="16"/>
        <v>111.87649999999999</v>
      </c>
      <c r="BG15" s="53">
        <f t="shared" si="3"/>
        <v>7.785306666666667</v>
      </c>
      <c r="BH15" s="52">
        <v>6</v>
      </c>
      <c r="BI15" s="1" t="s">
        <v>159</v>
      </c>
      <c r="BJ15" s="62">
        <f>Produksi!BB17</f>
        <v>172</v>
      </c>
      <c r="BK15" s="62">
        <f>Produksi!BC17</f>
        <v>48</v>
      </c>
      <c r="BL15" s="62">
        <f>Produksi!BE17</f>
        <v>103</v>
      </c>
      <c r="BM15" s="76"/>
      <c r="BN15" s="76"/>
      <c r="BO15" s="50">
        <v>0</v>
      </c>
      <c r="BP15" s="182">
        <f t="shared" si="17"/>
        <v>102.87649999999999</v>
      </c>
      <c r="BQ15" s="53">
        <f>'Data Ketersediaan Pangan'!H15</f>
        <v>7.785306666666667</v>
      </c>
      <c r="BR15" s="52">
        <v>6</v>
      </c>
      <c r="BS15" s="1" t="s">
        <v>159</v>
      </c>
      <c r="BT15" s="62">
        <f>Produksi!BL17</f>
        <v>55</v>
      </c>
      <c r="BU15" s="62">
        <f>Produksi!BM17</f>
        <v>22</v>
      </c>
      <c r="BV15" s="62">
        <f>Produksi!BO17</f>
        <v>47</v>
      </c>
      <c r="BW15" s="76"/>
      <c r="BX15" s="76"/>
      <c r="BY15" s="50">
        <v>0</v>
      </c>
      <c r="BZ15" s="182">
        <f t="shared" si="18"/>
        <v>46.8765</v>
      </c>
      <c r="CA15" s="53">
        <f>'Data Ketersediaan Pangan'!H15</f>
        <v>7.785306666666667</v>
      </c>
      <c r="CB15" s="52">
        <v>6</v>
      </c>
      <c r="CC15" s="1" t="s">
        <v>159</v>
      </c>
      <c r="CD15" s="62">
        <f>Produksi!BV17</f>
        <v>106</v>
      </c>
      <c r="CE15" s="62">
        <f>Produksi!BW17</f>
        <v>256</v>
      </c>
      <c r="CF15" s="62">
        <f>Produksi!BY17</f>
        <v>539</v>
      </c>
      <c r="CG15" s="76"/>
      <c r="CH15" s="76"/>
      <c r="CI15" s="50">
        <v>0</v>
      </c>
      <c r="CJ15" s="182">
        <f t="shared" si="19"/>
        <v>538.87649999999996</v>
      </c>
      <c r="CK15" s="53">
        <f t="shared" si="4"/>
        <v>7.785306666666667</v>
      </c>
      <c r="CL15" s="52">
        <v>6</v>
      </c>
      <c r="CM15" s="1" t="s">
        <v>159</v>
      </c>
      <c r="CN15" s="62">
        <f>Produksi!CF17</f>
        <v>47</v>
      </c>
      <c r="CO15" s="62">
        <f>Produksi!CG17</f>
        <v>146</v>
      </c>
      <c r="CP15" s="62">
        <f>Produksi!CI17</f>
        <v>303</v>
      </c>
      <c r="CQ15" s="76"/>
      <c r="CR15" s="76"/>
      <c r="CS15" s="50">
        <v>0</v>
      </c>
      <c r="CT15" s="182">
        <f t="shared" si="20"/>
        <v>302.87650000000002</v>
      </c>
      <c r="CU15" s="53">
        <f t="shared" si="5"/>
        <v>7.785306666666667</v>
      </c>
      <c r="CV15" s="52">
        <v>6</v>
      </c>
      <c r="CW15" s="1" t="s">
        <v>159</v>
      </c>
      <c r="CX15" s="62">
        <f>Produksi!CP17</f>
        <v>264</v>
      </c>
      <c r="CY15" s="62">
        <f>Produksi!CQ17</f>
        <v>125</v>
      </c>
      <c r="CZ15" s="62">
        <f>Produksi!CS17</f>
        <v>259</v>
      </c>
      <c r="DA15" s="76"/>
      <c r="DB15" s="76"/>
      <c r="DC15" s="50">
        <v>0</v>
      </c>
      <c r="DD15" s="182">
        <f t="shared" si="21"/>
        <v>258.87650000000002</v>
      </c>
      <c r="DE15" s="53">
        <f t="shared" si="6"/>
        <v>7.785306666666667</v>
      </c>
      <c r="DF15" s="52">
        <v>6</v>
      </c>
      <c r="DG15" s="1" t="s">
        <v>159</v>
      </c>
      <c r="DH15" s="62">
        <f>Produksi!CZ17</f>
        <v>31</v>
      </c>
      <c r="DI15" s="62">
        <f>Produksi!DA17</f>
        <v>52</v>
      </c>
      <c r="DJ15" s="62">
        <f>Produksi!DC17</f>
        <v>108</v>
      </c>
      <c r="DK15" s="76"/>
      <c r="DL15" s="76"/>
      <c r="DM15" s="50">
        <v>0</v>
      </c>
      <c r="DN15" s="182">
        <f t="shared" si="22"/>
        <v>107.87649999999999</v>
      </c>
      <c r="DO15" s="53">
        <f t="shared" si="7"/>
        <v>7.785306666666667</v>
      </c>
      <c r="DP15" s="52">
        <v>6</v>
      </c>
      <c r="DQ15" s="1" t="s">
        <v>159</v>
      </c>
      <c r="DR15" s="62">
        <f>Produksi!DJ17</f>
        <v>36</v>
      </c>
      <c r="DS15" s="62">
        <f>Produksi!DK17</f>
        <v>54</v>
      </c>
      <c r="DT15" s="62">
        <f>Produksi!DM17</f>
        <v>114</v>
      </c>
      <c r="DU15" s="76"/>
      <c r="DV15" s="76"/>
      <c r="DW15" s="50"/>
      <c r="DX15" s="182">
        <f t="shared" si="23"/>
        <v>113.87649999999999</v>
      </c>
      <c r="DY15" s="53">
        <f t="shared" si="8"/>
        <v>7.785306666666667</v>
      </c>
      <c r="DZ15" s="52">
        <v>6</v>
      </c>
      <c r="EA15" s="1" t="s">
        <v>159</v>
      </c>
      <c r="EB15" s="50">
        <f t="shared" si="9"/>
        <v>1376</v>
      </c>
      <c r="EC15" s="50">
        <f t="shared" si="10"/>
        <v>1222</v>
      </c>
      <c r="ED15" s="50">
        <f t="shared" si="24"/>
        <v>2524</v>
      </c>
      <c r="EE15" s="76"/>
      <c r="EF15" s="76"/>
      <c r="EG15" s="50">
        <f t="shared" si="11"/>
        <v>0</v>
      </c>
      <c r="EH15" s="74">
        <f t="shared" si="25"/>
        <v>2596.6364999999996</v>
      </c>
      <c r="EI15" s="53">
        <f t="shared" si="26"/>
        <v>93.423680000000033</v>
      </c>
      <c r="EJ15" s="205">
        <f t="shared" si="12"/>
        <v>2503.2128199999997</v>
      </c>
      <c r="EL15" s="160">
        <v>2</v>
      </c>
      <c r="EM15" s="160" t="s">
        <v>235</v>
      </c>
      <c r="EN15" s="161">
        <f>R12</f>
        <v>23190.93</v>
      </c>
      <c r="EO15" s="161">
        <f>AB12</f>
        <v>11613.868399999999</v>
      </c>
      <c r="EP15" s="161">
        <f>AL12</f>
        <v>45103.868399999999</v>
      </c>
      <c r="EQ15" s="6">
        <f>AV12</f>
        <v>68310.868400000007</v>
      </c>
      <c r="ER15" s="6">
        <f>BF12</f>
        <v>13226.868399999999</v>
      </c>
      <c r="ES15" s="6">
        <f>BP12</f>
        <v>5692.8684000000003</v>
      </c>
      <c r="ET15" s="6">
        <f>BZ12</f>
        <v>17831.868399999999</v>
      </c>
      <c r="EU15" s="6">
        <f>CJ12</f>
        <v>31810.868399999999</v>
      </c>
      <c r="EV15" s="6">
        <f>CT12</f>
        <v>30154.868399999999</v>
      </c>
      <c r="EW15" s="6">
        <f>DD12</f>
        <v>25388.868399999999</v>
      </c>
      <c r="EX15" s="6">
        <f>DN12</f>
        <v>19657.868399999999</v>
      </c>
      <c r="EY15" s="6">
        <f>DX12</f>
        <v>51175.868399999999</v>
      </c>
      <c r="EZ15" s="6">
        <f t="shared" ref="EZ15:EZ20" si="27">SUM(EN15:EY15)</f>
        <v>343159.48239999998</v>
      </c>
    </row>
    <row r="16" spans="2:156" ht="20.100000000000001" customHeight="1" x14ac:dyDescent="0.3">
      <c r="B16" s="13">
        <v>3.3999999999999998E-3</v>
      </c>
      <c r="C16" s="14">
        <v>0</v>
      </c>
      <c r="D16" s="15">
        <v>0</v>
      </c>
      <c r="E16" s="15">
        <v>0</v>
      </c>
      <c r="F16" s="16">
        <v>0.05</v>
      </c>
      <c r="G16" s="106">
        <v>0.02</v>
      </c>
      <c r="H16" s="152">
        <f>G16*H5/I16/1000</f>
        <v>1.9463266666666668</v>
      </c>
      <c r="I16" s="96">
        <v>12</v>
      </c>
      <c r="J16" s="52">
        <v>7</v>
      </c>
      <c r="K16" s="1" t="s">
        <v>21</v>
      </c>
      <c r="L16" s="62">
        <f>Produksi!D18</f>
        <v>0</v>
      </c>
      <c r="M16" s="62">
        <f>Produksi!E18</f>
        <v>1</v>
      </c>
      <c r="N16" s="62">
        <f>Produksi!G18</f>
        <v>1</v>
      </c>
      <c r="O16" s="76"/>
      <c r="P16" s="76"/>
      <c r="Q16" s="50">
        <v>0</v>
      </c>
      <c r="R16" s="155">
        <f t="shared" si="0"/>
        <v>1.0466</v>
      </c>
      <c r="S16" s="53">
        <f t="shared" si="1"/>
        <v>1.9463266666666668</v>
      </c>
      <c r="T16" s="52">
        <v>7</v>
      </c>
      <c r="U16" s="1" t="s">
        <v>21</v>
      </c>
      <c r="V16" s="62">
        <f>Produksi!N18</f>
        <v>0</v>
      </c>
      <c r="W16" s="62">
        <f>Produksi!O18</f>
        <v>0</v>
      </c>
      <c r="X16" s="62">
        <f>Produksi!Q18</f>
        <v>0</v>
      </c>
      <c r="Y16" s="76"/>
      <c r="Z16" s="76"/>
      <c r="AA16" s="50">
        <v>0</v>
      </c>
      <c r="AB16" s="74">
        <f t="shared" si="13"/>
        <v>-5.3400000000000003E-2</v>
      </c>
      <c r="AC16" s="53">
        <f>'Data Ketersediaan Pangan'!H16</f>
        <v>1.9463266666666668</v>
      </c>
      <c r="AD16" s="52">
        <v>7</v>
      </c>
      <c r="AE16" s="1" t="s">
        <v>21</v>
      </c>
      <c r="AF16" s="62">
        <f>Produksi!X18</f>
        <v>2997</v>
      </c>
      <c r="AG16" s="62">
        <f>Produksi!Y18</f>
        <v>0</v>
      </c>
      <c r="AH16" s="62">
        <f>Produksi!AA18</f>
        <v>0</v>
      </c>
      <c r="AI16" s="76"/>
      <c r="AJ16" s="76"/>
      <c r="AK16" s="50">
        <v>0</v>
      </c>
      <c r="AL16" s="182">
        <f t="shared" si="14"/>
        <v>-5.3400000000000003E-2</v>
      </c>
      <c r="AM16" s="53">
        <f t="shared" si="2"/>
        <v>1.9463266666666668</v>
      </c>
      <c r="AN16" s="52">
        <v>7</v>
      </c>
      <c r="AO16" s="1" t="s">
        <v>21</v>
      </c>
      <c r="AP16" s="62">
        <f>Produksi!AH18</f>
        <v>1574</v>
      </c>
      <c r="AQ16" s="62">
        <f>Produksi!AI18</f>
        <v>0</v>
      </c>
      <c r="AR16" s="62">
        <f>Produksi!AK18</f>
        <v>0</v>
      </c>
      <c r="AS16" s="76"/>
      <c r="AT16" s="76"/>
      <c r="AU16" s="50">
        <f>Produksi!AJ18</f>
        <v>0</v>
      </c>
      <c r="AV16" s="182">
        <f t="shared" si="15"/>
        <v>-5.3400000000000003E-2</v>
      </c>
      <c r="AW16" s="53">
        <f>'Data Ketersediaan Pangan'!H16</f>
        <v>1.9463266666666668</v>
      </c>
      <c r="AX16" s="52">
        <v>7</v>
      </c>
      <c r="AY16" s="1" t="s">
        <v>21</v>
      </c>
      <c r="AZ16" s="62">
        <f>Produksi!AR18</f>
        <v>0</v>
      </c>
      <c r="BA16" s="62">
        <f>Produksi!AS18</f>
        <v>0</v>
      </c>
      <c r="BB16" s="62">
        <f>Produksi!AU18</f>
        <v>0</v>
      </c>
      <c r="BC16" s="76"/>
      <c r="BD16" s="76"/>
      <c r="BE16" s="50">
        <v>0</v>
      </c>
      <c r="BF16" s="182">
        <f t="shared" si="16"/>
        <v>-5.3400000000000003E-2</v>
      </c>
      <c r="BG16" s="53">
        <f t="shared" si="3"/>
        <v>1.9463266666666668</v>
      </c>
      <c r="BH16" s="52">
        <v>7</v>
      </c>
      <c r="BI16" s="1" t="s">
        <v>21</v>
      </c>
      <c r="BJ16" s="62">
        <f>Produksi!BB18</f>
        <v>0</v>
      </c>
      <c r="BK16" s="62">
        <f>Produksi!BC18</f>
        <v>3077</v>
      </c>
      <c r="BL16" s="62">
        <f>Produksi!BE18</f>
        <v>4215</v>
      </c>
      <c r="BM16" s="76"/>
      <c r="BN16" s="76"/>
      <c r="BO16" s="50">
        <v>0</v>
      </c>
      <c r="BP16" s="182">
        <f t="shared" si="17"/>
        <v>4214.9466000000002</v>
      </c>
      <c r="BQ16" s="53">
        <f>'Data Ketersediaan Pangan'!H16</f>
        <v>1.9463266666666668</v>
      </c>
      <c r="BR16" s="52">
        <v>7</v>
      </c>
      <c r="BS16" s="1" t="s">
        <v>21</v>
      </c>
      <c r="BT16" s="62">
        <f>Produksi!BL18</f>
        <v>0</v>
      </c>
      <c r="BU16" s="62">
        <f>Produksi!BM18</f>
        <v>1494</v>
      </c>
      <c r="BV16" s="62">
        <f>Produksi!BO18</f>
        <v>2047</v>
      </c>
      <c r="BW16" s="76"/>
      <c r="BX16" s="76"/>
      <c r="BY16" s="50">
        <v>0</v>
      </c>
      <c r="BZ16" s="182">
        <f t="shared" si="18"/>
        <v>2046.9466</v>
      </c>
      <c r="CA16" s="53">
        <f>'Data Ketersediaan Pangan'!H16</f>
        <v>1.9463266666666668</v>
      </c>
      <c r="CB16" s="52">
        <v>7</v>
      </c>
      <c r="CC16" s="1" t="s">
        <v>21</v>
      </c>
      <c r="CD16" s="62">
        <f>Produksi!BV18</f>
        <v>0</v>
      </c>
      <c r="CE16" s="62">
        <f>Produksi!BW18</f>
        <v>0</v>
      </c>
      <c r="CF16" s="62">
        <f>Produksi!BY18</f>
        <v>0</v>
      </c>
      <c r="CG16" s="76"/>
      <c r="CH16" s="76"/>
      <c r="CI16" s="50">
        <v>0</v>
      </c>
      <c r="CJ16" s="182">
        <f t="shared" si="19"/>
        <v>-5.3400000000000003E-2</v>
      </c>
      <c r="CK16" s="53">
        <f t="shared" si="4"/>
        <v>1.9463266666666668</v>
      </c>
      <c r="CL16" s="52">
        <v>7</v>
      </c>
      <c r="CM16" s="1" t="s">
        <v>21</v>
      </c>
      <c r="CN16" s="62">
        <f>Produksi!CF18</f>
        <v>0</v>
      </c>
      <c r="CO16" s="62">
        <f>Produksi!CG18</f>
        <v>0</v>
      </c>
      <c r="CP16" s="62">
        <f>Produksi!CI18</f>
        <v>0</v>
      </c>
      <c r="CQ16" s="76"/>
      <c r="CR16" s="76"/>
      <c r="CS16" s="50">
        <v>0</v>
      </c>
      <c r="CT16" s="182">
        <f t="shared" si="20"/>
        <v>-5.3400000000000003E-2</v>
      </c>
      <c r="CU16" s="53">
        <f t="shared" si="5"/>
        <v>1.9463266666666668</v>
      </c>
      <c r="CV16" s="52">
        <v>7</v>
      </c>
      <c r="CW16" s="1" t="s">
        <v>21</v>
      </c>
      <c r="CX16" s="62">
        <f>Produksi!CP18</f>
        <v>0</v>
      </c>
      <c r="CY16" s="62">
        <f>Produksi!CQ18</f>
        <v>0</v>
      </c>
      <c r="CZ16" s="62">
        <f>Produksi!CS18</f>
        <v>0</v>
      </c>
      <c r="DA16" s="76"/>
      <c r="DB16" s="76"/>
      <c r="DC16" s="50">
        <v>0</v>
      </c>
      <c r="DD16" s="182">
        <f t="shared" si="21"/>
        <v>-5.3400000000000003E-2</v>
      </c>
      <c r="DE16" s="53">
        <f t="shared" si="6"/>
        <v>1.9463266666666668</v>
      </c>
      <c r="DF16" s="52">
        <v>7</v>
      </c>
      <c r="DG16" s="1" t="s">
        <v>21</v>
      </c>
      <c r="DH16" s="62">
        <f>Produksi!CZ18</f>
        <v>0</v>
      </c>
      <c r="DI16" s="62">
        <f>Produksi!DA18</f>
        <v>0</v>
      </c>
      <c r="DJ16" s="62">
        <f>Produksi!DC18</f>
        <v>0</v>
      </c>
      <c r="DK16" s="76"/>
      <c r="DL16" s="76"/>
      <c r="DM16" s="50">
        <v>0</v>
      </c>
      <c r="DN16" s="182">
        <f t="shared" si="22"/>
        <v>-5.3400000000000003E-2</v>
      </c>
      <c r="DO16" s="53">
        <f t="shared" si="7"/>
        <v>1.9463266666666668</v>
      </c>
      <c r="DP16" s="52">
        <v>7</v>
      </c>
      <c r="DQ16" s="1" t="s">
        <v>21</v>
      </c>
      <c r="DR16" s="62">
        <f>Produksi!DJ18</f>
        <v>0</v>
      </c>
      <c r="DS16" s="62">
        <f>Produksi!DK18</f>
        <v>0</v>
      </c>
      <c r="DT16" s="62">
        <f>Produksi!DM18</f>
        <v>0</v>
      </c>
      <c r="DU16" s="76"/>
      <c r="DV16" s="76"/>
      <c r="DW16" s="50"/>
      <c r="DX16" s="182">
        <f t="shared" si="23"/>
        <v>-5.3400000000000003E-2</v>
      </c>
      <c r="DY16" s="53">
        <f t="shared" si="8"/>
        <v>1.9463266666666668</v>
      </c>
      <c r="DZ16" s="52">
        <v>7</v>
      </c>
      <c r="EA16" s="1" t="s">
        <v>21</v>
      </c>
      <c r="EB16" s="50">
        <f t="shared" si="9"/>
        <v>4571</v>
      </c>
      <c r="EC16" s="50">
        <f t="shared" si="10"/>
        <v>4572</v>
      </c>
      <c r="ED16" s="50">
        <f t="shared" si="24"/>
        <v>6263</v>
      </c>
      <c r="EE16" s="76"/>
      <c r="EF16" s="76"/>
      <c r="EG16" s="50">
        <f t="shared" si="11"/>
        <v>0</v>
      </c>
      <c r="EH16" s="74">
        <f t="shared" si="25"/>
        <v>6262.4592000000011</v>
      </c>
      <c r="EI16" s="53">
        <f t="shared" si="26"/>
        <v>23.355920000000008</v>
      </c>
      <c r="EJ16" s="205">
        <f t="shared" si="12"/>
        <v>6239.1032800000012</v>
      </c>
      <c r="EL16" s="160">
        <v>3</v>
      </c>
      <c r="EM16" s="160" t="s">
        <v>236</v>
      </c>
      <c r="EN16" s="161">
        <f>R18</f>
        <v>171.77680000000001</v>
      </c>
      <c r="EO16" s="161">
        <f>AB18</f>
        <v>72.965199999999996</v>
      </c>
      <c r="EP16" s="161">
        <f>AL18</f>
        <v>334.96519999999998</v>
      </c>
      <c r="EQ16" s="6">
        <f>AV18</f>
        <v>90.965199999999996</v>
      </c>
      <c r="ER16" s="6">
        <f>BF18</f>
        <v>179.46520000000001</v>
      </c>
      <c r="ES16" s="6">
        <f>BP18</f>
        <v>220.36520000000002</v>
      </c>
      <c r="ET16" s="6">
        <f>BZ18</f>
        <v>19.965199999999999</v>
      </c>
      <c r="EU16" s="6">
        <f>CJ18</f>
        <v>131.46520000000001</v>
      </c>
      <c r="EV16" s="6">
        <f>CT18</f>
        <v>61.565200000000004</v>
      </c>
      <c r="EW16" s="6">
        <f>DD18</f>
        <v>225.5652</v>
      </c>
      <c r="EX16" s="6">
        <f>DN18</f>
        <v>627.96519999999998</v>
      </c>
      <c r="EY16" s="6">
        <f>DX18</f>
        <v>534.5652</v>
      </c>
      <c r="EZ16" s="6">
        <f t="shared" si="27"/>
        <v>2671.5940000000001</v>
      </c>
    </row>
    <row r="17" spans="1:165" ht="20.100000000000001" customHeight="1" x14ac:dyDescent="0.3">
      <c r="B17" s="13">
        <v>0</v>
      </c>
      <c r="C17" s="97">
        <v>0</v>
      </c>
      <c r="D17" s="15">
        <v>0</v>
      </c>
      <c r="E17" s="15">
        <v>0</v>
      </c>
      <c r="F17" s="16">
        <v>0</v>
      </c>
      <c r="G17" s="105">
        <v>111.4</v>
      </c>
      <c r="H17" s="152">
        <f>G17*H5/I17/1000</f>
        <v>10841.039533333333</v>
      </c>
      <c r="I17" s="96">
        <v>12</v>
      </c>
      <c r="J17" s="52">
        <v>8</v>
      </c>
      <c r="K17" s="54" t="s">
        <v>154</v>
      </c>
      <c r="L17" s="50">
        <f>Produksi!D20</f>
        <v>6939</v>
      </c>
      <c r="M17" s="50">
        <f>Produksi!E20</f>
        <v>23108</v>
      </c>
      <c r="N17" s="50">
        <f>Produksi!G20</f>
        <v>16023.400000000001</v>
      </c>
      <c r="O17" s="76"/>
      <c r="P17" s="76"/>
      <c r="Q17" s="50">
        <v>0</v>
      </c>
      <c r="R17" s="155">
        <f t="shared" si="0"/>
        <v>16023.400000000001</v>
      </c>
      <c r="S17" s="53">
        <f t="shared" si="1"/>
        <v>10841.039533333333</v>
      </c>
      <c r="T17" s="52">
        <v>8</v>
      </c>
      <c r="U17" s="54" t="s">
        <v>154</v>
      </c>
      <c r="V17" s="50">
        <f>Produksi!N20</f>
        <v>5626</v>
      </c>
      <c r="W17" s="50">
        <f>Produksi!O20</f>
        <v>23090</v>
      </c>
      <c r="X17" s="50">
        <f>Produksi!Q20</f>
        <v>11418.6</v>
      </c>
      <c r="Y17" s="76"/>
      <c r="Z17" s="76"/>
      <c r="AA17" s="50">
        <v>0</v>
      </c>
      <c r="AB17" s="74">
        <f t="shared" si="13"/>
        <v>11418.6</v>
      </c>
      <c r="AC17" s="53">
        <f>'Data Ketersediaan Pangan'!H17</f>
        <v>10841.039533333333</v>
      </c>
      <c r="AD17" s="52">
        <v>8</v>
      </c>
      <c r="AE17" s="54" t="s">
        <v>154</v>
      </c>
      <c r="AF17" s="50">
        <f>Produksi!X20</f>
        <v>2213</v>
      </c>
      <c r="AG17" s="50">
        <f>Produksi!Y20</f>
        <v>6885</v>
      </c>
      <c r="AH17" s="50">
        <f>Produksi!AA20</f>
        <v>6233.8</v>
      </c>
      <c r="AI17" s="76"/>
      <c r="AJ17" s="76"/>
      <c r="AK17" s="50">
        <v>0</v>
      </c>
      <c r="AL17" s="182">
        <f t="shared" si="14"/>
        <v>6233.8</v>
      </c>
      <c r="AM17" s="53">
        <f t="shared" si="2"/>
        <v>10841.039533333333</v>
      </c>
      <c r="AN17" s="52">
        <v>8</v>
      </c>
      <c r="AO17" s="54" t="s">
        <v>154</v>
      </c>
      <c r="AP17" s="50">
        <f>Produksi!AH20</f>
        <v>844</v>
      </c>
      <c r="AQ17" s="50">
        <f>Produksi!AI20</f>
        <v>4484</v>
      </c>
      <c r="AR17" s="50">
        <f>Produksi!AK20</f>
        <v>8402.7000000000007</v>
      </c>
      <c r="AS17" s="76"/>
      <c r="AT17" s="76"/>
      <c r="AU17" s="50">
        <f>Produksi!AJ20</f>
        <v>0</v>
      </c>
      <c r="AV17" s="182">
        <f t="shared" si="15"/>
        <v>8402.7000000000007</v>
      </c>
      <c r="AW17" s="53">
        <f>'Data Ketersediaan Pangan'!H17</f>
        <v>10841.039533333333</v>
      </c>
      <c r="AX17" s="52">
        <v>8</v>
      </c>
      <c r="AY17" s="54" t="s">
        <v>154</v>
      </c>
      <c r="AZ17" s="50">
        <f>Produksi!AR20</f>
        <v>4420</v>
      </c>
      <c r="BA17" s="50">
        <f>Produksi!AS20</f>
        <v>11544</v>
      </c>
      <c r="BB17" s="50">
        <f>Produksi!AU20</f>
        <v>33773.800000000003</v>
      </c>
      <c r="BC17" s="76"/>
      <c r="BD17" s="76"/>
      <c r="BE17" s="50">
        <v>0</v>
      </c>
      <c r="BF17" s="182">
        <f t="shared" si="16"/>
        <v>33773.800000000003</v>
      </c>
      <c r="BG17" s="53">
        <f t="shared" si="3"/>
        <v>10841.039533333333</v>
      </c>
      <c r="BH17" s="52">
        <v>8</v>
      </c>
      <c r="BI17" s="54" t="s">
        <v>154</v>
      </c>
      <c r="BJ17" s="50">
        <f>Produksi!BB20</f>
        <v>3308</v>
      </c>
      <c r="BK17" s="50">
        <f>Produksi!BC20</f>
        <v>8705</v>
      </c>
      <c r="BL17" s="50">
        <f>Produksi!BE20</f>
        <v>41266.099999999991</v>
      </c>
      <c r="BM17" s="76"/>
      <c r="BN17" s="76"/>
      <c r="BO17" s="50">
        <v>0</v>
      </c>
      <c r="BP17" s="182">
        <f t="shared" si="17"/>
        <v>41266.099999999991</v>
      </c>
      <c r="BQ17" s="53">
        <f>'Data Ketersediaan Pangan'!H17</f>
        <v>10841.039533333333</v>
      </c>
      <c r="BR17" s="52">
        <v>8</v>
      </c>
      <c r="BS17" s="54" t="s">
        <v>154</v>
      </c>
      <c r="BT17" s="50">
        <f>Produksi!BL20</f>
        <v>7129</v>
      </c>
      <c r="BU17" s="50">
        <f>Produksi!BM20</f>
        <v>10760</v>
      </c>
      <c r="BV17" s="50">
        <f>Produksi!BO20</f>
        <v>30479.199999999997</v>
      </c>
      <c r="BW17" s="76"/>
      <c r="BX17" s="76"/>
      <c r="BY17" s="50">
        <v>0</v>
      </c>
      <c r="BZ17" s="182">
        <f t="shared" si="18"/>
        <v>30479.199999999997</v>
      </c>
      <c r="CA17" s="53">
        <f>'Data Ketersediaan Pangan'!H17</f>
        <v>10841.039533333333</v>
      </c>
      <c r="CB17" s="52">
        <v>8</v>
      </c>
      <c r="CC17" s="54" t="s">
        <v>154</v>
      </c>
      <c r="CD17" s="50">
        <f>Produksi!BV20</f>
        <v>5971</v>
      </c>
      <c r="CE17" s="50">
        <f>Produksi!BW20</f>
        <v>15395</v>
      </c>
      <c r="CF17" s="50">
        <f>Produksi!BY20</f>
        <v>49547.7</v>
      </c>
      <c r="CG17" s="76"/>
      <c r="CH17" s="76"/>
      <c r="CI17" s="50">
        <v>0</v>
      </c>
      <c r="CJ17" s="182">
        <f t="shared" si="19"/>
        <v>49547.7</v>
      </c>
      <c r="CK17" s="53">
        <f t="shared" si="4"/>
        <v>10841.039533333333</v>
      </c>
      <c r="CL17" s="52">
        <v>8</v>
      </c>
      <c r="CM17" s="54" t="s">
        <v>154</v>
      </c>
      <c r="CN17" s="50">
        <f>Produksi!CF20</f>
        <v>3515</v>
      </c>
      <c r="CO17" s="50">
        <f>Produksi!CG20</f>
        <v>12961</v>
      </c>
      <c r="CP17" s="50">
        <f>Produksi!CI20</f>
        <v>14899.000000000002</v>
      </c>
      <c r="CQ17" s="76"/>
      <c r="CR17" s="76"/>
      <c r="CS17" s="50">
        <v>0</v>
      </c>
      <c r="CT17" s="182">
        <f t="shared" si="20"/>
        <v>14899.000000000002</v>
      </c>
      <c r="CU17" s="53">
        <f t="shared" si="5"/>
        <v>10841.039533333333</v>
      </c>
      <c r="CV17" s="52">
        <v>8</v>
      </c>
      <c r="CW17" s="54" t="s">
        <v>154</v>
      </c>
      <c r="CX17" s="50">
        <f>Produksi!CP20</f>
        <v>2434</v>
      </c>
      <c r="CY17" s="50">
        <f>Produksi!CQ20</f>
        <v>10871</v>
      </c>
      <c r="CZ17" s="50">
        <f>Produksi!CS20</f>
        <v>9039.8000000000011</v>
      </c>
      <c r="DA17" s="76"/>
      <c r="DB17" s="76"/>
      <c r="DC17" s="50">
        <v>0</v>
      </c>
      <c r="DD17" s="182">
        <f t="shared" si="21"/>
        <v>9039.8000000000011</v>
      </c>
      <c r="DE17" s="53">
        <f t="shared" si="6"/>
        <v>10841.039533333333</v>
      </c>
      <c r="DF17" s="52">
        <v>8</v>
      </c>
      <c r="DG17" s="54" t="s">
        <v>154</v>
      </c>
      <c r="DH17" s="50">
        <f>Produksi!CZ20</f>
        <v>6200</v>
      </c>
      <c r="DI17" s="50">
        <f>Produksi!DA20</f>
        <v>10043</v>
      </c>
      <c r="DJ17" s="50">
        <f>Produksi!DC20</f>
        <v>12576.6</v>
      </c>
      <c r="DK17" s="76"/>
      <c r="DL17" s="76"/>
      <c r="DM17" s="50">
        <v>0</v>
      </c>
      <c r="DN17" s="182">
        <f t="shared" si="22"/>
        <v>12576.6</v>
      </c>
      <c r="DO17" s="53">
        <f t="shared" si="7"/>
        <v>10841.039533333333</v>
      </c>
      <c r="DP17" s="52">
        <v>8</v>
      </c>
      <c r="DQ17" s="54" t="s">
        <v>154</v>
      </c>
      <c r="DR17" s="50">
        <f>Produksi!DJ20</f>
        <v>69796</v>
      </c>
      <c r="DS17" s="50">
        <f>Produksi!DK20</f>
        <v>10643</v>
      </c>
      <c r="DT17" s="50">
        <f>Produksi!DM20</f>
        <v>12047.4</v>
      </c>
      <c r="DU17" s="76"/>
      <c r="DV17" s="76"/>
      <c r="DW17" s="50"/>
      <c r="DX17" s="182">
        <f t="shared" si="23"/>
        <v>12047.4</v>
      </c>
      <c r="DY17" s="53">
        <f t="shared" si="8"/>
        <v>10841.039533333333</v>
      </c>
      <c r="DZ17" s="52">
        <v>8</v>
      </c>
      <c r="EA17" s="54" t="s">
        <v>154</v>
      </c>
      <c r="EB17" s="50">
        <f>L17+V17+AF17+AP17+AZ17+BJ17+BT17+CD17+CN17+CX17+DH17+DR17</f>
        <v>118395</v>
      </c>
      <c r="EC17" s="50">
        <f>M17+W17+AG17+AQ17+BA17+BK17+BU17+CE17+CO17+CY17+DI17+DS17</f>
        <v>148489</v>
      </c>
      <c r="ED17" s="50">
        <f t="shared" si="24"/>
        <v>234289.5</v>
      </c>
      <c r="EE17" s="76"/>
      <c r="EF17" s="76"/>
      <c r="EG17" s="50">
        <f t="shared" si="11"/>
        <v>0</v>
      </c>
      <c r="EH17" s="74">
        <f t="shared" si="25"/>
        <v>245708.09999999998</v>
      </c>
      <c r="EI17" s="53">
        <f t="shared" si="26"/>
        <v>130092.47439999996</v>
      </c>
      <c r="EJ17" s="205">
        <f t="shared" si="12"/>
        <v>115615.62560000001</v>
      </c>
      <c r="EL17" s="160">
        <v>4</v>
      </c>
      <c r="EM17" s="160" t="s">
        <v>237</v>
      </c>
      <c r="EN17" s="161">
        <v>0</v>
      </c>
      <c r="EO17" s="161">
        <v>0</v>
      </c>
      <c r="EP17" s="161">
        <v>0</v>
      </c>
      <c r="EQ17" s="161">
        <v>0</v>
      </c>
      <c r="ER17" s="161">
        <v>0</v>
      </c>
      <c r="ES17" s="161">
        <v>0</v>
      </c>
      <c r="ET17" s="161">
        <v>0</v>
      </c>
      <c r="EU17" s="161">
        <v>0</v>
      </c>
      <c r="EV17" s="161">
        <v>0</v>
      </c>
      <c r="EW17" s="161">
        <v>0</v>
      </c>
      <c r="EX17" s="161">
        <v>0</v>
      </c>
      <c r="EY17" s="161">
        <v>0</v>
      </c>
      <c r="EZ17" s="6">
        <f t="shared" si="27"/>
        <v>0</v>
      </c>
    </row>
    <row r="18" spans="1:165" ht="20.100000000000001" customHeight="1" x14ac:dyDescent="0.3">
      <c r="B18" s="13">
        <v>0</v>
      </c>
      <c r="C18" s="14">
        <v>2.3999999999999998E-3</v>
      </c>
      <c r="D18" s="15">
        <v>0</v>
      </c>
      <c r="E18" s="15">
        <v>0</v>
      </c>
      <c r="F18" s="16">
        <v>3.2399999999999998E-2</v>
      </c>
      <c r="G18" s="105">
        <v>3.7</v>
      </c>
      <c r="H18" s="152">
        <f>G18*H5/I18/1000</f>
        <v>360.07043333333337</v>
      </c>
      <c r="I18" s="96">
        <v>12</v>
      </c>
      <c r="J18" s="52">
        <v>9</v>
      </c>
      <c r="K18" s="1" t="s">
        <v>155</v>
      </c>
      <c r="L18" s="62">
        <f>Produksi!D21</f>
        <v>33</v>
      </c>
      <c r="M18" s="51">
        <f>Produksi!E21</f>
        <v>13</v>
      </c>
      <c r="N18" s="51">
        <f>Produksi!G21</f>
        <v>166</v>
      </c>
      <c r="O18" s="76"/>
      <c r="P18" s="76"/>
      <c r="Q18" s="50">
        <v>0</v>
      </c>
      <c r="R18" s="155">
        <f t="shared" si="0"/>
        <v>171.77680000000001</v>
      </c>
      <c r="S18" s="53">
        <f t="shared" si="1"/>
        <v>360.07043333333337</v>
      </c>
      <c r="T18" s="52">
        <v>9</v>
      </c>
      <c r="U18" s="1" t="s">
        <v>155</v>
      </c>
      <c r="V18" s="62">
        <f>Produksi!N21</f>
        <v>4</v>
      </c>
      <c r="W18" s="51">
        <f>Produksi!O21</f>
        <v>6</v>
      </c>
      <c r="X18" s="51">
        <f>Produksi!Q21</f>
        <v>73</v>
      </c>
      <c r="Y18" s="76"/>
      <c r="Z18" s="76"/>
      <c r="AA18" s="50">
        <v>0</v>
      </c>
      <c r="AB18" s="74">
        <f t="shared" si="13"/>
        <v>72.965199999999996</v>
      </c>
      <c r="AC18" s="53">
        <f>'Data Ketersediaan Pangan'!H18</f>
        <v>360.07043333333337</v>
      </c>
      <c r="AD18" s="52">
        <v>9</v>
      </c>
      <c r="AE18" s="1" t="s">
        <v>155</v>
      </c>
      <c r="AF18" s="62">
        <f>Produksi!X21</f>
        <v>14</v>
      </c>
      <c r="AG18" s="51">
        <f>Produksi!Y21</f>
        <v>33</v>
      </c>
      <c r="AH18" s="51">
        <f>Produksi!AA21</f>
        <v>335</v>
      </c>
      <c r="AI18" s="76"/>
      <c r="AJ18" s="76"/>
      <c r="AK18" s="50">
        <v>0</v>
      </c>
      <c r="AL18" s="182">
        <f t="shared" si="14"/>
        <v>334.96519999999998</v>
      </c>
      <c r="AM18" s="53">
        <f t="shared" si="2"/>
        <v>360.07043333333337</v>
      </c>
      <c r="AN18" s="52">
        <v>9</v>
      </c>
      <c r="AO18" s="1" t="s">
        <v>155</v>
      </c>
      <c r="AP18" s="62">
        <f>Produksi!AH21</f>
        <v>32</v>
      </c>
      <c r="AQ18" s="51">
        <f>Produksi!AI21</f>
        <v>7</v>
      </c>
      <c r="AR18" s="51">
        <f>Produksi!AK21</f>
        <v>91</v>
      </c>
      <c r="AS18" s="76"/>
      <c r="AT18" s="76"/>
      <c r="AU18" s="50">
        <f>Produksi!AJ21</f>
        <v>0</v>
      </c>
      <c r="AV18" s="182">
        <f t="shared" si="15"/>
        <v>90.965199999999996</v>
      </c>
      <c r="AW18" s="53">
        <f>'Data Ketersediaan Pangan'!H18</f>
        <v>360.07043333333337</v>
      </c>
      <c r="AX18" s="52">
        <v>9</v>
      </c>
      <c r="AY18" s="1" t="s">
        <v>155</v>
      </c>
      <c r="AZ18" s="62">
        <f>Produksi!AR21</f>
        <v>20</v>
      </c>
      <c r="BA18" s="51">
        <f>Produksi!AS21</f>
        <v>15</v>
      </c>
      <c r="BB18" s="51">
        <f>Produksi!AU21</f>
        <v>179.5</v>
      </c>
      <c r="BC18" s="76"/>
      <c r="BD18" s="76"/>
      <c r="BE18" s="50">
        <v>0</v>
      </c>
      <c r="BF18" s="182">
        <f t="shared" si="16"/>
        <v>179.46520000000001</v>
      </c>
      <c r="BG18" s="53">
        <f t="shared" si="3"/>
        <v>360.07043333333337</v>
      </c>
      <c r="BH18" s="52">
        <v>9</v>
      </c>
      <c r="BI18" s="1" t="s">
        <v>155</v>
      </c>
      <c r="BJ18" s="62">
        <f>Produksi!BB21</f>
        <v>22</v>
      </c>
      <c r="BK18" s="51">
        <f>Produksi!BC21</f>
        <v>19</v>
      </c>
      <c r="BL18" s="51">
        <f>Produksi!BE21</f>
        <v>220.4</v>
      </c>
      <c r="BM18" s="76"/>
      <c r="BN18" s="76"/>
      <c r="BO18" s="50">
        <v>0</v>
      </c>
      <c r="BP18" s="182">
        <f t="shared" si="17"/>
        <v>220.36520000000002</v>
      </c>
      <c r="BQ18" s="53">
        <f>'Data Ketersediaan Pangan'!H18</f>
        <v>360.07043333333337</v>
      </c>
      <c r="BR18" s="52">
        <v>9</v>
      </c>
      <c r="BS18" s="1" t="s">
        <v>155</v>
      </c>
      <c r="BT18" s="62">
        <f>Produksi!BL21</f>
        <v>43</v>
      </c>
      <c r="BU18" s="51">
        <f>Produksi!BM23</f>
        <v>3</v>
      </c>
      <c r="BV18" s="51">
        <f>Produksi!BO23</f>
        <v>20</v>
      </c>
      <c r="BW18" s="76"/>
      <c r="BX18" s="76"/>
      <c r="BY18" s="50">
        <v>0</v>
      </c>
      <c r="BZ18" s="182">
        <f t="shared" si="18"/>
        <v>19.965199999999999</v>
      </c>
      <c r="CA18" s="53">
        <f>'Data Ketersediaan Pangan'!H18</f>
        <v>360.07043333333337</v>
      </c>
      <c r="CB18" s="52">
        <v>9</v>
      </c>
      <c r="CC18" s="1" t="s">
        <v>155</v>
      </c>
      <c r="CD18" s="62">
        <f>Produksi!BV21</f>
        <v>42</v>
      </c>
      <c r="CE18" s="51">
        <f>Produksi!BW21</f>
        <v>12</v>
      </c>
      <c r="CF18" s="51">
        <f>Produksi!BY21</f>
        <v>131.5</v>
      </c>
      <c r="CG18" s="76"/>
      <c r="CH18" s="76"/>
      <c r="CI18" s="50">
        <v>0</v>
      </c>
      <c r="CJ18" s="182">
        <f t="shared" si="19"/>
        <v>131.46520000000001</v>
      </c>
      <c r="CK18" s="53">
        <f t="shared" si="4"/>
        <v>360.07043333333337</v>
      </c>
      <c r="CL18" s="52">
        <v>9</v>
      </c>
      <c r="CM18" s="1" t="s">
        <v>155</v>
      </c>
      <c r="CN18" s="62">
        <f>Produksi!CF21</f>
        <v>43</v>
      </c>
      <c r="CO18" s="51">
        <f>Produksi!CG21</f>
        <v>50</v>
      </c>
      <c r="CP18" s="51">
        <f>Produksi!CI21</f>
        <v>61.6</v>
      </c>
      <c r="CQ18" s="76"/>
      <c r="CR18" s="76"/>
      <c r="CS18" s="50">
        <v>0</v>
      </c>
      <c r="CT18" s="182">
        <f t="shared" si="20"/>
        <v>61.565200000000004</v>
      </c>
      <c r="CU18" s="53">
        <f t="shared" si="5"/>
        <v>360.07043333333337</v>
      </c>
      <c r="CV18" s="52">
        <v>9</v>
      </c>
      <c r="CW18" s="1" t="s">
        <v>155</v>
      </c>
      <c r="CX18" s="62">
        <f>Produksi!CP21</f>
        <v>69</v>
      </c>
      <c r="CY18" s="51">
        <f>Produksi!CQ21</f>
        <v>23</v>
      </c>
      <c r="CZ18" s="51">
        <f>Produksi!CS21</f>
        <v>225.6</v>
      </c>
      <c r="DA18" s="76"/>
      <c r="DB18" s="76"/>
      <c r="DC18" s="50">
        <v>0</v>
      </c>
      <c r="DD18" s="182">
        <f t="shared" si="21"/>
        <v>225.5652</v>
      </c>
      <c r="DE18" s="53">
        <f t="shared" si="6"/>
        <v>360.07043333333337</v>
      </c>
      <c r="DF18" s="52">
        <v>9</v>
      </c>
      <c r="DG18" s="1" t="s">
        <v>155</v>
      </c>
      <c r="DH18" s="62">
        <f>Produksi!CZ21</f>
        <v>117</v>
      </c>
      <c r="DI18" s="51">
        <f>Produksi!DA21</f>
        <v>65</v>
      </c>
      <c r="DJ18" s="51">
        <f>Produksi!DC21</f>
        <v>628</v>
      </c>
      <c r="DK18" s="76"/>
      <c r="DL18" s="76"/>
      <c r="DM18" s="50">
        <v>0</v>
      </c>
      <c r="DN18" s="182">
        <f t="shared" si="22"/>
        <v>627.96519999999998</v>
      </c>
      <c r="DO18" s="53">
        <f t="shared" si="7"/>
        <v>360.07043333333337</v>
      </c>
      <c r="DP18" s="52">
        <v>9</v>
      </c>
      <c r="DQ18" s="1" t="s">
        <v>155</v>
      </c>
      <c r="DR18" s="62">
        <f>Produksi!DJ21</f>
        <v>128</v>
      </c>
      <c r="DS18" s="51">
        <f>Produksi!DK21</f>
        <v>59</v>
      </c>
      <c r="DT18" s="51">
        <f>Produksi!DM21</f>
        <v>534.6</v>
      </c>
      <c r="DU18" s="76"/>
      <c r="DV18" s="76"/>
      <c r="DW18" s="50"/>
      <c r="DX18" s="182">
        <f t="shared" si="23"/>
        <v>534.5652</v>
      </c>
      <c r="DY18" s="53">
        <f t="shared" si="8"/>
        <v>360.07043333333337</v>
      </c>
      <c r="DZ18" s="52">
        <v>9</v>
      </c>
      <c r="EA18" s="1" t="s">
        <v>155</v>
      </c>
      <c r="EB18" s="50">
        <f t="shared" si="9"/>
        <v>567</v>
      </c>
      <c r="EC18" s="50">
        <f t="shared" si="10"/>
        <v>305</v>
      </c>
      <c r="ED18" s="50">
        <f t="shared" si="24"/>
        <v>2593.1999999999998</v>
      </c>
      <c r="EE18" s="76"/>
      <c r="EF18" s="76"/>
      <c r="EG18" s="50">
        <f t="shared" si="11"/>
        <v>0</v>
      </c>
      <c r="EH18" s="74">
        <f t="shared" si="25"/>
        <v>2671.5940000000001</v>
      </c>
      <c r="EI18" s="53">
        <f t="shared" si="26"/>
        <v>4320.8452000000007</v>
      </c>
      <c r="EJ18" s="205">
        <f t="shared" si="12"/>
        <v>-1649.2512000000006</v>
      </c>
      <c r="EL18" s="160">
        <v>5</v>
      </c>
      <c r="EM18" s="160" t="s">
        <v>238</v>
      </c>
      <c r="EN18" s="161">
        <f>R22</f>
        <v>1412.7089599999999</v>
      </c>
      <c r="EO18" s="161">
        <f>AB22</f>
        <v>2256.8652000000002</v>
      </c>
      <c r="EP18" s="161">
        <f>AL22</f>
        <v>1538.6652000000001</v>
      </c>
      <c r="EQ18" s="6">
        <f>AV22</f>
        <v>972.76519999999994</v>
      </c>
      <c r="ER18" s="6">
        <f>BF22</f>
        <v>590.0652</v>
      </c>
      <c r="ES18" s="6">
        <f>BP22</f>
        <v>473.5652</v>
      </c>
      <c r="ET18" s="6">
        <f>BZ22</f>
        <v>419.36519999999996</v>
      </c>
      <c r="EU18" s="6">
        <f>CJ22</f>
        <v>566.5652</v>
      </c>
      <c r="EV18" s="6">
        <f>CT22</f>
        <v>961.16520000000003</v>
      </c>
      <c r="EW18" s="6">
        <f>DD22</f>
        <v>616.5652</v>
      </c>
      <c r="EX18" s="6">
        <f>DN22</f>
        <v>712.46519999999998</v>
      </c>
      <c r="EY18" s="6">
        <f>DX22</f>
        <v>783.66520000000003</v>
      </c>
      <c r="EZ18" s="6">
        <f t="shared" si="27"/>
        <v>11304.426160000001</v>
      </c>
    </row>
    <row r="19" spans="1:165" ht="20.100000000000001" customHeight="1" x14ac:dyDescent="0.3">
      <c r="B19" s="13">
        <v>0</v>
      </c>
      <c r="C19" s="14">
        <v>1.1900000000000001E-2</v>
      </c>
      <c r="D19" s="15">
        <v>0</v>
      </c>
      <c r="E19" s="15">
        <v>0</v>
      </c>
      <c r="F19" s="16">
        <v>2.29E-2</v>
      </c>
      <c r="G19" s="105">
        <v>1.28</v>
      </c>
      <c r="H19" s="152">
        <f>G19*H5/I19/1000</f>
        <v>124.56490666666667</v>
      </c>
      <c r="I19" s="96">
        <v>12</v>
      </c>
      <c r="J19" s="52">
        <v>10</v>
      </c>
      <c r="K19" s="1" t="s">
        <v>28</v>
      </c>
      <c r="L19" s="62">
        <f>Produksi!D24</f>
        <v>1</v>
      </c>
      <c r="M19" s="51">
        <f>Produksi!E24</f>
        <v>0</v>
      </c>
      <c r="N19" s="51">
        <f>Produksi!G24</f>
        <v>0</v>
      </c>
      <c r="O19" s="76"/>
      <c r="P19" s="76"/>
      <c r="Q19" s="50">
        <v>0</v>
      </c>
      <c r="R19" s="155">
        <f t="shared" si="0"/>
        <v>0</v>
      </c>
      <c r="S19" s="53">
        <f t="shared" si="1"/>
        <v>124.56490666666667</v>
      </c>
      <c r="T19" s="52">
        <v>10</v>
      </c>
      <c r="U19" s="1" t="s">
        <v>28</v>
      </c>
      <c r="V19" s="62">
        <f>Produksi!N24</f>
        <v>0</v>
      </c>
      <c r="W19" s="51">
        <f>Produksi!O24</f>
        <v>1</v>
      </c>
      <c r="X19" s="51">
        <f>Produksi!Q24</f>
        <v>20</v>
      </c>
      <c r="Y19" s="76"/>
      <c r="Z19" s="76"/>
      <c r="AA19" s="50">
        <v>0</v>
      </c>
      <c r="AB19" s="74">
        <f t="shared" si="13"/>
        <v>19.965199999999999</v>
      </c>
      <c r="AC19" s="53">
        <f>'Data Ketersediaan Pangan'!H19</f>
        <v>124.56490666666667</v>
      </c>
      <c r="AD19" s="52">
        <v>10</v>
      </c>
      <c r="AE19" s="1" t="s">
        <v>28</v>
      </c>
      <c r="AF19" s="62">
        <f>Produksi!X24</f>
        <v>0</v>
      </c>
      <c r="AG19" s="51">
        <f>Produksi!Y24</f>
        <v>0</v>
      </c>
      <c r="AH19" s="51">
        <f>Produksi!AA24</f>
        <v>0</v>
      </c>
      <c r="AI19" s="76"/>
      <c r="AJ19" s="76"/>
      <c r="AK19" s="50">
        <v>0</v>
      </c>
      <c r="AL19" s="182">
        <f t="shared" si="14"/>
        <v>-3.4799999999999998E-2</v>
      </c>
      <c r="AM19" s="53">
        <f t="shared" si="2"/>
        <v>124.56490666666667</v>
      </c>
      <c r="AN19" s="52">
        <v>10</v>
      </c>
      <c r="AO19" s="1" t="s">
        <v>28</v>
      </c>
      <c r="AP19" s="62">
        <f>Produksi!AH24</f>
        <v>2</v>
      </c>
      <c r="AQ19" s="51">
        <f>Produksi!AI24</f>
        <v>1</v>
      </c>
      <c r="AR19" s="51">
        <f>Produksi!AK23</f>
        <v>0</v>
      </c>
      <c r="AS19" s="76"/>
      <c r="AT19" s="76"/>
      <c r="AU19" s="50">
        <f>Produksi!AJ24</f>
        <v>0</v>
      </c>
      <c r="AV19" s="182">
        <f t="shared" si="15"/>
        <v>-3.4799999999999998E-2</v>
      </c>
      <c r="AW19" s="53">
        <f>'Data Ketersediaan Pangan'!H19</f>
        <v>124.56490666666667</v>
      </c>
      <c r="AX19" s="52">
        <v>10</v>
      </c>
      <c r="AY19" s="1" t="s">
        <v>28</v>
      </c>
      <c r="AZ19" s="62">
        <f>Produksi!AR24</f>
        <v>11</v>
      </c>
      <c r="BA19" s="51">
        <f>Produksi!AS24</f>
        <v>0</v>
      </c>
      <c r="BB19" s="51">
        <f>Produksi!AU24</f>
        <v>0</v>
      </c>
      <c r="BC19" s="76"/>
      <c r="BD19" s="76"/>
      <c r="BE19" s="50">
        <v>0</v>
      </c>
      <c r="BF19" s="182">
        <f t="shared" si="16"/>
        <v>-3.4799999999999998E-2</v>
      </c>
      <c r="BG19" s="53">
        <f t="shared" si="3"/>
        <v>124.56490666666667</v>
      </c>
      <c r="BH19" s="52">
        <v>10</v>
      </c>
      <c r="BI19" s="1" t="s">
        <v>28</v>
      </c>
      <c r="BJ19" s="62">
        <f>Produksi!BB24</f>
        <v>25</v>
      </c>
      <c r="BK19" s="51">
        <f>Produksi!BC24</f>
        <v>2</v>
      </c>
      <c r="BL19" s="51">
        <f>Produksi!BE24</f>
        <v>40</v>
      </c>
      <c r="BM19" s="76"/>
      <c r="BN19" s="76"/>
      <c r="BO19" s="50">
        <v>0</v>
      </c>
      <c r="BP19" s="182">
        <f t="shared" si="17"/>
        <v>39.965200000000003</v>
      </c>
      <c r="BQ19" s="53">
        <f>'Data Ketersediaan Pangan'!H19</f>
        <v>124.56490666666667</v>
      </c>
      <c r="BR19" s="52">
        <v>10</v>
      </c>
      <c r="BS19" s="1" t="s">
        <v>28</v>
      </c>
      <c r="BT19" s="62">
        <f>Produksi!BL24</f>
        <v>6</v>
      </c>
      <c r="BU19" s="51">
        <f>Produksi!BM24</f>
        <v>4</v>
      </c>
      <c r="BV19" s="51">
        <f>Produksi!BO24</f>
        <v>80</v>
      </c>
      <c r="BW19" s="76"/>
      <c r="BX19" s="76"/>
      <c r="BY19" s="50">
        <v>0</v>
      </c>
      <c r="BZ19" s="182">
        <f t="shared" si="18"/>
        <v>79.965199999999996</v>
      </c>
      <c r="CA19" s="53">
        <f>'Data Ketersediaan Pangan'!H19</f>
        <v>124.56490666666667</v>
      </c>
      <c r="CB19" s="52">
        <v>10</v>
      </c>
      <c r="CC19" s="1" t="s">
        <v>28</v>
      </c>
      <c r="CD19" s="62">
        <f>Produksi!BV24</f>
        <v>0</v>
      </c>
      <c r="CE19" s="51">
        <f>Produksi!BW24</f>
        <v>15</v>
      </c>
      <c r="CF19" s="51">
        <f>Produksi!BY24</f>
        <v>320</v>
      </c>
      <c r="CG19" s="76"/>
      <c r="CH19" s="76"/>
      <c r="CI19" s="50">
        <v>0</v>
      </c>
      <c r="CJ19" s="182">
        <f t="shared" si="19"/>
        <v>319.96519999999998</v>
      </c>
      <c r="CK19" s="53">
        <f t="shared" si="4"/>
        <v>124.56490666666667</v>
      </c>
      <c r="CL19" s="52">
        <v>10</v>
      </c>
      <c r="CM19" s="1" t="s">
        <v>28</v>
      </c>
      <c r="CN19" s="62">
        <f>Produksi!CF24</f>
        <v>2</v>
      </c>
      <c r="CO19" s="51">
        <f>Produksi!CG24</f>
        <v>20</v>
      </c>
      <c r="CP19" s="51">
        <f>Produksi!CI24</f>
        <v>400</v>
      </c>
      <c r="CQ19" s="76"/>
      <c r="CR19" s="76"/>
      <c r="CS19" s="50">
        <v>0</v>
      </c>
      <c r="CT19" s="182">
        <f t="shared" si="20"/>
        <v>399.96519999999998</v>
      </c>
      <c r="CU19" s="53">
        <f t="shared" si="5"/>
        <v>124.56490666666667</v>
      </c>
      <c r="CV19" s="52">
        <v>10</v>
      </c>
      <c r="CW19" s="1" t="s">
        <v>28</v>
      </c>
      <c r="CX19" s="62">
        <f>Produksi!CP24</f>
        <v>3</v>
      </c>
      <c r="CY19" s="51">
        <f>Produksi!CQ24</f>
        <v>3</v>
      </c>
      <c r="CZ19" s="51">
        <f>Produksi!CS24</f>
        <v>80</v>
      </c>
      <c r="DA19" s="76"/>
      <c r="DB19" s="76"/>
      <c r="DC19" s="50">
        <v>0</v>
      </c>
      <c r="DD19" s="182">
        <f t="shared" si="21"/>
        <v>79.965199999999996</v>
      </c>
      <c r="DE19" s="53">
        <f t="shared" si="6"/>
        <v>124.56490666666667</v>
      </c>
      <c r="DF19" s="52">
        <v>10</v>
      </c>
      <c r="DG19" s="1" t="s">
        <v>28</v>
      </c>
      <c r="DH19" s="62">
        <f>Produksi!CZ24</f>
        <v>6</v>
      </c>
      <c r="DI19" s="51">
        <f>Produksi!DA24</f>
        <v>2</v>
      </c>
      <c r="DJ19" s="51">
        <f>Produksi!DC24</f>
        <v>40</v>
      </c>
      <c r="DK19" s="76"/>
      <c r="DL19" s="76"/>
      <c r="DM19" s="50">
        <v>0</v>
      </c>
      <c r="DN19" s="182">
        <f t="shared" si="22"/>
        <v>39.965200000000003</v>
      </c>
      <c r="DO19" s="53">
        <f t="shared" si="7"/>
        <v>124.56490666666667</v>
      </c>
      <c r="DP19" s="52">
        <v>10</v>
      </c>
      <c r="DQ19" s="1" t="s">
        <v>28</v>
      </c>
      <c r="DR19" s="62">
        <f>Produksi!DJ24</f>
        <v>4</v>
      </c>
      <c r="DS19" s="51">
        <f>Produksi!DK24</f>
        <v>3</v>
      </c>
      <c r="DT19" s="51">
        <f>Produksi!DM24</f>
        <v>60</v>
      </c>
      <c r="DU19" s="76"/>
      <c r="DV19" s="76"/>
      <c r="DW19" s="50"/>
      <c r="DX19" s="182">
        <f t="shared" si="23"/>
        <v>59.965200000000003</v>
      </c>
      <c r="DY19" s="53">
        <f t="shared" si="8"/>
        <v>124.56490666666667</v>
      </c>
      <c r="DZ19" s="52">
        <v>10</v>
      </c>
      <c r="EA19" s="1" t="s">
        <v>28</v>
      </c>
      <c r="EB19" s="50">
        <f t="shared" si="9"/>
        <v>60</v>
      </c>
      <c r="EC19" s="50">
        <f t="shared" si="10"/>
        <v>51</v>
      </c>
      <c r="ED19" s="50">
        <f t="shared" si="24"/>
        <v>1020</v>
      </c>
      <c r="EE19" s="76"/>
      <c r="EF19" s="76"/>
      <c r="EG19" s="50">
        <f t="shared" si="11"/>
        <v>0</v>
      </c>
      <c r="EH19" s="74">
        <f t="shared" si="25"/>
        <v>1039.6171999999999</v>
      </c>
      <c r="EI19" s="53">
        <f t="shared" si="26"/>
        <v>1494.7788800000005</v>
      </c>
      <c r="EJ19" s="205">
        <f t="shared" si="12"/>
        <v>-455.16168000000062</v>
      </c>
      <c r="EL19" s="160">
        <v>6</v>
      </c>
      <c r="EM19" s="160" t="s">
        <v>239</v>
      </c>
      <c r="EN19" s="161">
        <f>R23</f>
        <v>8387.0540000000001</v>
      </c>
      <c r="EO19" s="161">
        <f>AB23</f>
        <v>2470.8652000000002</v>
      </c>
      <c r="EP19" s="161">
        <f>AL23</f>
        <v>2110.9652000000001</v>
      </c>
      <c r="EQ19" s="6">
        <f>AV23</f>
        <v>5515.7651999999998</v>
      </c>
      <c r="ER19" s="6">
        <f>BF23</f>
        <v>30370.665199999999</v>
      </c>
      <c r="ES19" s="6">
        <f>BP23</f>
        <v>37712.965199999999</v>
      </c>
      <c r="ET19" s="6">
        <f>BZ23</f>
        <v>27038.065199999997</v>
      </c>
      <c r="EU19" s="6">
        <f>CJ23</f>
        <v>45011.465199999999</v>
      </c>
      <c r="EV19" s="6">
        <f>CT23</f>
        <v>8950.5652000000009</v>
      </c>
      <c r="EW19" s="6">
        <f>DD23</f>
        <v>4762.5652</v>
      </c>
      <c r="EX19" s="6">
        <f>DN23</f>
        <v>8469.7651999999998</v>
      </c>
      <c r="EY19" s="6">
        <f>DX23</f>
        <v>7618.6651999999995</v>
      </c>
      <c r="EZ19" s="6">
        <f t="shared" si="27"/>
        <v>188419.37119999999</v>
      </c>
    </row>
    <row r="20" spans="1:165" ht="20.100000000000001" customHeight="1" x14ac:dyDescent="0.3">
      <c r="B20" s="13">
        <v>0</v>
      </c>
      <c r="C20" s="14">
        <v>0</v>
      </c>
      <c r="D20" s="15">
        <v>0</v>
      </c>
      <c r="E20" s="15">
        <v>4.0000000000000002E-4</v>
      </c>
      <c r="F20" s="16">
        <v>3.4799999999999998E-2</v>
      </c>
      <c r="G20" s="105">
        <v>0.87</v>
      </c>
      <c r="H20" s="152">
        <f>G20*H5/I20/1000</f>
        <v>84.665210000000002</v>
      </c>
      <c r="I20" s="96">
        <v>12</v>
      </c>
      <c r="J20" s="52">
        <v>11</v>
      </c>
      <c r="K20" s="1" t="s">
        <v>120</v>
      </c>
      <c r="L20" s="62">
        <f>Produksi!D27</f>
        <v>5</v>
      </c>
      <c r="M20" s="51">
        <f>Produksi!E27</f>
        <v>7</v>
      </c>
      <c r="N20" s="51">
        <f>Produksi!G27</f>
        <v>36</v>
      </c>
      <c r="O20" s="76"/>
      <c r="P20" s="76"/>
      <c r="Q20" s="50">
        <v>0</v>
      </c>
      <c r="R20" s="155">
        <f t="shared" si="0"/>
        <v>37.267200000000003</v>
      </c>
      <c r="S20" s="53">
        <f t="shared" si="1"/>
        <v>84.665210000000002</v>
      </c>
      <c r="T20" s="52">
        <v>11</v>
      </c>
      <c r="U20" s="1" t="s">
        <v>120</v>
      </c>
      <c r="V20" s="62">
        <f>Produksi!N27</f>
        <v>5</v>
      </c>
      <c r="W20" s="51">
        <f>Produksi!O27</f>
        <v>4</v>
      </c>
      <c r="X20" s="51">
        <f>Produksi!Q27</f>
        <v>11.6</v>
      </c>
      <c r="Y20" s="76"/>
      <c r="Z20" s="76"/>
      <c r="AA20" s="50">
        <v>0</v>
      </c>
      <c r="AB20" s="74">
        <f t="shared" si="13"/>
        <v>11.5648</v>
      </c>
      <c r="AC20" s="53">
        <f>'Data Ketersediaan Pangan'!H20</f>
        <v>84.665210000000002</v>
      </c>
      <c r="AD20" s="52">
        <v>11</v>
      </c>
      <c r="AE20" s="1" t="s">
        <v>120</v>
      </c>
      <c r="AF20" s="62">
        <f>Produksi!X27</f>
        <v>4</v>
      </c>
      <c r="AG20" s="51">
        <f>Produksi!Y27</f>
        <v>3</v>
      </c>
      <c r="AH20" s="51">
        <f>Produksi!AA27</f>
        <v>16.600000000000001</v>
      </c>
      <c r="AI20" s="76"/>
      <c r="AJ20" s="76"/>
      <c r="AK20" s="50">
        <v>0</v>
      </c>
      <c r="AL20" s="182">
        <f t="shared" si="14"/>
        <v>16.564800000000002</v>
      </c>
      <c r="AM20" s="53">
        <f t="shared" si="2"/>
        <v>84.665210000000002</v>
      </c>
      <c r="AN20" s="52">
        <v>11</v>
      </c>
      <c r="AO20" s="1" t="s">
        <v>120</v>
      </c>
      <c r="AP20" s="62">
        <f>Produksi!AH27</f>
        <v>7</v>
      </c>
      <c r="AQ20" s="51">
        <f>Produksi!AI27</f>
        <v>7</v>
      </c>
      <c r="AR20" s="51">
        <f>Produksi!AK27</f>
        <v>19.899999999999999</v>
      </c>
      <c r="AS20" s="76"/>
      <c r="AT20" s="76"/>
      <c r="AU20" s="50">
        <f>Produksi!AJ27</f>
        <v>0</v>
      </c>
      <c r="AV20" s="182">
        <f t="shared" si="15"/>
        <v>19.864799999999999</v>
      </c>
      <c r="AW20" s="53">
        <f>'Data Ketersediaan Pangan'!H20</f>
        <v>84.665210000000002</v>
      </c>
      <c r="AX20" s="52">
        <v>11</v>
      </c>
      <c r="AY20" s="1" t="s">
        <v>120</v>
      </c>
      <c r="AZ20" s="62">
        <f>Produksi!AR27</f>
        <v>5</v>
      </c>
      <c r="BA20" s="51">
        <f>Produksi!AS27</f>
        <v>3</v>
      </c>
      <c r="BB20" s="51">
        <f>Produksi!AU27</f>
        <v>49.5</v>
      </c>
      <c r="BC20" s="76"/>
      <c r="BD20" s="76"/>
      <c r="BE20" s="50">
        <v>0</v>
      </c>
      <c r="BF20" s="182">
        <f t="shared" si="16"/>
        <v>49.464799999999997</v>
      </c>
      <c r="BG20" s="53">
        <f t="shared" si="3"/>
        <v>84.665210000000002</v>
      </c>
      <c r="BH20" s="52">
        <v>11</v>
      </c>
      <c r="BI20" s="1" t="s">
        <v>120</v>
      </c>
      <c r="BJ20" s="62">
        <f>Produksi!BA27</f>
        <v>12</v>
      </c>
      <c r="BK20" s="51">
        <f>Produksi!BC27</f>
        <v>12</v>
      </c>
      <c r="BL20" s="51">
        <f>Produksi!BE27</f>
        <v>54</v>
      </c>
      <c r="BM20" s="76"/>
      <c r="BN20" s="76"/>
      <c r="BO20" s="50">
        <v>0</v>
      </c>
      <c r="BP20" s="182">
        <f t="shared" si="17"/>
        <v>53.964799999999997</v>
      </c>
      <c r="BQ20" s="53">
        <f>'Data Ketersediaan Pangan'!H20</f>
        <v>84.665210000000002</v>
      </c>
      <c r="BR20" s="52">
        <v>11</v>
      </c>
      <c r="BS20" s="1" t="s">
        <v>120</v>
      </c>
      <c r="BT20" s="62">
        <f>Produksi!BL27</f>
        <v>8</v>
      </c>
      <c r="BU20" s="51">
        <f>Produksi!BM27</f>
        <v>5</v>
      </c>
      <c r="BV20" s="51">
        <f>Produksi!BO27</f>
        <v>55</v>
      </c>
      <c r="BW20" s="76"/>
      <c r="BX20" s="76"/>
      <c r="BY20" s="50">
        <v>0</v>
      </c>
      <c r="BZ20" s="182">
        <f t="shared" si="18"/>
        <v>54.964799999999997</v>
      </c>
      <c r="CA20" s="53">
        <f>'Data Ketersediaan Pangan'!H20</f>
        <v>84.665210000000002</v>
      </c>
      <c r="CB20" s="52">
        <v>11</v>
      </c>
      <c r="CC20" s="1" t="s">
        <v>120</v>
      </c>
      <c r="CD20" s="62">
        <f>Produksi!BV27</f>
        <v>5</v>
      </c>
      <c r="CE20" s="51">
        <f>Produksi!BW27</f>
        <v>8</v>
      </c>
      <c r="CF20" s="51">
        <f>Produksi!BY27</f>
        <v>75</v>
      </c>
      <c r="CG20" s="76"/>
      <c r="CH20" s="76"/>
      <c r="CI20" s="50">
        <v>0</v>
      </c>
      <c r="CJ20" s="182">
        <f t="shared" si="19"/>
        <v>74.964799999999997</v>
      </c>
      <c r="CK20" s="53">
        <f t="shared" si="4"/>
        <v>84.665210000000002</v>
      </c>
      <c r="CL20" s="52">
        <v>11</v>
      </c>
      <c r="CM20" s="1" t="s">
        <v>120</v>
      </c>
      <c r="CN20" s="62">
        <f>Produksi!CF27</f>
        <v>4</v>
      </c>
      <c r="CO20" s="51">
        <f>Produksi!CG27</f>
        <v>8</v>
      </c>
      <c r="CP20" s="51">
        <f>Produksi!CI27</f>
        <v>89</v>
      </c>
      <c r="CQ20" s="76"/>
      <c r="CR20" s="76"/>
      <c r="CS20" s="50">
        <v>0</v>
      </c>
      <c r="CT20" s="182">
        <f t="shared" si="20"/>
        <v>88.964799999999997</v>
      </c>
      <c r="CU20" s="53">
        <f t="shared" si="5"/>
        <v>84.665210000000002</v>
      </c>
      <c r="CV20" s="52">
        <v>11</v>
      </c>
      <c r="CW20" s="1" t="s">
        <v>120</v>
      </c>
      <c r="CX20" s="62">
        <f>Produksi!CP27</f>
        <v>9</v>
      </c>
      <c r="CY20" s="51">
        <f>Produksi!CQ27</f>
        <v>4</v>
      </c>
      <c r="CZ20" s="51">
        <f>Produksi!CS27</f>
        <v>32.6</v>
      </c>
      <c r="DA20" s="76"/>
      <c r="DB20" s="76"/>
      <c r="DC20" s="50">
        <v>0</v>
      </c>
      <c r="DD20" s="182">
        <f t="shared" si="21"/>
        <v>32.564799999999998</v>
      </c>
      <c r="DE20" s="53">
        <f t="shared" si="6"/>
        <v>84.665210000000002</v>
      </c>
      <c r="DF20" s="52">
        <v>11</v>
      </c>
      <c r="DG20" s="1" t="s">
        <v>120</v>
      </c>
      <c r="DH20" s="62">
        <f>Produksi!CZ27</f>
        <v>7</v>
      </c>
      <c r="DI20" s="51">
        <f>Produksi!DA27</f>
        <v>8</v>
      </c>
      <c r="DJ20" s="51">
        <f>Produksi!DC27</f>
        <v>79</v>
      </c>
      <c r="DK20" s="76"/>
      <c r="DL20" s="76"/>
      <c r="DM20" s="50">
        <v>0</v>
      </c>
      <c r="DN20" s="182">
        <f t="shared" si="22"/>
        <v>78.964799999999997</v>
      </c>
      <c r="DO20" s="53">
        <f t="shared" si="7"/>
        <v>84.665210000000002</v>
      </c>
      <c r="DP20" s="52">
        <v>11</v>
      </c>
      <c r="DQ20" s="1" t="s">
        <v>120</v>
      </c>
      <c r="DR20" s="62">
        <f>Produksi!DJ27</f>
        <v>7</v>
      </c>
      <c r="DS20" s="51">
        <f>Produksi!DK27</f>
        <v>10</v>
      </c>
      <c r="DT20" s="51">
        <f>Produksi!DM27</f>
        <v>89</v>
      </c>
      <c r="DU20" s="76"/>
      <c r="DV20" s="76"/>
      <c r="DW20" s="50"/>
      <c r="DX20" s="182">
        <f t="shared" si="23"/>
        <v>88.964799999999997</v>
      </c>
      <c r="DY20" s="53">
        <f t="shared" si="8"/>
        <v>84.665210000000002</v>
      </c>
      <c r="DZ20" s="52">
        <v>11</v>
      </c>
      <c r="EA20" s="1" t="s">
        <v>120</v>
      </c>
      <c r="EB20" s="50">
        <f t="shared" si="9"/>
        <v>78</v>
      </c>
      <c r="EC20" s="50">
        <f t="shared" si="10"/>
        <v>79</v>
      </c>
      <c r="ED20" s="50">
        <f t="shared" si="24"/>
        <v>595.6</v>
      </c>
      <c r="EE20" s="76"/>
      <c r="EF20" s="76"/>
      <c r="EG20" s="50">
        <f t="shared" si="11"/>
        <v>0</v>
      </c>
      <c r="EH20" s="74">
        <f t="shared" si="25"/>
        <v>608.07999999999993</v>
      </c>
      <c r="EI20" s="53">
        <f t="shared" si="26"/>
        <v>1015.98252</v>
      </c>
      <c r="EJ20" s="205">
        <f t="shared" si="12"/>
        <v>-407.9025200000001</v>
      </c>
      <c r="EL20" s="160"/>
      <c r="EM20" s="160"/>
      <c r="EN20" s="161"/>
      <c r="EO20" s="161"/>
      <c r="EP20" s="161"/>
      <c r="EQ20" s="6"/>
      <c r="ER20" s="6"/>
      <c r="ES20" s="6"/>
      <c r="ET20" s="6"/>
      <c r="EU20" s="6"/>
      <c r="EV20" s="6"/>
      <c r="EW20" s="6"/>
      <c r="EX20" s="6"/>
      <c r="EY20" s="6"/>
      <c r="EZ20" s="6">
        <f t="shared" si="27"/>
        <v>0</v>
      </c>
    </row>
    <row r="21" spans="1:165" ht="20.100000000000001" customHeight="1" x14ac:dyDescent="0.3">
      <c r="B21" s="13">
        <v>0</v>
      </c>
      <c r="C21" s="14">
        <v>4.4000000000000003E-3</v>
      </c>
      <c r="D21" s="15">
        <v>0</v>
      </c>
      <c r="E21" s="15">
        <v>0</v>
      </c>
      <c r="F21" s="16">
        <v>3.04E-2</v>
      </c>
      <c r="G21" s="105">
        <v>5.17</v>
      </c>
      <c r="H21" s="152">
        <f>G21*H5/I21/1000</f>
        <v>503.12544333333335</v>
      </c>
      <c r="I21" s="96">
        <v>12</v>
      </c>
      <c r="J21" s="52">
        <v>12</v>
      </c>
      <c r="K21" s="1" t="s">
        <v>158</v>
      </c>
      <c r="L21" s="62">
        <f>Produksi!D33</f>
        <v>13</v>
      </c>
      <c r="M21" s="51">
        <f>Produksi!E33</f>
        <v>37</v>
      </c>
      <c r="N21" s="51">
        <f>Produksi!G33</f>
        <v>299.7</v>
      </c>
      <c r="O21" s="76"/>
      <c r="P21" s="76"/>
      <c r="Q21" s="50">
        <v>0</v>
      </c>
      <c r="R21" s="155">
        <f t="shared" si="0"/>
        <v>310.12955999999997</v>
      </c>
      <c r="S21" s="53">
        <f t="shared" si="1"/>
        <v>503.12544333333335</v>
      </c>
      <c r="T21" s="52">
        <v>12</v>
      </c>
      <c r="U21" s="1" t="s">
        <v>158</v>
      </c>
      <c r="V21" s="62">
        <f>Produksi!N33</f>
        <v>9</v>
      </c>
      <c r="W21" s="51">
        <f>Produksi!O33</f>
        <v>36</v>
      </c>
      <c r="X21" s="51">
        <f>Produksi!Q33</f>
        <v>196.6</v>
      </c>
      <c r="Y21" s="76"/>
      <c r="Z21" s="76"/>
      <c r="AA21" s="50">
        <v>0</v>
      </c>
      <c r="AB21" s="74">
        <f t="shared" si="13"/>
        <v>196.5652</v>
      </c>
      <c r="AC21" s="53">
        <f>'Data Ketersediaan Pangan'!H21</f>
        <v>503.12544333333335</v>
      </c>
      <c r="AD21" s="52">
        <v>12</v>
      </c>
      <c r="AE21" s="1" t="s">
        <v>158</v>
      </c>
      <c r="AF21" s="62">
        <f>Produksi!X33</f>
        <v>9</v>
      </c>
      <c r="AG21" s="51">
        <f>Produksi!Y33</f>
        <v>28</v>
      </c>
      <c r="AH21" s="51">
        <f>Produksi!AA33</f>
        <v>180.5</v>
      </c>
      <c r="AI21" s="76"/>
      <c r="AJ21" s="76"/>
      <c r="AK21" s="50">
        <v>0</v>
      </c>
      <c r="AL21" s="182">
        <f t="shared" si="14"/>
        <v>180.46520000000001</v>
      </c>
      <c r="AM21" s="53">
        <f t="shared" si="2"/>
        <v>503.12544333333335</v>
      </c>
      <c r="AN21" s="52">
        <v>12</v>
      </c>
      <c r="AO21" s="1" t="s">
        <v>158</v>
      </c>
      <c r="AP21" s="62">
        <f>Produksi!AH33</f>
        <v>12</v>
      </c>
      <c r="AQ21" s="51">
        <f>Produksi!AI33</f>
        <v>43</v>
      </c>
      <c r="AR21" s="51">
        <f>Produksi!AK33</f>
        <v>189.6</v>
      </c>
      <c r="AS21" s="76"/>
      <c r="AT21" s="76"/>
      <c r="AU21" s="50">
        <f>Produksi!AJ33</f>
        <v>0</v>
      </c>
      <c r="AV21" s="182">
        <f t="shared" si="15"/>
        <v>189.5652</v>
      </c>
      <c r="AW21" s="53">
        <f>'Data Ketersediaan Pangan'!H21</f>
        <v>503.12544333333335</v>
      </c>
      <c r="AX21" s="52">
        <v>12</v>
      </c>
      <c r="AY21" s="1" t="s">
        <v>158</v>
      </c>
      <c r="AZ21" s="62">
        <f>Produksi!AR33</f>
        <v>11</v>
      </c>
      <c r="BA21" s="51">
        <f>Produksi!AS33</f>
        <v>38</v>
      </c>
      <c r="BB21" s="51">
        <f>Produksi!AU33</f>
        <v>277.2</v>
      </c>
      <c r="BC21" s="76"/>
      <c r="BD21" s="76"/>
      <c r="BE21" s="50">
        <v>0</v>
      </c>
      <c r="BF21" s="182">
        <f t="shared" si="16"/>
        <v>277.16519999999997</v>
      </c>
      <c r="BG21" s="53">
        <f t="shared" si="3"/>
        <v>503.12544333333335</v>
      </c>
      <c r="BH21" s="52">
        <v>12</v>
      </c>
      <c r="BI21" s="1" t="s">
        <v>158</v>
      </c>
      <c r="BJ21" s="62">
        <f>Produksi!BB33</f>
        <v>22</v>
      </c>
      <c r="BK21" s="51">
        <f>Produksi!BC33</f>
        <v>25</v>
      </c>
      <c r="BL21" s="51">
        <f>Produksi!BE33</f>
        <v>181.1</v>
      </c>
      <c r="BM21" s="76"/>
      <c r="BN21" s="76"/>
      <c r="BO21" s="50">
        <v>0</v>
      </c>
      <c r="BP21" s="182">
        <f t="shared" si="17"/>
        <v>181.0652</v>
      </c>
      <c r="BQ21" s="53">
        <f>'Data Ketersediaan Pangan'!H21</f>
        <v>503.12544333333335</v>
      </c>
      <c r="BR21" s="52">
        <v>12</v>
      </c>
      <c r="BS21" s="1" t="s">
        <v>158</v>
      </c>
      <c r="BT21" s="62">
        <f>Produksi!BL33</f>
        <v>14</v>
      </c>
      <c r="BU21" s="51">
        <f>Produksi!BM33</f>
        <v>31</v>
      </c>
      <c r="BV21" s="51">
        <f>Produksi!BO33</f>
        <v>255.5</v>
      </c>
      <c r="BW21" s="76"/>
      <c r="BX21" s="76"/>
      <c r="BY21" s="50">
        <v>0</v>
      </c>
      <c r="BZ21" s="182">
        <f t="shared" si="18"/>
        <v>255.46520000000001</v>
      </c>
      <c r="CA21" s="53">
        <f>'Data Ketersediaan Pangan'!H21</f>
        <v>503.12544333333335</v>
      </c>
      <c r="CB21" s="52">
        <v>12</v>
      </c>
      <c r="CC21" s="1" t="s">
        <v>158</v>
      </c>
      <c r="CD21" s="62">
        <f>Produksi!BV33</f>
        <v>12</v>
      </c>
      <c r="CE21" s="51">
        <f>Produksi!BW33</f>
        <v>41</v>
      </c>
      <c r="CF21" s="51">
        <f>Produksi!BY33</f>
        <v>292.60000000000002</v>
      </c>
      <c r="CG21" s="76"/>
      <c r="CH21" s="76"/>
      <c r="CI21" s="50">
        <v>0</v>
      </c>
      <c r="CJ21" s="182">
        <f t="shared" si="19"/>
        <v>292.5652</v>
      </c>
      <c r="CK21" s="53">
        <f t="shared" si="4"/>
        <v>503.12544333333335</v>
      </c>
      <c r="CL21" s="52">
        <v>12</v>
      </c>
      <c r="CM21" s="1" t="s">
        <v>158</v>
      </c>
      <c r="CN21" s="62">
        <f>Produksi!CF33</f>
        <v>15</v>
      </c>
      <c r="CO21" s="51">
        <f>Produksi!CG33</f>
        <v>32</v>
      </c>
      <c r="CP21" s="51">
        <f>Produksi!CI33</f>
        <v>267.5</v>
      </c>
      <c r="CQ21" s="76"/>
      <c r="CR21" s="76"/>
      <c r="CS21" s="50">
        <v>0</v>
      </c>
      <c r="CT21" s="182">
        <f t="shared" si="20"/>
        <v>267.46519999999998</v>
      </c>
      <c r="CU21" s="53">
        <f t="shared" si="5"/>
        <v>503.12544333333335</v>
      </c>
      <c r="CV21" s="52">
        <v>12</v>
      </c>
      <c r="CW21" s="1" t="s">
        <v>158</v>
      </c>
      <c r="CX21" s="62">
        <f>Produksi!CP33</f>
        <v>11</v>
      </c>
      <c r="CY21" s="51">
        <f>Produksi!CQ33</f>
        <v>27</v>
      </c>
      <c r="CZ21" s="51">
        <f>Produksi!CS33</f>
        <v>206</v>
      </c>
      <c r="DA21" s="76"/>
      <c r="DB21" s="76"/>
      <c r="DC21" s="50">
        <v>0</v>
      </c>
      <c r="DD21" s="182">
        <f t="shared" si="21"/>
        <v>205.96520000000001</v>
      </c>
      <c r="DE21" s="53">
        <f t="shared" si="6"/>
        <v>503.12544333333335</v>
      </c>
      <c r="DF21" s="52">
        <v>12</v>
      </c>
      <c r="DG21" s="1" t="s">
        <v>158</v>
      </c>
      <c r="DH21" s="62">
        <f>Produksi!CZ33</f>
        <v>6</v>
      </c>
      <c r="DI21" s="51">
        <f>Produksi!DA33</f>
        <v>29</v>
      </c>
      <c r="DJ21" s="51">
        <f>Produksi!DC33</f>
        <v>254</v>
      </c>
      <c r="DK21" s="76"/>
      <c r="DL21" s="76"/>
      <c r="DM21" s="50">
        <v>0</v>
      </c>
      <c r="DN21" s="182">
        <f t="shared" si="22"/>
        <v>253.96520000000001</v>
      </c>
      <c r="DO21" s="53">
        <f t="shared" si="7"/>
        <v>503.12544333333335</v>
      </c>
      <c r="DP21" s="52">
        <v>12</v>
      </c>
      <c r="DQ21" s="1" t="s">
        <v>158</v>
      </c>
      <c r="DR21" s="62">
        <f>Produksi!DJ33</f>
        <v>12</v>
      </c>
      <c r="DS21" s="51">
        <f>Produksi!DK33</f>
        <v>31</v>
      </c>
      <c r="DT21" s="51">
        <f>Produksi!DM33</f>
        <v>248.5</v>
      </c>
      <c r="DU21" s="76"/>
      <c r="DV21" s="76"/>
      <c r="DW21" s="50"/>
      <c r="DX21" s="182">
        <f t="shared" si="23"/>
        <v>248.46520000000001</v>
      </c>
      <c r="DY21" s="53">
        <f t="shared" si="8"/>
        <v>503.12544333333335</v>
      </c>
      <c r="DZ21" s="52">
        <v>12</v>
      </c>
      <c r="EA21" s="1" t="s">
        <v>158</v>
      </c>
      <c r="EB21" s="50">
        <f t="shared" si="9"/>
        <v>146</v>
      </c>
      <c r="EC21" s="50">
        <f t="shared" si="10"/>
        <v>398</v>
      </c>
      <c r="ED21" s="50">
        <f t="shared" si="24"/>
        <v>2652.2</v>
      </c>
      <c r="EE21" s="76"/>
      <c r="EF21" s="76"/>
      <c r="EG21" s="50">
        <f t="shared" si="11"/>
        <v>0</v>
      </c>
      <c r="EH21" s="74">
        <f t="shared" si="25"/>
        <v>2858.8467600000004</v>
      </c>
      <c r="EI21" s="53">
        <f t="shared" si="26"/>
        <v>6037.5053200000002</v>
      </c>
      <c r="EJ21" s="205">
        <f t="shared" si="12"/>
        <v>-3178.6585599999999</v>
      </c>
    </row>
    <row r="22" spans="1:165" ht="20.100000000000001" customHeight="1" x14ac:dyDescent="0.3">
      <c r="B22" s="13">
        <v>0</v>
      </c>
      <c r="C22" s="14">
        <v>7.1000000000000004E-3</v>
      </c>
      <c r="D22" s="15">
        <v>0</v>
      </c>
      <c r="E22" s="15">
        <v>0</v>
      </c>
      <c r="F22" s="16">
        <v>2.7699999999999999E-2</v>
      </c>
      <c r="G22" s="105">
        <v>0.18</v>
      </c>
      <c r="H22" s="152">
        <f>G22*H5/I22/1000</f>
        <v>17.516939999999998</v>
      </c>
      <c r="I22" s="96">
        <v>12</v>
      </c>
      <c r="J22" s="52">
        <v>13</v>
      </c>
      <c r="K22" s="1" t="s">
        <v>156</v>
      </c>
      <c r="L22" s="62">
        <f>Produksi!D34</f>
        <v>41</v>
      </c>
      <c r="M22" s="51">
        <f>Produksi!E34</f>
        <v>233</v>
      </c>
      <c r="N22" s="51">
        <f>Produksi!G34</f>
        <v>1365.2</v>
      </c>
      <c r="O22" s="76"/>
      <c r="P22" s="76"/>
      <c r="Q22" s="50">
        <v>0</v>
      </c>
      <c r="R22" s="155">
        <f t="shared" si="0"/>
        <v>1412.7089599999999</v>
      </c>
      <c r="S22" s="53">
        <f t="shared" si="1"/>
        <v>17.516939999999998</v>
      </c>
      <c r="T22" s="52">
        <v>13</v>
      </c>
      <c r="U22" s="1" t="s">
        <v>156</v>
      </c>
      <c r="V22" s="62">
        <f>Produksi!N34</f>
        <v>31</v>
      </c>
      <c r="W22" s="51">
        <f>Produksi!O34</f>
        <v>349</v>
      </c>
      <c r="X22" s="51">
        <f>Produksi!Q34</f>
        <v>2256.9</v>
      </c>
      <c r="Y22" s="76"/>
      <c r="Z22" s="76"/>
      <c r="AA22" s="50">
        <v>0</v>
      </c>
      <c r="AB22" s="74">
        <f t="shared" si="13"/>
        <v>2256.8652000000002</v>
      </c>
      <c r="AC22" s="53">
        <f>'Data Ketersediaan Pangan'!H22</f>
        <v>17.516939999999998</v>
      </c>
      <c r="AD22" s="52">
        <v>13</v>
      </c>
      <c r="AE22" s="1" t="s">
        <v>156</v>
      </c>
      <c r="AF22" s="62">
        <f>Produksi!X34</f>
        <v>40</v>
      </c>
      <c r="AG22" s="51">
        <f>Produksi!Y34</f>
        <v>162</v>
      </c>
      <c r="AH22" s="51">
        <f>Produksi!AA34</f>
        <v>1538.7</v>
      </c>
      <c r="AI22" s="76"/>
      <c r="AJ22" s="76"/>
      <c r="AK22" s="50">
        <v>0</v>
      </c>
      <c r="AL22" s="182">
        <f t="shared" si="14"/>
        <v>1538.6652000000001</v>
      </c>
      <c r="AM22" s="53">
        <f t="shared" si="2"/>
        <v>17.516939999999998</v>
      </c>
      <c r="AN22" s="52">
        <v>13</v>
      </c>
      <c r="AO22" s="1" t="s">
        <v>156</v>
      </c>
      <c r="AP22" s="62">
        <f>Produksi!AH34</f>
        <v>56</v>
      </c>
      <c r="AQ22" s="51">
        <f>Produksi!AI34</f>
        <v>182</v>
      </c>
      <c r="AR22" s="51">
        <f>Produksi!AK34</f>
        <v>972.8</v>
      </c>
      <c r="AS22" s="76"/>
      <c r="AT22" s="76"/>
      <c r="AU22" s="50">
        <f>Produksi!AJ34</f>
        <v>0</v>
      </c>
      <c r="AV22" s="182">
        <f t="shared" si="15"/>
        <v>972.76519999999994</v>
      </c>
      <c r="AW22" s="53">
        <f>'Data Ketersediaan Pangan'!H22</f>
        <v>17.516939999999998</v>
      </c>
      <c r="AX22" s="52">
        <v>13</v>
      </c>
      <c r="AY22" s="1" t="s">
        <v>156</v>
      </c>
      <c r="AZ22" s="62">
        <f>Produksi!AR34</f>
        <v>75</v>
      </c>
      <c r="BA22" s="51">
        <f>Produksi!AS34</f>
        <v>108</v>
      </c>
      <c r="BB22" s="51">
        <f>Produksi!AU34</f>
        <v>590.1</v>
      </c>
      <c r="BC22" s="76"/>
      <c r="BD22" s="76"/>
      <c r="BE22" s="50">
        <v>0</v>
      </c>
      <c r="BF22" s="182">
        <f t="shared" si="16"/>
        <v>590.0652</v>
      </c>
      <c r="BG22" s="53">
        <f t="shared" si="3"/>
        <v>17.516939999999998</v>
      </c>
      <c r="BH22" s="52">
        <v>13</v>
      </c>
      <c r="BI22" s="1" t="s">
        <v>156</v>
      </c>
      <c r="BJ22" s="62">
        <f>Produksi!BB34</f>
        <v>95</v>
      </c>
      <c r="BK22" s="51">
        <f>Produksi!BC34</f>
        <v>91</v>
      </c>
      <c r="BL22" s="51">
        <f>Produksi!BE34</f>
        <v>473.6</v>
      </c>
      <c r="BM22" s="76"/>
      <c r="BN22" s="76"/>
      <c r="BO22" s="50">
        <v>0</v>
      </c>
      <c r="BP22" s="182">
        <f t="shared" si="17"/>
        <v>473.5652</v>
      </c>
      <c r="BQ22" s="53">
        <f>'Data Ketersediaan Pangan'!H22</f>
        <v>17.516939999999998</v>
      </c>
      <c r="BR22" s="52">
        <v>13</v>
      </c>
      <c r="BS22" s="1" t="s">
        <v>156</v>
      </c>
      <c r="BT22" s="62">
        <f>Produksi!BL34</f>
        <v>82</v>
      </c>
      <c r="BU22" s="51">
        <f>Produksi!BM34</f>
        <v>85</v>
      </c>
      <c r="BV22" s="51">
        <f>Produksi!BO34</f>
        <v>419.4</v>
      </c>
      <c r="BW22" s="76"/>
      <c r="BX22" s="76"/>
      <c r="BY22" s="50">
        <v>0</v>
      </c>
      <c r="BZ22" s="182">
        <f t="shared" si="18"/>
        <v>419.36519999999996</v>
      </c>
      <c r="CA22" s="53">
        <f>'Data Ketersediaan Pangan'!H22</f>
        <v>17.516939999999998</v>
      </c>
      <c r="CB22" s="52">
        <v>13</v>
      </c>
      <c r="CC22" s="1" t="s">
        <v>156</v>
      </c>
      <c r="CD22" s="62">
        <f>Produksi!BV34</f>
        <v>94</v>
      </c>
      <c r="CE22" s="51">
        <f>Produksi!BW34</f>
        <v>137</v>
      </c>
      <c r="CF22" s="51">
        <f>Produksi!BY34</f>
        <v>566.6</v>
      </c>
      <c r="CG22" s="76"/>
      <c r="CH22" s="76"/>
      <c r="CI22" s="50">
        <v>0</v>
      </c>
      <c r="CJ22" s="182">
        <f t="shared" si="19"/>
        <v>566.5652</v>
      </c>
      <c r="CK22" s="53">
        <f t="shared" si="4"/>
        <v>17.516939999999998</v>
      </c>
      <c r="CL22" s="52">
        <v>13</v>
      </c>
      <c r="CM22" s="1" t="s">
        <v>156</v>
      </c>
      <c r="CN22" s="62">
        <f>Produksi!CF34</f>
        <v>69</v>
      </c>
      <c r="CO22" s="51">
        <f>Produksi!CG34</f>
        <v>226</v>
      </c>
      <c r="CP22" s="51">
        <f>Produksi!CI34</f>
        <v>961.2</v>
      </c>
      <c r="CQ22" s="76"/>
      <c r="CR22" s="76"/>
      <c r="CS22" s="50">
        <v>0</v>
      </c>
      <c r="CT22" s="182">
        <f t="shared" si="20"/>
        <v>961.16520000000003</v>
      </c>
      <c r="CU22" s="53">
        <f t="shared" si="5"/>
        <v>17.516939999999998</v>
      </c>
      <c r="CV22" s="52">
        <v>13</v>
      </c>
      <c r="CW22" s="1" t="s">
        <v>156</v>
      </c>
      <c r="CX22" s="62">
        <f>Produksi!CP34</f>
        <v>41</v>
      </c>
      <c r="CY22" s="51">
        <f>Produksi!CQ34</f>
        <v>244</v>
      </c>
      <c r="CZ22" s="51">
        <f>Produksi!CS34</f>
        <v>616.6</v>
      </c>
      <c r="DA22" s="76"/>
      <c r="DB22" s="76"/>
      <c r="DC22" s="50">
        <v>0</v>
      </c>
      <c r="DD22" s="182">
        <f t="shared" si="21"/>
        <v>616.5652</v>
      </c>
      <c r="DE22" s="53">
        <f t="shared" si="6"/>
        <v>17.516939999999998</v>
      </c>
      <c r="DF22" s="52">
        <v>13</v>
      </c>
      <c r="DG22" s="1" t="s">
        <v>156</v>
      </c>
      <c r="DH22" s="62">
        <f>Produksi!CZ34</f>
        <v>43</v>
      </c>
      <c r="DI22" s="51">
        <f>Produksi!DA34</f>
        <v>200</v>
      </c>
      <c r="DJ22" s="51">
        <f>Produksi!DC34</f>
        <v>712.5</v>
      </c>
      <c r="DK22" s="76"/>
      <c r="DL22" s="76"/>
      <c r="DM22" s="50">
        <v>0</v>
      </c>
      <c r="DN22" s="182">
        <f t="shared" si="22"/>
        <v>712.46519999999998</v>
      </c>
      <c r="DO22" s="53">
        <f t="shared" si="7"/>
        <v>17.516939999999998</v>
      </c>
      <c r="DP22" s="52">
        <v>13</v>
      </c>
      <c r="DQ22" s="1" t="s">
        <v>156</v>
      </c>
      <c r="DR22" s="62">
        <f>Produksi!DJ34</f>
        <v>65</v>
      </c>
      <c r="DS22" s="51">
        <f>Produksi!DK34</f>
        <v>209</v>
      </c>
      <c r="DT22" s="51">
        <f>Produksi!DM34</f>
        <v>783.7</v>
      </c>
      <c r="DU22" s="76"/>
      <c r="DV22" s="76"/>
      <c r="DW22" s="50"/>
      <c r="DX22" s="182">
        <f t="shared" si="23"/>
        <v>783.66520000000003</v>
      </c>
      <c r="DY22" s="53">
        <f t="shared" si="8"/>
        <v>17.516939999999998</v>
      </c>
      <c r="DZ22" s="52">
        <v>13</v>
      </c>
      <c r="EA22" s="1" t="s">
        <v>156</v>
      </c>
      <c r="EB22" s="50">
        <f t="shared" si="9"/>
        <v>732</v>
      </c>
      <c r="EC22" s="50">
        <f t="shared" si="10"/>
        <v>2226</v>
      </c>
      <c r="ED22" s="50">
        <f t="shared" si="24"/>
        <v>9000.4000000000015</v>
      </c>
      <c r="EE22" s="76"/>
      <c r="EF22" s="76"/>
      <c r="EG22" s="50">
        <f t="shared" si="11"/>
        <v>0</v>
      </c>
      <c r="EH22" s="74">
        <f t="shared" si="25"/>
        <v>11304.426160000001</v>
      </c>
      <c r="EI22" s="53">
        <f t="shared" si="26"/>
        <v>210.20328000000003</v>
      </c>
      <c r="EJ22" s="205">
        <f t="shared" si="12"/>
        <v>11094.222880000001</v>
      </c>
      <c r="EL22" s="257" t="s">
        <v>233</v>
      </c>
      <c r="EM22" s="258"/>
      <c r="EN22" s="258"/>
      <c r="EO22" s="258"/>
      <c r="EP22" s="213"/>
    </row>
    <row r="23" spans="1:165" ht="27.75" customHeight="1" x14ac:dyDescent="0.3">
      <c r="B23" s="13">
        <v>0</v>
      </c>
      <c r="C23" s="14">
        <v>7.1000000000000004E-3</v>
      </c>
      <c r="D23" s="15">
        <v>0</v>
      </c>
      <c r="E23" s="15">
        <v>0</v>
      </c>
      <c r="F23" s="16">
        <v>2.7699999999999999E-2</v>
      </c>
      <c r="G23" s="105">
        <v>2.62</v>
      </c>
      <c r="H23" s="152">
        <f>G23*H5/I23/1000</f>
        <v>254.96879333333334</v>
      </c>
      <c r="I23" s="96">
        <v>12</v>
      </c>
      <c r="J23" s="52">
        <v>14</v>
      </c>
      <c r="K23" s="1" t="s">
        <v>157</v>
      </c>
      <c r="L23" s="62">
        <f>Produksi!D35</f>
        <v>1396</v>
      </c>
      <c r="M23" s="51">
        <f>Produksi!E35</f>
        <v>2085</v>
      </c>
      <c r="N23" s="51">
        <f>Produksi!G35</f>
        <v>8105</v>
      </c>
      <c r="O23" s="76"/>
      <c r="P23" s="76"/>
      <c r="Q23" s="50">
        <v>0</v>
      </c>
      <c r="R23" s="155">
        <f t="shared" si="0"/>
        <v>8387.0540000000001</v>
      </c>
      <c r="S23" s="53">
        <f t="shared" si="1"/>
        <v>254.96879333333334</v>
      </c>
      <c r="T23" s="52">
        <v>14</v>
      </c>
      <c r="U23" s="1" t="s">
        <v>157</v>
      </c>
      <c r="V23" s="62">
        <f>Produksi!N35</f>
        <v>5095</v>
      </c>
      <c r="W23" s="51">
        <f>Produksi!O35</f>
        <v>1315</v>
      </c>
      <c r="X23" s="51">
        <f>Produksi!Q35</f>
        <v>2470.9</v>
      </c>
      <c r="Y23" s="76"/>
      <c r="Z23" s="76"/>
      <c r="AA23" s="50">
        <v>0</v>
      </c>
      <c r="AB23" s="74">
        <f t="shared" si="13"/>
        <v>2470.8652000000002</v>
      </c>
      <c r="AC23" s="53">
        <f>'Data Ketersediaan Pangan'!H23</f>
        <v>254.96879333333334</v>
      </c>
      <c r="AD23" s="52">
        <v>14</v>
      </c>
      <c r="AE23" s="1" t="s">
        <v>157</v>
      </c>
      <c r="AF23" s="62">
        <f>Produksi!X35</f>
        <v>295</v>
      </c>
      <c r="AG23" s="51">
        <f>Produksi!Y35</f>
        <v>673</v>
      </c>
      <c r="AH23" s="51">
        <f>Produksi!AA35</f>
        <v>2111</v>
      </c>
      <c r="AI23" s="76"/>
      <c r="AJ23" s="76"/>
      <c r="AK23" s="50">
        <v>0</v>
      </c>
      <c r="AL23" s="182">
        <f t="shared" si="14"/>
        <v>2110.9652000000001</v>
      </c>
      <c r="AM23" s="53">
        <f t="shared" si="2"/>
        <v>254.96879333333334</v>
      </c>
      <c r="AN23" s="52">
        <v>14</v>
      </c>
      <c r="AO23" s="1" t="s">
        <v>157</v>
      </c>
      <c r="AP23" s="62">
        <f>Produksi!AH35</f>
        <v>178</v>
      </c>
      <c r="AQ23" s="51">
        <f>Produksi!AI35</f>
        <v>622</v>
      </c>
      <c r="AR23" s="51">
        <f>Produksi!AK35</f>
        <v>5515.8</v>
      </c>
      <c r="AS23" s="76"/>
      <c r="AT23" s="76"/>
      <c r="AU23" s="50">
        <f>Produksi!AJ35</f>
        <v>0</v>
      </c>
      <c r="AV23" s="182">
        <f t="shared" si="15"/>
        <v>5515.7651999999998</v>
      </c>
      <c r="AW23" s="53">
        <f>'Data Ketersediaan Pangan'!H23</f>
        <v>254.96879333333334</v>
      </c>
      <c r="AX23" s="52">
        <v>14</v>
      </c>
      <c r="AY23" s="1" t="s">
        <v>157</v>
      </c>
      <c r="AZ23" s="62">
        <f>Produksi!AR35</f>
        <v>359</v>
      </c>
      <c r="BA23" s="51">
        <f>Produksi!AS35</f>
        <v>3235</v>
      </c>
      <c r="BB23" s="51">
        <f>Produksi!AU35</f>
        <v>30370.7</v>
      </c>
      <c r="BC23" s="76"/>
      <c r="BD23" s="76"/>
      <c r="BE23" s="50">
        <v>0</v>
      </c>
      <c r="BF23" s="182">
        <f t="shared" si="16"/>
        <v>30370.665199999999</v>
      </c>
      <c r="BG23" s="53">
        <f t="shared" si="3"/>
        <v>254.96879333333334</v>
      </c>
      <c r="BH23" s="52">
        <v>14</v>
      </c>
      <c r="BI23" s="1" t="s">
        <v>157</v>
      </c>
      <c r="BJ23" s="62">
        <f>Produksi!BB35</f>
        <v>553</v>
      </c>
      <c r="BK23" s="51">
        <f>Produksi!BC35</f>
        <v>3903</v>
      </c>
      <c r="BL23" s="51">
        <f>Produksi!BE35</f>
        <v>37713</v>
      </c>
      <c r="BM23" s="76"/>
      <c r="BN23" s="76"/>
      <c r="BO23" s="50">
        <v>0</v>
      </c>
      <c r="BP23" s="182">
        <f t="shared" si="17"/>
        <v>37712.965199999999</v>
      </c>
      <c r="BQ23" s="53">
        <f>'Data Ketersediaan Pangan'!H23</f>
        <v>254.96879333333334</v>
      </c>
      <c r="BR23" s="52">
        <v>14</v>
      </c>
      <c r="BS23" s="1" t="s">
        <v>157</v>
      </c>
      <c r="BT23" s="62">
        <f>Produksi!BL35</f>
        <v>380</v>
      </c>
      <c r="BU23" s="51">
        <f>Produksi!BM35</f>
        <v>2828</v>
      </c>
      <c r="BV23" s="51">
        <f>Produksi!BO35</f>
        <v>27038.1</v>
      </c>
      <c r="BW23" s="76"/>
      <c r="BX23" s="76"/>
      <c r="BY23" s="50">
        <v>0</v>
      </c>
      <c r="BZ23" s="182">
        <f t="shared" si="18"/>
        <v>27038.065199999997</v>
      </c>
      <c r="CA23" s="53">
        <f>'Data Ketersediaan Pangan'!H23</f>
        <v>254.96879333333334</v>
      </c>
      <c r="CB23" s="52">
        <v>14</v>
      </c>
      <c r="CC23" s="1" t="s">
        <v>157</v>
      </c>
      <c r="CD23" s="62">
        <f>Produksi!BV35</f>
        <v>241</v>
      </c>
      <c r="CE23" s="51">
        <f>Produksi!BW35</f>
        <v>6128</v>
      </c>
      <c r="CF23" s="51">
        <f>Produksi!BY35</f>
        <v>45011.5</v>
      </c>
      <c r="CG23" s="76"/>
      <c r="CH23" s="76"/>
      <c r="CI23" s="50">
        <v>0</v>
      </c>
      <c r="CJ23" s="182">
        <f t="shared" si="19"/>
        <v>45011.465199999999</v>
      </c>
      <c r="CK23" s="53">
        <f t="shared" si="4"/>
        <v>254.96879333333334</v>
      </c>
      <c r="CL23" s="52">
        <v>14</v>
      </c>
      <c r="CM23" s="1" t="s">
        <v>157</v>
      </c>
      <c r="CN23" s="62">
        <f>Produksi!CF35</f>
        <v>111</v>
      </c>
      <c r="CO23" s="51">
        <f>Produksi!CG35</f>
        <v>4036</v>
      </c>
      <c r="CP23" s="51">
        <f>Produksi!CI35</f>
        <v>8950.6</v>
      </c>
      <c r="CQ23" s="76"/>
      <c r="CR23" s="76"/>
      <c r="CS23" s="50">
        <v>0</v>
      </c>
      <c r="CT23" s="182">
        <f t="shared" si="20"/>
        <v>8950.5652000000009</v>
      </c>
      <c r="CU23" s="53">
        <f t="shared" si="5"/>
        <v>254.96879333333334</v>
      </c>
      <c r="CV23" s="52">
        <v>14</v>
      </c>
      <c r="CW23" s="1" t="s">
        <v>157</v>
      </c>
      <c r="CX23" s="62">
        <f>Produksi!CP35</f>
        <v>48</v>
      </c>
      <c r="CY23" s="51">
        <f>Produksi!CQ35</f>
        <v>1309</v>
      </c>
      <c r="CZ23" s="51">
        <f>Produksi!CS35</f>
        <v>4762.6000000000004</v>
      </c>
      <c r="DA23" s="76"/>
      <c r="DB23" s="76"/>
      <c r="DC23" s="50">
        <v>0</v>
      </c>
      <c r="DD23" s="182">
        <f t="shared" si="21"/>
        <v>4762.5652</v>
      </c>
      <c r="DE23" s="53">
        <f t="shared" si="6"/>
        <v>254.96879333333334</v>
      </c>
      <c r="DF23" s="52">
        <v>14</v>
      </c>
      <c r="DG23" s="1" t="s">
        <v>157</v>
      </c>
      <c r="DH23" s="62">
        <f>Produksi!CZ35</f>
        <v>3092</v>
      </c>
      <c r="DI23" s="51">
        <f>Produksi!DA35</f>
        <v>2019</v>
      </c>
      <c r="DJ23" s="51">
        <f>Produksi!DC35</f>
        <v>8469.7999999999993</v>
      </c>
      <c r="DK23" s="76"/>
      <c r="DL23" s="76"/>
      <c r="DM23" s="50">
        <v>0</v>
      </c>
      <c r="DN23" s="182">
        <f t="shared" si="22"/>
        <v>8469.7651999999998</v>
      </c>
      <c r="DO23" s="53">
        <f t="shared" si="7"/>
        <v>254.96879333333334</v>
      </c>
      <c r="DP23" s="52">
        <v>14</v>
      </c>
      <c r="DQ23" s="1" t="s">
        <v>157</v>
      </c>
      <c r="DR23" s="62">
        <f>Produksi!DJ35</f>
        <v>3998</v>
      </c>
      <c r="DS23" s="51">
        <f>Produksi!DK35</f>
        <v>1888</v>
      </c>
      <c r="DT23" s="51">
        <f>Produksi!DM35</f>
        <v>7618.7</v>
      </c>
      <c r="DU23" s="76"/>
      <c r="DV23" s="76"/>
      <c r="DW23" s="50"/>
      <c r="DX23" s="182">
        <f t="shared" si="23"/>
        <v>7618.6651999999995</v>
      </c>
      <c r="DY23" s="53">
        <f t="shared" si="8"/>
        <v>254.96879333333334</v>
      </c>
      <c r="DZ23" s="52">
        <v>14</v>
      </c>
      <c r="EA23" s="1" t="s">
        <v>157</v>
      </c>
      <c r="EB23" s="50">
        <f t="shared" si="9"/>
        <v>15746</v>
      </c>
      <c r="EC23" s="50">
        <f t="shared" si="10"/>
        <v>30041</v>
      </c>
      <c r="ED23" s="50">
        <f t="shared" si="24"/>
        <v>185666.80000000002</v>
      </c>
      <c r="EE23" s="76"/>
      <c r="EF23" s="76"/>
      <c r="EG23" s="50">
        <f t="shared" si="11"/>
        <v>0</v>
      </c>
      <c r="EH23" s="74">
        <f t="shared" si="25"/>
        <v>188419.37119999999</v>
      </c>
      <c r="EI23" s="53">
        <f t="shared" si="26"/>
        <v>3059.625520000001</v>
      </c>
      <c r="EJ23" s="205">
        <f t="shared" si="12"/>
        <v>185359.74567999999</v>
      </c>
      <c r="EL23" s="259"/>
      <c r="EM23" s="260"/>
      <c r="EN23" s="260"/>
      <c r="EO23" s="260"/>
      <c r="EP23" s="261"/>
      <c r="EU23" s="208" t="s">
        <v>3</v>
      </c>
      <c r="EV23" s="208" t="s">
        <v>255</v>
      </c>
      <c r="EW23" s="209" t="s">
        <v>256</v>
      </c>
      <c r="EX23" s="209" t="s">
        <v>257</v>
      </c>
    </row>
    <row r="24" spans="1:165" ht="20.100000000000001" customHeight="1" x14ac:dyDescent="0.3">
      <c r="B24" s="13">
        <v>0</v>
      </c>
      <c r="C24" s="14">
        <v>7.1000000000000004E-3</v>
      </c>
      <c r="D24" s="15">
        <v>0</v>
      </c>
      <c r="E24" s="15">
        <v>0</v>
      </c>
      <c r="F24" s="16">
        <v>2.7699999999999999E-2</v>
      </c>
      <c r="G24" s="105">
        <v>1.41</v>
      </c>
      <c r="H24" s="152">
        <f>G24*H5/I24/1000</f>
        <v>137.21602999999999</v>
      </c>
      <c r="I24" s="96">
        <v>12</v>
      </c>
      <c r="J24" s="52">
        <v>15</v>
      </c>
      <c r="K24" s="1" t="s">
        <v>38</v>
      </c>
      <c r="L24" s="62">
        <f>Produksi!D37</f>
        <v>7</v>
      </c>
      <c r="M24" s="51">
        <f>Produksi!E37</f>
        <v>22</v>
      </c>
      <c r="N24" s="51">
        <f>Produksi!G37</f>
        <v>218.7</v>
      </c>
      <c r="O24" s="76"/>
      <c r="P24" s="76"/>
      <c r="Q24" s="50">
        <v>0</v>
      </c>
      <c r="R24" s="155">
        <f t="shared" si="0"/>
        <v>226.31075999999999</v>
      </c>
      <c r="S24" s="53">
        <f t="shared" si="1"/>
        <v>137.21602999999999</v>
      </c>
      <c r="T24" s="52">
        <v>15</v>
      </c>
      <c r="U24" s="1" t="s">
        <v>38</v>
      </c>
      <c r="V24" s="62">
        <f>Produksi!N38</f>
        <v>4</v>
      </c>
      <c r="W24" s="51">
        <f>Produksi!O37</f>
        <v>23</v>
      </c>
      <c r="X24" s="51">
        <f>Produksi!Q36</f>
        <v>5325</v>
      </c>
      <c r="Y24" s="76"/>
      <c r="Z24" s="76"/>
      <c r="AA24" s="50">
        <v>0</v>
      </c>
      <c r="AB24" s="74">
        <f t="shared" si="13"/>
        <v>5324.9651999999996</v>
      </c>
      <c r="AC24" s="53">
        <f>'Data Ketersediaan Pangan'!H24</f>
        <v>137.21602999999999</v>
      </c>
      <c r="AD24" s="52">
        <v>15</v>
      </c>
      <c r="AE24" s="1" t="s">
        <v>38</v>
      </c>
      <c r="AF24" s="62">
        <f>Produksi!X37</f>
        <v>6</v>
      </c>
      <c r="AG24" s="51">
        <f>Produksi!Y37</f>
        <v>23</v>
      </c>
      <c r="AH24" s="51">
        <f>Produksi!AA37</f>
        <v>180.3</v>
      </c>
      <c r="AI24" s="76"/>
      <c r="AJ24" s="76"/>
      <c r="AK24" s="50">
        <v>0</v>
      </c>
      <c r="AL24" s="182">
        <f t="shared" si="14"/>
        <v>180.26520000000002</v>
      </c>
      <c r="AM24" s="53">
        <f t="shared" si="2"/>
        <v>137.21602999999999</v>
      </c>
      <c r="AN24" s="52">
        <v>15</v>
      </c>
      <c r="AO24" s="1" t="s">
        <v>38</v>
      </c>
      <c r="AP24" s="62">
        <f>Produksi!AH37</f>
        <v>12</v>
      </c>
      <c r="AQ24" s="51">
        <f>Produksi!AI37</f>
        <v>23</v>
      </c>
      <c r="AR24" s="51">
        <f>Produksi!AK37</f>
        <v>192.4</v>
      </c>
      <c r="AS24" s="76"/>
      <c r="AT24" s="76"/>
      <c r="AU24" s="50">
        <f>Produksi!AJ37</f>
        <v>0</v>
      </c>
      <c r="AV24" s="182">
        <f t="shared" si="15"/>
        <v>192.36520000000002</v>
      </c>
      <c r="AW24" s="53">
        <f>'Data Ketersediaan Pangan'!H24</f>
        <v>137.21602999999999</v>
      </c>
      <c r="AX24" s="52">
        <v>15</v>
      </c>
      <c r="AY24" s="1" t="s">
        <v>38</v>
      </c>
      <c r="AZ24" s="62">
        <f>Produksi!AR37</f>
        <v>9</v>
      </c>
      <c r="BA24" s="51">
        <f>Produksi!AS37</f>
        <v>28</v>
      </c>
      <c r="BB24" s="51">
        <f>Produksi!AU37</f>
        <v>224.7</v>
      </c>
      <c r="BC24" s="76"/>
      <c r="BD24" s="76"/>
      <c r="BE24" s="50">
        <v>0</v>
      </c>
      <c r="BF24" s="182">
        <f t="shared" si="16"/>
        <v>224.6652</v>
      </c>
      <c r="BG24" s="53">
        <f t="shared" si="3"/>
        <v>137.21602999999999</v>
      </c>
      <c r="BH24" s="52">
        <v>15</v>
      </c>
      <c r="BI24" s="1" t="s">
        <v>38</v>
      </c>
      <c r="BJ24" s="62">
        <f>Produksi!BB37</f>
        <v>2520</v>
      </c>
      <c r="BK24" s="51">
        <f>Produksi!BC37</f>
        <v>4540</v>
      </c>
      <c r="BL24" s="51">
        <f>Produksi!BE37</f>
        <v>1737</v>
      </c>
      <c r="BM24" s="76"/>
      <c r="BN24" s="76"/>
      <c r="BO24" s="50">
        <v>0</v>
      </c>
      <c r="BP24" s="182">
        <f t="shared" si="17"/>
        <v>1736.9652000000001</v>
      </c>
      <c r="BQ24" s="53">
        <f>'Data Ketersediaan Pangan'!H24</f>
        <v>137.21602999999999</v>
      </c>
      <c r="BR24" s="52">
        <v>15</v>
      </c>
      <c r="BS24" s="1" t="s">
        <v>38</v>
      </c>
      <c r="BT24" s="62">
        <f>Produksi!BL37</f>
        <v>11</v>
      </c>
      <c r="BU24" s="51">
        <f>Produksi!BM37</f>
        <v>28</v>
      </c>
      <c r="BV24" s="51">
        <f>Produksi!BO37</f>
        <v>328</v>
      </c>
      <c r="BW24" s="76"/>
      <c r="BX24" s="76"/>
      <c r="BY24" s="50">
        <v>0</v>
      </c>
      <c r="BZ24" s="182">
        <f t="shared" si="18"/>
        <v>327.96519999999998</v>
      </c>
      <c r="CA24" s="53">
        <f>'Data Ketersediaan Pangan'!H24</f>
        <v>137.21602999999999</v>
      </c>
      <c r="CB24" s="52">
        <v>15</v>
      </c>
      <c r="CC24" s="1" t="s">
        <v>38</v>
      </c>
      <c r="CD24" s="62">
        <f>Produksi!BV37</f>
        <v>13</v>
      </c>
      <c r="CE24" s="51">
        <f>Produksi!BW37</f>
        <v>29</v>
      </c>
      <c r="CF24" s="51">
        <f>Produksi!BY37</f>
        <v>343</v>
      </c>
      <c r="CG24" s="76"/>
      <c r="CH24" s="76"/>
      <c r="CI24" s="50">
        <v>0</v>
      </c>
      <c r="CJ24" s="182">
        <f t="shared" si="19"/>
        <v>342.96519999999998</v>
      </c>
      <c r="CK24" s="53">
        <f t="shared" si="4"/>
        <v>137.21602999999999</v>
      </c>
      <c r="CL24" s="52">
        <v>15</v>
      </c>
      <c r="CM24" s="1" t="s">
        <v>38</v>
      </c>
      <c r="CN24" s="62">
        <f>Produksi!CF37</f>
        <v>13</v>
      </c>
      <c r="CO24" s="51">
        <f>Produksi!CG37</f>
        <v>28</v>
      </c>
      <c r="CP24" s="51">
        <f>Produksi!CI37</f>
        <v>233</v>
      </c>
      <c r="CQ24" s="76"/>
      <c r="CR24" s="76"/>
      <c r="CS24" s="50">
        <v>0</v>
      </c>
      <c r="CT24" s="182">
        <f t="shared" si="20"/>
        <v>232.96520000000001</v>
      </c>
      <c r="CU24" s="53">
        <f t="shared" si="5"/>
        <v>137.21602999999999</v>
      </c>
      <c r="CV24" s="52">
        <v>15</v>
      </c>
      <c r="CW24" s="1" t="s">
        <v>38</v>
      </c>
      <c r="CX24" s="62">
        <f>Produksi!CP37</f>
        <v>8</v>
      </c>
      <c r="CY24" s="51">
        <f>Produksi!CQ37</f>
        <v>27</v>
      </c>
      <c r="CZ24" s="51">
        <f>Produksi!CS37</f>
        <v>253</v>
      </c>
      <c r="DA24" s="76"/>
      <c r="DB24" s="76"/>
      <c r="DC24" s="50">
        <v>0</v>
      </c>
      <c r="DD24" s="182">
        <f t="shared" si="21"/>
        <v>252.96520000000001</v>
      </c>
      <c r="DE24" s="53">
        <f t="shared" si="6"/>
        <v>137.21602999999999</v>
      </c>
      <c r="DF24" s="52">
        <v>15</v>
      </c>
      <c r="DG24" s="1" t="s">
        <v>38</v>
      </c>
      <c r="DH24" s="62">
        <f>Produksi!CZ37</f>
        <v>5</v>
      </c>
      <c r="DI24" s="51">
        <f>Produksi!DA37</f>
        <v>27</v>
      </c>
      <c r="DJ24" s="51">
        <f>Produksi!DC37</f>
        <v>233.6</v>
      </c>
      <c r="DK24" s="76"/>
      <c r="DL24" s="76"/>
      <c r="DM24" s="50">
        <v>0</v>
      </c>
      <c r="DN24" s="182">
        <f t="shared" si="22"/>
        <v>233.5652</v>
      </c>
      <c r="DO24" s="53">
        <f t="shared" si="7"/>
        <v>137.21602999999999</v>
      </c>
      <c r="DP24" s="52">
        <v>15</v>
      </c>
      <c r="DQ24" s="1" t="s">
        <v>38</v>
      </c>
      <c r="DR24" s="62">
        <f>Produksi!DJ37</f>
        <v>9</v>
      </c>
      <c r="DS24" s="51">
        <f>Produksi!DK37</f>
        <v>22</v>
      </c>
      <c r="DT24" s="51">
        <f>Produksi!DM37</f>
        <v>287</v>
      </c>
      <c r="DU24" s="76"/>
      <c r="DV24" s="76"/>
      <c r="DW24" s="50"/>
      <c r="DX24" s="182">
        <f t="shared" si="23"/>
        <v>286.96519999999998</v>
      </c>
      <c r="DY24" s="53">
        <f t="shared" si="8"/>
        <v>137.21602999999999</v>
      </c>
      <c r="DZ24" s="52">
        <v>15</v>
      </c>
      <c r="EA24" s="1" t="s">
        <v>38</v>
      </c>
      <c r="EB24" s="50">
        <f t="shared" si="9"/>
        <v>2617</v>
      </c>
      <c r="EC24" s="50">
        <f t="shared" si="10"/>
        <v>4820</v>
      </c>
      <c r="ED24" s="50">
        <f t="shared" si="24"/>
        <v>4230.7</v>
      </c>
      <c r="EE24" s="76"/>
      <c r="EF24" s="76"/>
      <c r="EG24" s="50">
        <f t="shared" si="11"/>
        <v>0</v>
      </c>
      <c r="EH24" s="74">
        <f t="shared" si="25"/>
        <v>9562.9279600000027</v>
      </c>
      <c r="EI24" s="53">
        <f t="shared" si="26"/>
        <v>1646.5923600000003</v>
      </c>
      <c r="EJ24" s="205">
        <f t="shared" si="12"/>
        <v>7916.3356000000022</v>
      </c>
      <c r="EL24" s="262"/>
      <c r="EM24" s="263"/>
      <c r="EN24" s="263"/>
      <c r="EO24" s="263"/>
      <c r="EP24" s="214"/>
      <c r="EU24" s="52">
        <v>1</v>
      </c>
      <c r="EV24" s="52">
        <v>2016</v>
      </c>
      <c r="EW24" s="6">
        <v>6374.65</v>
      </c>
      <c r="EX24" s="6">
        <v>219.99</v>
      </c>
    </row>
    <row r="25" spans="1:165" ht="20.100000000000001" customHeight="1" x14ac:dyDescent="0.3">
      <c r="B25" s="13">
        <v>0</v>
      </c>
      <c r="C25" s="14">
        <v>7.3000000000000001E-3</v>
      </c>
      <c r="D25" s="15">
        <v>0</v>
      </c>
      <c r="E25" s="15">
        <v>0</v>
      </c>
      <c r="F25" s="16">
        <v>2.75E-2</v>
      </c>
      <c r="G25" s="105">
        <v>5.77</v>
      </c>
      <c r="H25" s="152">
        <f>G25*H5/I25/1000</f>
        <v>561.51524333333327</v>
      </c>
      <c r="I25" s="66">
        <v>12</v>
      </c>
      <c r="J25" s="52">
        <v>16</v>
      </c>
      <c r="K25" s="1" t="s">
        <v>39</v>
      </c>
      <c r="L25" s="62">
        <f>Produksi!D38</f>
        <v>8</v>
      </c>
      <c r="M25" s="55">
        <f>Produksi!E38</f>
        <v>33</v>
      </c>
      <c r="N25" s="55">
        <f>Produksi!G36</f>
        <v>5160</v>
      </c>
      <c r="O25" s="76"/>
      <c r="P25" s="76"/>
      <c r="Q25" s="50">
        <v>0</v>
      </c>
      <c r="R25" s="155">
        <f t="shared" si="0"/>
        <v>5339.5680000000002</v>
      </c>
      <c r="S25" s="53">
        <f t="shared" si="1"/>
        <v>561.51524333333327</v>
      </c>
      <c r="T25" s="52">
        <v>16</v>
      </c>
      <c r="U25" s="1" t="s">
        <v>39</v>
      </c>
      <c r="V25" s="62">
        <f>Produksi!N38</f>
        <v>4</v>
      </c>
      <c r="W25" s="55">
        <f>Produksi!O38</f>
        <v>18</v>
      </c>
      <c r="X25" s="55">
        <f>Produksi!Q38</f>
        <v>89.3</v>
      </c>
      <c r="Y25" s="76"/>
      <c r="Z25" s="76"/>
      <c r="AA25" s="50">
        <v>0</v>
      </c>
      <c r="AB25" s="74">
        <f t="shared" si="13"/>
        <v>89.265199999999993</v>
      </c>
      <c r="AC25" s="53">
        <f>'Data Ketersediaan Pangan'!H25</f>
        <v>561.51524333333327</v>
      </c>
      <c r="AD25" s="52">
        <v>16</v>
      </c>
      <c r="AE25" s="1" t="s">
        <v>39</v>
      </c>
      <c r="AF25" s="62">
        <f>Produksi!X38</f>
        <v>7</v>
      </c>
      <c r="AG25" s="55">
        <f>Produksi!Y38</f>
        <v>12</v>
      </c>
      <c r="AH25" s="55">
        <f>Produksi!AA38</f>
        <v>70.2</v>
      </c>
      <c r="AI25" s="76"/>
      <c r="AJ25" s="76"/>
      <c r="AK25" s="50">
        <v>0</v>
      </c>
      <c r="AL25" s="182">
        <f t="shared" si="14"/>
        <v>70.165199999999999</v>
      </c>
      <c r="AM25" s="53">
        <f t="shared" si="2"/>
        <v>561.51524333333327</v>
      </c>
      <c r="AN25" s="52">
        <v>16</v>
      </c>
      <c r="AO25" s="1" t="s">
        <v>39</v>
      </c>
      <c r="AP25" s="62">
        <f>Produksi!AH38</f>
        <v>8</v>
      </c>
      <c r="AQ25" s="62">
        <f>Produksi!AI38</f>
        <v>28</v>
      </c>
      <c r="AR25" s="62">
        <f>Produksi!AK38</f>
        <v>143</v>
      </c>
      <c r="AS25" s="76"/>
      <c r="AT25" s="76"/>
      <c r="AU25" s="50">
        <f>Produksi!AJ38</f>
        <v>0</v>
      </c>
      <c r="AV25" s="182">
        <f t="shared" si="15"/>
        <v>142.96520000000001</v>
      </c>
      <c r="AW25" s="53">
        <f>'Data Ketersediaan Pangan'!H25</f>
        <v>561.51524333333327</v>
      </c>
      <c r="AX25" s="52">
        <v>16</v>
      </c>
      <c r="AY25" s="1" t="s">
        <v>39</v>
      </c>
      <c r="AZ25" s="62">
        <f>Produksi!AR38</f>
        <v>7</v>
      </c>
      <c r="BA25" s="51">
        <f>Produksi!AS38</f>
        <v>34</v>
      </c>
      <c r="BB25" s="51">
        <f>Produksi!AU38</f>
        <v>213</v>
      </c>
      <c r="BC25" s="76"/>
      <c r="BD25" s="76"/>
      <c r="BE25" s="50">
        <v>0</v>
      </c>
      <c r="BF25" s="182">
        <f t="shared" si="16"/>
        <v>212.96520000000001</v>
      </c>
      <c r="BG25" s="53">
        <f t="shared" si="3"/>
        <v>561.51524333333327</v>
      </c>
      <c r="BH25" s="52">
        <v>16</v>
      </c>
      <c r="BI25" s="1" t="s">
        <v>39</v>
      </c>
      <c r="BJ25" s="62">
        <f>Produksi!BB38</f>
        <v>15</v>
      </c>
      <c r="BK25" s="62">
        <f>Produksi!BC38</f>
        <v>12</v>
      </c>
      <c r="BL25" s="62">
        <f>Produksi!BE38</f>
        <v>177.7</v>
      </c>
      <c r="BM25" s="76"/>
      <c r="BN25" s="76"/>
      <c r="BO25" s="50">
        <v>0</v>
      </c>
      <c r="BP25" s="182">
        <f t="shared" si="17"/>
        <v>177.6652</v>
      </c>
      <c r="BQ25" s="53">
        <f>'Data Ketersediaan Pangan'!H25</f>
        <v>561.51524333333327</v>
      </c>
      <c r="BR25" s="52">
        <v>16</v>
      </c>
      <c r="BS25" s="1" t="s">
        <v>39</v>
      </c>
      <c r="BT25" s="62">
        <f>Produksi!BL38</f>
        <v>7</v>
      </c>
      <c r="BU25" s="55">
        <f>Produksi!BM38</f>
        <v>32</v>
      </c>
      <c r="BV25" s="55">
        <f>Produksi!BO38</f>
        <v>186</v>
      </c>
      <c r="BW25" s="76"/>
      <c r="BX25" s="76"/>
      <c r="BY25" s="50">
        <v>0</v>
      </c>
      <c r="BZ25" s="182">
        <f t="shared" si="18"/>
        <v>185.96520000000001</v>
      </c>
      <c r="CA25" s="53">
        <f>'Data Ketersediaan Pangan'!H25</f>
        <v>561.51524333333327</v>
      </c>
      <c r="CB25" s="52">
        <v>16</v>
      </c>
      <c r="CC25" s="1" t="s">
        <v>39</v>
      </c>
      <c r="CD25" s="62">
        <f>Produksi!BV38</f>
        <v>10</v>
      </c>
      <c r="CE25" s="55">
        <f>Produksi!BW38</f>
        <v>29</v>
      </c>
      <c r="CF25" s="55">
        <f>Produksi!BY38</f>
        <v>224</v>
      </c>
      <c r="CG25" s="76"/>
      <c r="CH25" s="76"/>
      <c r="CI25" s="50">
        <v>0</v>
      </c>
      <c r="CJ25" s="182">
        <f t="shared" si="19"/>
        <v>223.96520000000001</v>
      </c>
      <c r="CK25" s="53">
        <f t="shared" si="4"/>
        <v>561.51524333333327</v>
      </c>
      <c r="CL25" s="52">
        <v>16</v>
      </c>
      <c r="CM25" s="1" t="s">
        <v>39</v>
      </c>
      <c r="CN25" s="62">
        <f>Produksi!CF38</f>
        <v>5</v>
      </c>
      <c r="CO25" s="55">
        <f>Produksi!CG38</f>
        <v>28</v>
      </c>
      <c r="CP25" s="55">
        <f>Produksi!CI38</f>
        <v>210</v>
      </c>
      <c r="CQ25" s="76"/>
      <c r="CR25" s="76"/>
      <c r="CS25" s="50">
        <v>0</v>
      </c>
      <c r="CT25" s="182">
        <f t="shared" si="20"/>
        <v>209.96520000000001</v>
      </c>
      <c r="CU25" s="53">
        <f t="shared" si="5"/>
        <v>561.51524333333327</v>
      </c>
      <c r="CV25" s="52">
        <v>16</v>
      </c>
      <c r="CW25" s="1" t="s">
        <v>39</v>
      </c>
      <c r="CX25" s="62">
        <f>Produksi!CP38</f>
        <v>8</v>
      </c>
      <c r="CY25" s="55">
        <f>Produksi!CQ38</f>
        <v>26</v>
      </c>
      <c r="CZ25" s="55">
        <f>Produksi!CS38</f>
        <v>185.9</v>
      </c>
      <c r="DA25" s="76"/>
      <c r="DB25" s="76"/>
      <c r="DC25" s="50">
        <v>0</v>
      </c>
      <c r="DD25" s="182">
        <f t="shared" si="21"/>
        <v>185.86520000000002</v>
      </c>
      <c r="DE25" s="53">
        <f t="shared" si="6"/>
        <v>561.51524333333327</v>
      </c>
      <c r="DF25" s="52">
        <v>16</v>
      </c>
      <c r="DG25" s="1" t="s">
        <v>39</v>
      </c>
      <c r="DH25" s="62">
        <f>Produksi!CZ38</f>
        <v>5</v>
      </c>
      <c r="DI25" s="55">
        <f>Produksi!DA38</f>
        <v>30</v>
      </c>
      <c r="DJ25" s="55">
        <f>Produksi!DC38</f>
        <v>175</v>
      </c>
      <c r="DK25" s="76"/>
      <c r="DL25" s="76"/>
      <c r="DM25" s="50">
        <v>0</v>
      </c>
      <c r="DN25" s="182">
        <f t="shared" si="22"/>
        <v>174.96520000000001</v>
      </c>
      <c r="DO25" s="53">
        <f t="shared" si="7"/>
        <v>561.51524333333327</v>
      </c>
      <c r="DP25" s="52">
        <v>16</v>
      </c>
      <c r="DQ25" s="1" t="s">
        <v>39</v>
      </c>
      <c r="DR25" s="62">
        <f>Produksi!DJ38</f>
        <v>8</v>
      </c>
      <c r="DS25" s="55">
        <f>Produksi!DK38</f>
        <v>21</v>
      </c>
      <c r="DT25" s="55">
        <f>Produksi!DM38</f>
        <v>125</v>
      </c>
      <c r="DU25" s="76"/>
      <c r="DV25" s="76"/>
      <c r="DW25" s="50"/>
      <c r="DX25" s="182">
        <f t="shared" si="23"/>
        <v>124.9652</v>
      </c>
      <c r="DY25" s="53">
        <f t="shared" si="8"/>
        <v>561.51524333333327</v>
      </c>
      <c r="DZ25" s="52">
        <v>16</v>
      </c>
      <c r="EA25" s="1" t="s">
        <v>39</v>
      </c>
      <c r="EB25" s="50">
        <f t="shared" si="9"/>
        <v>92</v>
      </c>
      <c r="EC25" s="50">
        <f t="shared" si="10"/>
        <v>303</v>
      </c>
      <c r="ED25" s="50">
        <f t="shared" si="24"/>
        <v>6869.7999999999993</v>
      </c>
      <c r="EE25" s="76"/>
      <c r="EF25" s="76"/>
      <c r="EG25" s="50">
        <f t="shared" si="11"/>
        <v>0</v>
      </c>
      <c r="EH25" s="74">
        <f t="shared" si="25"/>
        <v>7138.2851999999984</v>
      </c>
      <c r="EI25" s="53">
        <f t="shared" si="26"/>
        <v>6738.1829199999993</v>
      </c>
      <c r="EJ25" s="205">
        <f t="shared" si="12"/>
        <v>400.10227999999915</v>
      </c>
      <c r="EL25" s="69" t="s">
        <v>3</v>
      </c>
      <c r="EM25" s="69" t="s">
        <v>2</v>
      </c>
      <c r="EN25" s="69" t="s">
        <v>240</v>
      </c>
      <c r="EO25" s="69" t="s">
        <v>241</v>
      </c>
      <c r="EP25" s="69" t="s">
        <v>242</v>
      </c>
      <c r="EU25" s="52">
        <v>2</v>
      </c>
      <c r="EV25" s="52">
        <v>2017</v>
      </c>
      <c r="EW25" s="6">
        <v>3586.2</v>
      </c>
      <c r="EX25" s="6">
        <v>169.94</v>
      </c>
    </row>
    <row r="26" spans="1:165" ht="20.100000000000001" customHeight="1" x14ac:dyDescent="0.3">
      <c r="B26" s="13">
        <v>0</v>
      </c>
      <c r="C26" s="14">
        <v>4.4000000000000003E-3</v>
      </c>
      <c r="D26" s="15">
        <v>0</v>
      </c>
      <c r="E26" s="15">
        <v>0</v>
      </c>
      <c r="F26" s="16">
        <v>3.04E-2</v>
      </c>
      <c r="G26" s="105">
        <v>0.66</v>
      </c>
      <c r="H26" s="152">
        <f>G26*H5/I26/1000</f>
        <v>64.22878</v>
      </c>
      <c r="I26" s="66">
        <v>12</v>
      </c>
      <c r="J26" s="52">
        <v>17</v>
      </c>
      <c r="K26" s="1" t="s">
        <v>40</v>
      </c>
      <c r="L26" s="62">
        <f>Produksi!D39</f>
        <v>7</v>
      </c>
      <c r="M26" s="51">
        <f>Produksi!E39</f>
        <v>10</v>
      </c>
      <c r="N26" s="51">
        <f>Produksi!G39</f>
        <v>77.5</v>
      </c>
      <c r="O26" s="76"/>
      <c r="P26" s="76"/>
      <c r="Q26" s="50">
        <v>0</v>
      </c>
      <c r="R26" s="155">
        <f t="shared" si="0"/>
        <v>80.197000000000003</v>
      </c>
      <c r="S26" s="53">
        <f t="shared" si="1"/>
        <v>64.22878</v>
      </c>
      <c r="T26" s="52">
        <v>17</v>
      </c>
      <c r="U26" s="1" t="s">
        <v>40</v>
      </c>
      <c r="V26" s="62">
        <f>Produksi!N39</f>
        <v>2</v>
      </c>
      <c r="W26" s="51">
        <f>Produksi!O39</f>
        <v>9</v>
      </c>
      <c r="X26" s="51">
        <f>Produksi!Q39</f>
        <v>65.099999999999994</v>
      </c>
      <c r="Y26" s="76"/>
      <c r="Z26" s="76"/>
      <c r="AA26" s="50">
        <v>0</v>
      </c>
      <c r="AB26" s="74">
        <f t="shared" si="13"/>
        <v>65.06519999999999</v>
      </c>
      <c r="AC26" s="53">
        <f>'Data Ketersediaan Pangan'!H26</f>
        <v>64.22878</v>
      </c>
      <c r="AD26" s="52">
        <v>17</v>
      </c>
      <c r="AE26" s="1" t="s">
        <v>40</v>
      </c>
      <c r="AF26" s="62">
        <f>Produksi!X39</f>
        <v>6</v>
      </c>
      <c r="AG26" s="51">
        <f>Produksi!Y39</f>
        <v>11</v>
      </c>
      <c r="AH26" s="51">
        <f>Produksi!AA39</f>
        <v>75</v>
      </c>
      <c r="AI26" s="76"/>
      <c r="AJ26" s="76"/>
      <c r="AK26" s="50">
        <v>0</v>
      </c>
      <c r="AL26" s="182">
        <f t="shared" si="14"/>
        <v>74.965199999999996</v>
      </c>
      <c r="AM26" s="53">
        <f t="shared" si="2"/>
        <v>64.22878</v>
      </c>
      <c r="AN26" s="52">
        <v>17</v>
      </c>
      <c r="AO26" s="1" t="s">
        <v>40</v>
      </c>
      <c r="AP26" s="62">
        <f>Produksi!AH39</f>
        <v>9</v>
      </c>
      <c r="AQ26" s="51">
        <f>Produksi!AI39</f>
        <v>12</v>
      </c>
      <c r="AR26" s="51">
        <f>Produksi!AK39</f>
        <v>58.2</v>
      </c>
      <c r="AS26" s="76"/>
      <c r="AT26" s="76"/>
      <c r="AU26" s="50">
        <f>Produksi!AJ39</f>
        <v>0</v>
      </c>
      <c r="AV26" s="182">
        <f t="shared" si="15"/>
        <v>58.165200000000006</v>
      </c>
      <c r="AW26" s="53">
        <f>'Data Ketersediaan Pangan'!H26</f>
        <v>64.22878</v>
      </c>
      <c r="AX26" s="52">
        <v>17</v>
      </c>
      <c r="AY26" s="1" t="s">
        <v>40</v>
      </c>
      <c r="AZ26" s="62">
        <f>Produksi!AR39</f>
        <v>4</v>
      </c>
      <c r="BA26" s="51">
        <f>Produksi!AS39</f>
        <v>13</v>
      </c>
      <c r="BB26" s="51">
        <f>Produksi!AU39</f>
        <v>66.5</v>
      </c>
      <c r="BC26" s="76"/>
      <c r="BD26" s="76"/>
      <c r="BE26" s="50">
        <v>0</v>
      </c>
      <c r="BF26" s="182">
        <f t="shared" si="16"/>
        <v>66.465199999999996</v>
      </c>
      <c r="BG26" s="53">
        <f t="shared" si="3"/>
        <v>64.22878</v>
      </c>
      <c r="BH26" s="52">
        <v>17</v>
      </c>
      <c r="BI26" s="1" t="s">
        <v>40</v>
      </c>
      <c r="BJ26" s="62">
        <f>Produksi!BB39</f>
        <v>7</v>
      </c>
      <c r="BK26" s="51">
        <f>Produksi!BC39</f>
        <v>33</v>
      </c>
      <c r="BL26" s="51">
        <f>Produksi!BE39</f>
        <v>202.5</v>
      </c>
      <c r="BM26" s="76"/>
      <c r="BN26" s="76"/>
      <c r="BO26" s="50">
        <v>0</v>
      </c>
      <c r="BP26" s="182">
        <f t="shared" si="17"/>
        <v>202.46520000000001</v>
      </c>
      <c r="BQ26" s="53">
        <f>'Data Ketersediaan Pangan'!H26</f>
        <v>64.22878</v>
      </c>
      <c r="BR26" s="52">
        <v>17</v>
      </c>
      <c r="BS26" s="1" t="s">
        <v>40</v>
      </c>
      <c r="BT26" s="62">
        <f>Produksi!BL39</f>
        <v>8</v>
      </c>
      <c r="BU26" s="51">
        <f>Produksi!BM39</f>
        <v>19</v>
      </c>
      <c r="BV26" s="51">
        <f>Produksi!BO39</f>
        <v>113</v>
      </c>
      <c r="BW26" s="76"/>
      <c r="BX26" s="76"/>
      <c r="BY26" s="50">
        <v>0</v>
      </c>
      <c r="BZ26" s="182">
        <f t="shared" si="18"/>
        <v>112.9652</v>
      </c>
      <c r="CA26" s="53">
        <f>'Data Ketersediaan Pangan'!H26</f>
        <v>64.22878</v>
      </c>
      <c r="CB26" s="52">
        <v>17</v>
      </c>
      <c r="CC26" s="1" t="s">
        <v>40</v>
      </c>
      <c r="CD26" s="62">
        <f>Produksi!BV39</f>
        <v>8</v>
      </c>
      <c r="CE26" s="51">
        <f>Produksi!BW39</f>
        <v>18</v>
      </c>
      <c r="CF26" s="51">
        <f>Produksi!BY39</f>
        <v>123.5</v>
      </c>
      <c r="CG26" s="76"/>
      <c r="CH26" s="76"/>
      <c r="CI26" s="50">
        <v>0</v>
      </c>
      <c r="CJ26" s="182">
        <f t="shared" si="19"/>
        <v>123.4652</v>
      </c>
      <c r="CK26" s="53">
        <f t="shared" si="4"/>
        <v>64.22878</v>
      </c>
      <c r="CL26" s="52">
        <v>17</v>
      </c>
      <c r="CM26" s="1" t="s">
        <v>40</v>
      </c>
      <c r="CN26" s="62">
        <f>Produksi!CF39</f>
        <v>10</v>
      </c>
      <c r="CO26" s="51">
        <f>Produksi!CG39</f>
        <v>16</v>
      </c>
      <c r="CP26" s="51">
        <f>Produksi!CI39</f>
        <v>116.6</v>
      </c>
      <c r="CQ26" s="76"/>
      <c r="CR26" s="76"/>
      <c r="CS26" s="50">
        <v>0</v>
      </c>
      <c r="CT26" s="182">
        <f t="shared" si="20"/>
        <v>116.56519999999999</v>
      </c>
      <c r="CU26" s="53">
        <f t="shared" si="5"/>
        <v>64.22878</v>
      </c>
      <c r="CV26" s="52">
        <v>17</v>
      </c>
      <c r="CW26" s="1" t="s">
        <v>40</v>
      </c>
      <c r="CX26" s="62">
        <f>Produksi!CP39</f>
        <v>5</v>
      </c>
      <c r="CY26" s="51">
        <f>Produksi!CQ39</f>
        <v>17</v>
      </c>
      <c r="CZ26" s="51">
        <f>Produksi!CS39</f>
        <v>125</v>
      </c>
      <c r="DA26" s="76"/>
      <c r="DB26" s="76"/>
      <c r="DC26" s="50">
        <v>0</v>
      </c>
      <c r="DD26" s="182">
        <f t="shared" si="21"/>
        <v>124.9652</v>
      </c>
      <c r="DE26" s="53">
        <f t="shared" si="6"/>
        <v>64.22878</v>
      </c>
      <c r="DF26" s="52">
        <v>17</v>
      </c>
      <c r="DG26" s="1" t="s">
        <v>40</v>
      </c>
      <c r="DH26" s="62">
        <f>Produksi!CZ39</f>
        <v>3</v>
      </c>
      <c r="DI26" s="51">
        <f>Produksi!DA39</f>
        <v>17</v>
      </c>
      <c r="DJ26" s="51">
        <f>Produksi!DC39</f>
        <v>107.1</v>
      </c>
      <c r="DK26" s="76"/>
      <c r="DL26" s="76"/>
      <c r="DM26" s="50">
        <v>0</v>
      </c>
      <c r="DN26" s="182">
        <f t="shared" si="22"/>
        <v>107.06519999999999</v>
      </c>
      <c r="DO26" s="53">
        <f t="shared" si="7"/>
        <v>64.22878</v>
      </c>
      <c r="DP26" s="52">
        <v>17</v>
      </c>
      <c r="DQ26" s="1" t="s">
        <v>40</v>
      </c>
      <c r="DR26" s="62">
        <f>Produksi!DJ39</f>
        <v>9</v>
      </c>
      <c r="DS26" s="51">
        <f>Produksi!DK39</f>
        <v>17</v>
      </c>
      <c r="DT26" s="51">
        <f>Produksi!DM39</f>
        <v>113.5</v>
      </c>
      <c r="DU26" s="76"/>
      <c r="DV26" s="76"/>
      <c r="DW26" s="50"/>
      <c r="DX26" s="182">
        <f t="shared" si="23"/>
        <v>113.4652</v>
      </c>
      <c r="DY26" s="53">
        <f t="shared" si="8"/>
        <v>64.22878</v>
      </c>
      <c r="DZ26" s="52">
        <v>17</v>
      </c>
      <c r="EA26" s="1" t="s">
        <v>40</v>
      </c>
      <c r="EB26" s="50">
        <f t="shared" si="9"/>
        <v>78</v>
      </c>
      <c r="EC26" s="50">
        <f t="shared" si="10"/>
        <v>192</v>
      </c>
      <c r="ED26" s="50">
        <f t="shared" si="24"/>
        <v>1178.4000000000001</v>
      </c>
      <c r="EE26" s="76"/>
      <c r="EF26" s="76"/>
      <c r="EG26" s="50">
        <f t="shared" si="11"/>
        <v>0</v>
      </c>
      <c r="EH26" s="74">
        <f t="shared" si="25"/>
        <v>1245.8142</v>
      </c>
      <c r="EI26" s="53">
        <f t="shared" si="26"/>
        <v>770.74536000000023</v>
      </c>
      <c r="EJ26" s="205">
        <f t="shared" si="12"/>
        <v>475.0688399999998</v>
      </c>
      <c r="EL26" s="160">
        <v>1</v>
      </c>
      <c r="EM26" s="160" t="s">
        <v>234</v>
      </c>
      <c r="EN26" s="161">
        <f>EI11</f>
        <v>91555.206399999981</v>
      </c>
      <c r="EO26" s="161">
        <f>H11</f>
        <v>7629.6005333333342</v>
      </c>
      <c r="EP26" s="161">
        <f>EN26/356</f>
        <v>257.17754606741568</v>
      </c>
      <c r="EQ26" s="5">
        <f t="shared" ref="EQ26:EQ31" si="28">ER26*15%</f>
        <v>16699.332288471142</v>
      </c>
      <c r="ER26" s="5">
        <f t="shared" ref="ER26:ER31" si="29">EZ14-EN26</f>
        <v>111328.88192314094</v>
      </c>
      <c r="ES26" s="207">
        <f t="shared" ref="ES26:ES31" si="30">ER26-EQ26</f>
        <v>94629.549634669806</v>
      </c>
      <c r="ET26" t="s">
        <v>254</v>
      </c>
      <c r="EU26" s="52">
        <v>3</v>
      </c>
      <c r="EV26" s="52">
        <v>2018</v>
      </c>
      <c r="EW26" s="6">
        <v>3097.54</v>
      </c>
      <c r="EX26" s="6">
        <v>90.8</v>
      </c>
    </row>
    <row r="27" spans="1:165" ht="20.100000000000001" customHeight="1" x14ac:dyDescent="0.3">
      <c r="B27" s="13">
        <v>0</v>
      </c>
      <c r="C27" s="14">
        <v>5.7999999999999996E-3</v>
      </c>
      <c r="D27" s="15">
        <v>0</v>
      </c>
      <c r="E27" s="15">
        <v>0</v>
      </c>
      <c r="F27" s="16">
        <v>2.9000000000000001E-2</v>
      </c>
      <c r="G27" s="105">
        <v>1.95</v>
      </c>
      <c r="H27" s="152">
        <f>G27*H5/I27/1000</f>
        <v>189.76684999999998</v>
      </c>
      <c r="I27" s="66">
        <v>12</v>
      </c>
      <c r="J27" s="52">
        <v>18</v>
      </c>
      <c r="K27" s="1" t="s">
        <v>70</v>
      </c>
      <c r="L27" s="62">
        <f>Produksi!D42</f>
        <v>0</v>
      </c>
      <c r="M27" s="75">
        <f>Produksi!E42</f>
        <v>0</v>
      </c>
      <c r="N27" s="51">
        <f>Produksi!G42</f>
        <v>0</v>
      </c>
      <c r="O27" s="76"/>
      <c r="P27" s="76"/>
      <c r="Q27" s="50">
        <v>0</v>
      </c>
      <c r="R27" s="155">
        <f t="shared" si="0"/>
        <v>0</v>
      </c>
      <c r="S27" s="53">
        <f t="shared" si="1"/>
        <v>189.76684999999998</v>
      </c>
      <c r="T27" s="52">
        <v>18</v>
      </c>
      <c r="U27" s="1" t="s">
        <v>70</v>
      </c>
      <c r="V27" s="62">
        <f>Produksi!N42</f>
        <v>0</v>
      </c>
      <c r="W27" s="75">
        <f>Produksi!O42</f>
        <v>0</v>
      </c>
      <c r="X27" s="51">
        <f>Produksi!Q42</f>
        <v>0</v>
      </c>
      <c r="Y27" s="76"/>
      <c r="Z27" s="76"/>
      <c r="AA27" s="50">
        <v>0</v>
      </c>
      <c r="AB27" s="74">
        <f t="shared" si="13"/>
        <v>-3.4799999999999998E-2</v>
      </c>
      <c r="AC27" s="53">
        <f>'Data Ketersediaan Pangan'!H27</f>
        <v>189.76684999999998</v>
      </c>
      <c r="AD27" s="52">
        <v>18</v>
      </c>
      <c r="AE27" s="1" t="s">
        <v>70</v>
      </c>
      <c r="AF27" s="62">
        <f>Produksi!X42</f>
        <v>0</v>
      </c>
      <c r="AG27" s="75">
        <f>Produksi!Y42</f>
        <v>0</v>
      </c>
      <c r="AH27" s="51">
        <f>Produksi!AA42</f>
        <v>0</v>
      </c>
      <c r="AI27" s="76"/>
      <c r="AJ27" s="76"/>
      <c r="AK27" s="50">
        <v>0</v>
      </c>
      <c r="AL27" s="182">
        <f t="shared" si="14"/>
        <v>-3.4799999999999998E-2</v>
      </c>
      <c r="AM27" s="53">
        <f t="shared" si="2"/>
        <v>189.76684999999998</v>
      </c>
      <c r="AN27" s="52">
        <v>18</v>
      </c>
      <c r="AO27" s="1" t="s">
        <v>70</v>
      </c>
      <c r="AP27" s="62">
        <f>Produksi!AH42</f>
        <v>0</v>
      </c>
      <c r="AQ27" s="75">
        <f>Produksi!AI42</f>
        <v>0</v>
      </c>
      <c r="AR27" s="51">
        <f>Produksi!AK42</f>
        <v>0</v>
      </c>
      <c r="AS27" s="76"/>
      <c r="AT27" s="76"/>
      <c r="AU27" s="50">
        <f>Produksi!AJ42</f>
        <v>0</v>
      </c>
      <c r="AV27" s="182">
        <f t="shared" si="15"/>
        <v>-3.4799999999999998E-2</v>
      </c>
      <c r="AW27" s="53">
        <f>'Data Ketersediaan Pangan'!H27</f>
        <v>189.76684999999998</v>
      </c>
      <c r="AX27" s="52">
        <v>18</v>
      </c>
      <c r="AY27" s="1" t="s">
        <v>70</v>
      </c>
      <c r="AZ27" s="62">
        <f>Produksi!AR42</f>
        <v>0</v>
      </c>
      <c r="BA27" s="75">
        <f>Produksi!AS42</f>
        <v>0</v>
      </c>
      <c r="BB27" s="51">
        <f>Produksi!AU42</f>
        <v>0</v>
      </c>
      <c r="BC27" s="76"/>
      <c r="BD27" s="76"/>
      <c r="BE27" s="50">
        <v>0</v>
      </c>
      <c r="BF27" s="182">
        <f t="shared" si="16"/>
        <v>-3.4799999999999998E-2</v>
      </c>
      <c r="BG27" s="53">
        <f t="shared" si="3"/>
        <v>189.76684999999998</v>
      </c>
      <c r="BH27" s="52">
        <v>18</v>
      </c>
      <c r="BI27" s="1" t="s">
        <v>70</v>
      </c>
      <c r="BJ27" s="62">
        <f>Produksi!BB42</f>
        <v>0</v>
      </c>
      <c r="BK27" s="75">
        <f>Produksi!BC39</f>
        <v>33</v>
      </c>
      <c r="BL27" s="51">
        <f>Produksi!BE39</f>
        <v>202.5</v>
      </c>
      <c r="BM27" s="76"/>
      <c r="BN27" s="76"/>
      <c r="BO27" s="50">
        <v>0</v>
      </c>
      <c r="BP27" s="182">
        <f t="shared" si="17"/>
        <v>202.46520000000001</v>
      </c>
      <c r="BQ27" s="53">
        <f>'Data Ketersediaan Pangan'!H27</f>
        <v>189.76684999999998</v>
      </c>
      <c r="BR27" s="52">
        <v>18</v>
      </c>
      <c r="BS27" s="1" t="s">
        <v>70</v>
      </c>
      <c r="BT27" s="62">
        <f>Produksi!BL42</f>
        <v>0</v>
      </c>
      <c r="BU27" s="75">
        <f>Produksi!BM42</f>
        <v>0</v>
      </c>
      <c r="BV27" s="51">
        <f>Produksi!BO42</f>
        <v>0</v>
      </c>
      <c r="BW27" s="76"/>
      <c r="BX27" s="76"/>
      <c r="BY27" s="50">
        <v>0</v>
      </c>
      <c r="BZ27" s="182">
        <f t="shared" si="18"/>
        <v>-3.4799999999999998E-2</v>
      </c>
      <c r="CA27" s="53">
        <f>'Data Ketersediaan Pangan'!H27</f>
        <v>189.76684999999998</v>
      </c>
      <c r="CB27" s="52">
        <v>18</v>
      </c>
      <c r="CC27" s="1" t="s">
        <v>70</v>
      </c>
      <c r="CD27" s="62">
        <f>Produksi!BV42</f>
        <v>0</v>
      </c>
      <c r="CE27" s="75">
        <f>Produksi!BW42</f>
        <v>0</v>
      </c>
      <c r="CF27" s="51">
        <f>Produksi!BY42</f>
        <v>0</v>
      </c>
      <c r="CG27" s="76"/>
      <c r="CH27" s="76"/>
      <c r="CI27" s="50">
        <v>0</v>
      </c>
      <c r="CJ27" s="182">
        <f t="shared" si="19"/>
        <v>-3.4799999999999998E-2</v>
      </c>
      <c r="CK27" s="53">
        <f t="shared" si="4"/>
        <v>189.76684999999998</v>
      </c>
      <c r="CL27" s="52">
        <v>18</v>
      </c>
      <c r="CM27" s="1" t="s">
        <v>70</v>
      </c>
      <c r="CN27" s="62">
        <f>Produksi!CF42</f>
        <v>0</v>
      </c>
      <c r="CO27" s="75">
        <f>Produksi!CG42</f>
        <v>0</v>
      </c>
      <c r="CP27" s="51">
        <f>Produksi!CI42</f>
        <v>0</v>
      </c>
      <c r="CQ27" s="76"/>
      <c r="CR27" s="76"/>
      <c r="CS27" s="50">
        <v>0</v>
      </c>
      <c r="CT27" s="182">
        <f t="shared" si="20"/>
        <v>-3.4799999999999998E-2</v>
      </c>
      <c r="CU27" s="53">
        <f t="shared" si="5"/>
        <v>189.76684999999998</v>
      </c>
      <c r="CV27" s="52">
        <v>18</v>
      </c>
      <c r="CW27" s="1" t="s">
        <v>70</v>
      </c>
      <c r="CX27" s="62">
        <f>Produksi!CP42</f>
        <v>0</v>
      </c>
      <c r="CY27" s="75">
        <f>Produksi!CQ42</f>
        <v>0</v>
      </c>
      <c r="CZ27" s="51">
        <f>Produksi!CS42</f>
        <v>0</v>
      </c>
      <c r="DA27" s="76"/>
      <c r="DB27" s="76"/>
      <c r="DC27" s="50">
        <v>0</v>
      </c>
      <c r="DD27" s="182">
        <f t="shared" si="21"/>
        <v>-3.4799999999999998E-2</v>
      </c>
      <c r="DE27" s="53">
        <f t="shared" si="6"/>
        <v>189.76684999999998</v>
      </c>
      <c r="DF27" s="52">
        <v>18</v>
      </c>
      <c r="DG27" s="1" t="s">
        <v>70</v>
      </c>
      <c r="DH27" s="62">
        <f>Produksi!CZ42</f>
        <v>0</v>
      </c>
      <c r="DI27" s="75">
        <f>Produksi!DA42</f>
        <v>0</v>
      </c>
      <c r="DJ27" s="51">
        <f>Produksi!DC42</f>
        <v>0</v>
      </c>
      <c r="DK27" s="76"/>
      <c r="DL27" s="76"/>
      <c r="DM27" s="50">
        <v>0</v>
      </c>
      <c r="DN27" s="182">
        <f t="shared" si="22"/>
        <v>-3.4799999999999998E-2</v>
      </c>
      <c r="DO27" s="53">
        <f t="shared" si="7"/>
        <v>189.76684999999998</v>
      </c>
      <c r="DP27" s="52">
        <v>18</v>
      </c>
      <c r="DQ27" s="1" t="s">
        <v>70</v>
      </c>
      <c r="DR27" s="62">
        <f>Produksi!DJ42</f>
        <v>0</v>
      </c>
      <c r="DS27" s="75">
        <f>Produksi!DK42</f>
        <v>0</v>
      </c>
      <c r="DT27" s="51">
        <f>Produksi!DM42</f>
        <v>0</v>
      </c>
      <c r="DU27" s="76"/>
      <c r="DV27" s="76"/>
      <c r="DW27" s="50"/>
      <c r="DX27" s="182">
        <f t="shared" si="23"/>
        <v>-3.4799999999999998E-2</v>
      </c>
      <c r="DY27" s="53">
        <f t="shared" si="8"/>
        <v>189.76684999999998</v>
      </c>
      <c r="DZ27" s="52">
        <v>18</v>
      </c>
      <c r="EA27" s="1" t="s">
        <v>70</v>
      </c>
      <c r="EB27" s="50">
        <f t="shared" si="9"/>
        <v>0</v>
      </c>
      <c r="EC27" s="50">
        <f t="shared" si="10"/>
        <v>33</v>
      </c>
      <c r="ED27" s="50">
        <f t="shared" si="24"/>
        <v>202.5</v>
      </c>
      <c r="EE27" s="76"/>
      <c r="EF27" s="76"/>
      <c r="EG27" s="50">
        <f t="shared" si="11"/>
        <v>0</v>
      </c>
      <c r="EH27" s="74">
        <f t="shared" si="25"/>
        <v>202.11720000000008</v>
      </c>
      <c r="EI27" s="53">
        <f t="shared" si="26"/>
        <v>2277.2021999999997</v>
      </c>
      <c r="EJ27" s="205">
        <f t="shared" si="12"/>
        <v>-2075.0849999999996</v>
      </c>
      <c r="EL27" s="160">
        <v>2</v>
      </c>
      <c r="EM27" s="160" t="s">
        <v>235</v>
      </c>
      <c r="EN27" s="161">
        <f>EP27*365</f>
        <v>407340</v>
      </c>
      <c r="EO27" s="161">
        <f>EP27*30</f>
        <v>33480</v>
      </c>
      <c r="EP27" s="161">
        <v>1116</v>
      </c>
      <c r="EQ27" s="5">
        <f t="shared" si="28"/>
        <v>-9627.0776400000032</v>
      </c>
      <c r="ER27" s="5">
        <f t="shared" si="29"/>
        <v>-64180.517600000021</v>
      </c>
      <c r="ES27" s="207">
        <f t="shared" si="30"/>
        <v>-54553.439960000018</v>
      </c>
      <c r="ET27" t="s">
        <v>253</v>
      </c>
      <c r="EU27" s="52">
        <v>4</v>
      </c>
      <c r="EV27" s="52">
        <v>2019</v>
      </c>
      <c r="EW27" s="6">
        <v>3915.2</v>
      </c>
      <c r="EX27" s="6">
        <v>129.52000000000001</v>
      </c>
    </row>
    <row r="28" spans="1:165" ht="20.100000000000001" customHeight="1" x14ac:dyDescent="0.3">
      <c r="B28" s="13">
        <v>0</v>
      </c>
      <c r="C28" s="14">
        <v>4.4000000000000003E-3</v>
      </c>
      <c r="D28" s="15">
        <v>0</v>
      </c>
      <c r="E28" s="15">
        <v>0</v>
      </c>
      <c r="F28" s="16">
        <v>3.04E-2</v>
      </c>
      <c r="G28" s="105">
        <v>3.18</v>
      </c>
      <c r="H28" s="152">
        <f>G28*H5/I28/1000</f>
        <v>309.46593999999999</v>
      </c>
      <c r="I28" s="66">
        <v>12</v>
      </c>
      <c r="J28" s="52">
        <v>19</v>
      </c>
      <c r="K28" s="1" t="s">
        <v>71</v>
      </c>
      <c r="L28" s="62">
        <f>Produksi!D43</f>
        <v>0</v>
      </c>
      <c r="M28" s="51">
        <f>Produksi!E43</f>
        <v>0</v>
      </c>
      <c r="N28" s="51">
        <f>Produksi!G43</f>
        <v>0</v>
      </c>
      <c r="O28" s="76"/>
      <c r="P28" s="76"/>
      <c r="Q28" s="50">
        <v>0</v>
      </c>
      <c r="R28" s="155">
        <f t="shared" si="0"/>
        <v>0</v>
      </c>
      <c r="S28" s="53">
        <f t="shared" si="1"/>
        <v>309.46593999999999</v>
      </c>
      <c r="T28" s="52">
        <v>19</v>
      </c>
      <c r="U28" s="1" t="s">
        <v>71</v>
      </c>
      <c r="V28" s="62">
        <f>Produksi!N43</f>
        <v>0</v>
      </c>
      <c r="W28" s="51">
        <f>Produksi!O43</f>
        <v>0</v>
      </c>
      <c r="X28" s="51">
        <f>Produksi!Q43</f>
        <v>0</v>
      </c>
      <c r="Y28" s="76"/>
      <c r="Z28" s="76"/>
      <c r="AA28" s="50">
        <v>0</v>
      </c>
      <c r="AB28" s="74">
        <f t="shared" si="13"/>
        <v>-3.4799999999999998E-2</v>
      </c>
      <c r="AC28" s="53">
        <f>'Data Ketersediaan Pangan'!H28</f>
        <v>309.46593999999999</v>
      </c>
      <c r="AD28" s="52">
        <v>19</v>
      </c>
      <c r="AE28" s="1" t="s">
        <v>71</v>
      </c>
      <c r="AF28" s="62">
        <f>Produksi!X43</f>
        <v>0</v>
      </c>
      <c r="AG28" s="51">
        <f>Produksi!Y43</f>
        <v>0</v>
      </c>
      <c r="AH28" s="51">
        <f>Produksi!AA43</f>
        <v>0</v>
      </c>
      <c r="AI28" s="76"/>
      <c r="AJ28" s="76"/>
      <c r="AK28" s="50">
        <v>0</v>
      </c>
      <c r="AL28" s="182">
        <f t="shared" si="14"/>
        <v>-3.4799999999999998E-2</v>
      </c>
      <c r="AM28" s="53">
        <f t="shared" si="2"/>
        <v>309.46593999999999</v>
      </c>
      <c r="AN28" s="52">
        <v>19</v>
      </c>
      <c r="AO28" s="1" t="s">
        <v>71</v>
      </c>
      <c r="AP28" s="62">
        <f>Produksi!AH43</f>
        <v>0</v>
      </c>
      <c r="AQ28" s="51">
        <f>Produksi!AI43</f>
        <v>0</v>
      </c>
      <c r="AR28" s="51">
        <f>Produksi!AK43</f>
        <v>0</v>
      </c>
      <c r="AS28" s="76"/>
      <c r="AT28" s="76"/>
      <c r="AU28" s="50">
        <f>Produksi!AJ43</f>
        <v>0</v>
      </c>
      <c r="AV28" s="182">
        <f t="shared" si="15"/>
        <v>-3.4799999999999998E-2</v>
      </c>
      <c r="AW28" s="53">
        <f>'Data Ketersediaan Pangan'!H28</f>
        <v>309.46593999999999</v>
      </c>
      <c r="AX28" s="52">
        <v>19</v>
      </c>
      <c r="AY28" s="1" t="s">
        <v>71</v>
      </c>
      <c r="AZ28" s="62">
        <f>Produksi!AR43</f>
        <v>0</v>
      </c>
      <c r="BA28" s="51">
        <f>Produksi!AS43</f>
        <v>0</v>
      </c>
      <c r="BB28" s="51">
        <f>Produksi!AU43</f>
        <v>0</v>
      </c>
      <c r="BC28" s="76"/>
      <c r="BD28" s="76"/>
      <c r="BE28" s="50">
        <v>0</v>
      </c>
      <c r="BF28" s="182">
        <f t="shared" si="16"/>
        <v>-3.4799999999999998E-2</v>
      </c>
      <c r="BG28" s="53">
        <f t="shared" si="3"/>
        <v>309.46593999999999</v>
      </c>
      <c r="BH28" s="52">
        <v>19</v>
      </c>
      <c r="BI28" s="1" t="s">
        <v>71</v>
      </c>
      <c r="BJ28" s="62">
        <f>Produksi!BB43</f>
        <v>0</v>
      </c>
      <c r="BK28" s="51">
        <f>Produksi!BC43</f>
        <v>0</v>
      </c>
      <c r="BL28" s="51">
        <f>Produksi!BE43</f>
        <v>0</v>
      </c>
      <c r="BM28" s="76"/>
      <c r="BN28" s="76"/>
      <c r="BO28" s="50">
        <v>0</v>
      </c>
      <c r="BP28" s="182">
        <f t="shared" si="17"/>
        <v>-3.4799999999999998E-2</v>
      </c>
      <c r="BQ28" s="53">
        <f>'Data Ketersediaan Pangan'!H28</f>
        <v>309.46593999999999</v>
      </c>
      <c r="BR28" s="52">
        <v>19</v>
      </c>
      <c r="BS28" s="1" t="s">
        <v>71</v>
      </c>
      <c r="BT28" s="62">
        <f>Produksi!BL43</f>
        <v>0</v>
      </c>
      <c r="BU28" s="51">
        <f>Produksi!BM43</f>
        <v>0</v>
      </c>
      <c r="BV28" s="51">
        <f>Produksi!BO43</f>
        <v>0</v>
      </c>
      <c r="BW28" s="76"/>
      <c r="BX28" s="76"/>
      <c r="BY28" s="50">
        <v>0</v>
      </c>
      <c r="BZ28" s="182">
        <f t="shared" si="18"/>
        <v>-3.4799999999999998E-2</v>
      </c>
      <c r="CA28" s="53">
        <f>'Data Ketersediaan Pangan'!H28</f>
        <v>309.46593999999999</v>
      </c>
      <c r="CB28" s="52">
        <v>19</v>
      </c>
      <c r="CC28" s="1" t="s">
        <v>71</v>
      </c>
      <c r="CD28" s="62">
        <f>Produksi!BV43</f>
        <v>0</v>
      </c>
      <c r="CE28" s="51">
        <f>Produksi!BW43</f>
        <v>0</v>
      </c>
      <c r="CF28" s="51">
        <f>Produksi!BY43</f>
        <v>0</v>
      </c>
      <c r="CG28" s="76"/>
      <c r="CH28" s="76"/>
      <c r="CI28" s="50">
        <v>0</v>
      </c>
      <c r="CJ28" s="182">
        <f t="shared" si="19"/>
        <v>-3.4799999999999998E-2</v>
      </c>
      <c r="CK28" s="53">
        <f t="shared" si="4"/>
        <v>309.46593999999999</v>
      </c>
      <c r="CL28" s="52">
        <v>19</v>
      </c>
      <c r="CM28" s="1" t="s">
        <v>71</v>
      </c>
      <c r="CN28" s="62">
        <f>Produksi!CF43</f>
        <v>0</v>
      </c>
      <c r="CO28" s="51">
        <f>Produksi!CG43</f>
        <v>0</v>
      </c>
      <c r="CP28" s="51">
        <f>Produksi!CI43</f>
        <v>0</v>
      </c>
      <c r="CQ28" s="76"/>
      <c r="CR28" s="76"/>
      <c r="CS28" s="50">
        <v>0</v>
      </c>
      <c r="CT28" s="182">
        <f t="shared" si="20"/>
        <v>-3.4799999999999998E-2</v>
      </c>
      <c r="CU28" s="53">
        <f t="shared" si="5"/>
        <v>309.46593999999999</v>
      </c>
      <c r="CV28" s="52">
        <v>19</v>
      </c>
      <c r="CW28" s="1" t="s">
        <v>71</v>
      </c>
      <c r="CX28" s="62">
        <f>Produksi!CP43</f>
        <v>0</v>
      </c>
      <c r="CY28" s="51">
        <f>Produksi!CQ43</f>
        <v>0</v>
      </c>
      <c r="CZ28" s="51">
        <f>Produksi!CS43</f>
        <v>0</v>
      </c>
      <c r="DA28" s="76"/>
      <c r="DB28" s="76"/>
      <c r="DC28" s="50">
        <v>0</v>
      </c>
      <c r="DD28" s="182">
        <f t="shared" si="21"/>
        <v>-3.4799999999999998E-2</v>
      </c>
      <c r="DE28" s="53">
        <f t="shared" si="6"/>
        <v>309.46593999999999</v>
      </c>
      <c r="DF28" s="52">
        <v>19</v>
      </c>
      <c r="DG28" s="1" t="s">
        <v>71</v>
      </c>
      <c r="DH28" s="62">
        <f>Produksi!CZ43</f>
        <v>0</v>
      </c>
      <c r="DI28" s="51">
        <f>Produksi!DA43</f>
        <v>0</v>
      </c>
      <c r="DJ28" s="51">
        <f>Produksi!DC43</f>
        <v>0</v>
      </c>
      <c r="DK28" s="76"/>
      <c r="DL28" s="76"/>
      <c r="DM28" s="50">
        <v>0</v>
      </c>
      <c r="DN28" s="182">
        <f t="shared" si="22"/>
        <v>-3.4799999999999998E-2</v>
      </c>
      <c r="DO28" s="53">
        <f t="shared" si="7"/>
        <v>309.46593999999999</v>
      </c>
      <c r="DP28" s="52">
        <v>19</v>
      </c>
      <c r="DQ28" s="1" t="s">
        <v>71</v>
      </c>
      <c r="DR28" s="62">
        <f>Produksi!DJ43</f>
        <v>0</v>
      </c>
      <c r="DS28" s="75">
        <f>Produksi!DK43</f>
        <v>0</v>
      </c>
      <c r="DT28" s="51">
        <f>Produksi!DM43</f>
        <v>0</v>
      </c>
      <c r="DU28" s="76"/>
      <c r="DV28" s="76"/>
      <c r="DW28" s="50"/>
      <c r="DX28" s="182">
        <f t="shared" si="23"/>
        <v>-3.4799999999999998E-2</v>
      </c>
      <c r="DY28" s="53">
        <f t="shared" si="8"/>
        <v>309.46593999999999</v>
      </c>
      <c r="DZ28" s="52">
        <v>19</v>
      </c>
      <c r="EA28" s="1" t="s">
        <v>71</v>
      </c>
      <c r="EB28" s="50">
        <f t="shared" si="9"/>
        <v>0</v>
      </c>
      <c r="EC28" s="50">
        <f t="shared" si="10"/>
        <v>0</v>
      </c>
      <c r="ED28" s="50">
        <f t="shared" si="24"/>
        <v>0</v>
      </c>
      <c r="EE28" s="76"/>
      <c r="EF28" s="76"/>
      <c r="EG28" s="50">
        <f t="shared" si="11"/>
        <v>0</v>
      </c>
      <c r="EH28" s="74">
        <v>0</v>
      </c>
      <c r="EI28" s="53">
        <f t="shared" si="26"/>
        <v>3713.5912800000001</v>
      </c>
      <c r="EJ28" s="205">
        <f t="shared" si="12"/>
        <v>-3713.5912800000001</v>
      </c>
      <c r="EL28" s="160">
        <v>3</v>
      </c>
      <c r="EM28" s="160" t="s">
        <v>236</v>
      </c>
      <c r="EN28" s="161">
        <f>EI18</f>
        <v>4320.8452000000007</v>
      </c>
      <c r="EO28" s="161">
        <f>'Data Ketersediaan Pangan'!H18</f>
        <v>360.07043333333337</v>
      </c>
      <c r="EP28" s="161">
        <f>EN28/356</f>
        <v>12.13720561797753</v>
      </c>
      <c r="EQ28" s="5">
        <f t="shared" si="28"/>
        <v>-247.38768000000007</v>
      </c>
      <c r="ER28" s="5">
        <f t="shared" si="29"/>
        <v>-1649.2512000000006</v>
      </c>
      <c r="ES28" s="207">
        <f t="shared" si="30"/>
        <v>-1401.8635200000006</v>
      </c>
      <c r="ET28" t="s">
        <v>253</v>
      </c>
      <c r="EU28" s="52">
        <v>5</v>
      </c>
      <c r="EV28" s="52">
        <v>2020</v>
      </c>
      <c r="EW28" s="6">
        <v>4692</v>
      </c>
      <c r="EX28" s="6">
        <v>139.13999999999999</v>
      </c>
    </row>
    <row r="29" spans="1:165" ht="20.100000000000001" customHeight="1" x14ac:dyDescent="0.3">
      <c r="B29" s="13">
        <v>0</v>
      </c>
      <c r="C29" s="22">
        <v>0</v>
      </c>
      <c r="D29" s="65">
        <v>0</v>
      </c>
      <c r="E29" s="65">
        <v>0</v>
      </c>
      <c r="F29" s="16">
        <v>0</v>
      </c>
      <c r="G29" s="105">
        <v>42.92</v>
      </c>
      <c r="H29" s="152">
        <f>G29*H5/I29/1000</f>
        <v>4176.8170266666666</v>
      </c>
      <c r="I29" s="66">
        <v>12</v>
      </c>
      <c r="J29" s="52">
        <v>20</v>
      </c>
      <c r="K29" s="54" t="s">
        <v>129</v>
      </c>
      <c r="L29" s="50">
        <f>Produksi!D44</f>
        <v>10</v>
      </c>
      <c r="M29" s="73">
        <f>Produksi!E44</f>
        <v>17</v>
      </c>
      <c r="N29" s="73">
        <f>Produksi!G44</f>
        <v>467.5</v>
      </c>
      <c r="O29" s="76"/>
      <c r="P29" s="76"/>
      <c r="Q29" s="50">
        <v>0</v>
      </c>
      <c r="R29" s="155">
        <f t="shared" si="0"/>
        <v>467.5</v>
      </c>
      <c r="S29" s="53">
        <f t="shared" si="1"/>
        <v>4176.8170266666666</v>
      </c>
      <c r="T29" s="52">
        <v>20</v>
      </c>
      <c r="U29" s="54" t="s">
        <v>129</v>
      </c>
      <c r="V29" s="50">
        <f>Produksi!N44</f>
        <v>4</v>
      </c>
      <c r="W29" s="73">
        <f>Produksi!O44</f>
        <v>3</v>
      </c>
      <c r="X29" s="73">
        <f>Produksi!Q44</f>
        <v>82.5</v>
      </c>
      <c r="Y29" s="76"/>
      <c r="Z29" s="76"/>
      <c r="AA29" s="50">
        <v>0</v>
      </c>
      <c r="AB29" s="74">
        <f t="shared" si="13"/>
        <v>82.5</v>
      </c>
      <c r="AC29" s="53">
        <f>'Data Ketersediaan Pangan'!H29</f>
        <v>4176.8170266666666</v>
      </c>
      <c r="AD29" s="52">
        <v>20</v>
      </c>
      <c r="AE29" s="54" t="s">
        <v>129</v>
      </c>
      <c r="AF29" s="50">
        <f>Produksi!X44</f>
        <v>2199299</v>
      </c>
      <c r="AG29" s="73">
        <f>Produksi!Y44</f>
        <v>9745390</v>
      </c>
      <c r="AH29" s="73">
        <f>Produksi!AA44</f>
        <v>95864.599999999977</v>
      </c>
      <c r="AI29" s="76"/>
      <c r="AJ29" s="76"/>
      <c r="AK29" s="50">
        <f>Produksi!Z44</f>
        <v>2068980</v>
      </c>
      <c r="AL29" s="182">
        <f t="shared" si="14"/>
        <v>95864.599999999977</v>
      </c>
      <c r="AM29" s="53">
        <f t="shared" si="2"/>
        <v>4176.8170266666666</v>
      </c>
      <c r="AN29" s="52">
        <v>20</v>
      </c>
      <c r="AO29" s="54" t="s">
        <v>129</v>
      </c>
      <c r="AP29" s="50">
        <f>Produksi!AH44</f>
        <v>20</v>
      </c>
      <c r="AQ29" s="73">
        <f>Produksi!AI44</f>
        <v>7</v>
      </c>
      <c r="AR29" s="73">
        <f>Produksi!AK44</f>
        <v>183.5</v>
      </c>
      <c r="AS29" s="76"/>
      <c r="AT29" s="76"/>
      <c r="AU29" s="50">
        <f>Produksi!AJ44</f>
        <v>0</v>
      </c>
      <c r="AV29" s="182">
        <f t="shared" si="15"/>
        <v>183.5</v>
      </c>
      <c r="AW29" s="53">
        <f>'Data Ketersediaan Pangan'!H29</f>
        <v>4176.8170266666666</v>
      </c>
      <c r="AX29" s="52">
        <v>20</v>
      </c>
      <c r="AY29" s="54" t="s">
        <v>129</v>
      </c>
      <c r="AZ29" s="50">
        <f>Produksi!AR44</f>
        <v>5</v>
      </c>
      <c r="BA29" s="73">
        <f>Produksi!AS44</f>
        <v>23</v>
      </c>
      <c r="BB29" s="73">
        <f>Produksi!AU44</f>
        <v>577</v>
      </c>
      <c r="BC29" s="76"/>
      <c r="BD29" s="76"/>
      <c r="BE29" s="50">
        <v>0</v>
      </c>
      <c r="BF29" s="182">
        <f t="shared" si="16"/>
        <v>577</v>
      </c>
      <c r="BG29" s="53">
        <f t="shared" si="3"/>
        <v>4176.8170266666666</v>
      </c>
      <c r="BH29" s="52">
        <v>20</v>
      </c>
      <c r="BI29" s="54" t="s">
        <v>129</v>
      </c>
      <c r="BJ29" s="50">
        <f>Produksi!BB44</f>
        <v>174383</v>
      </c>
      <c r="BK29" s="73">
        <f>Produksi!BC44</f>
        <v>11104535</v>
      </c>
      <c r="BL29" s="73">
        <f>Produksi!BE44</f>
        <v>34691.899999999994</v>
      </c>
      <c r="BM29" s="76"/>
      <c r="BN29" s="76"/>
      <c r="BO29" s="50">
        <v>0</v>
      </c>
      <c r="BP29" s="182">
        <f t="shared" si="17"/>
        <v>34691.899999999994</v>
      </c>
      <c r="BQ29" s="53">
        <f>'Data Ketersediaan Pangan'!H29</f>
        <v>4176.8170266666666</v>
      </c>
      <c r="BR29" s="52">
        <v>20</v>
      </c>
      <c r="BS29" s="54" t="s">
        <v>129</v>
      </c>
      <c r="BT29" s="50">
        <f>Produksi!BL44</f>
        <v>18</v>
      </c>
      <c r="BU29" s="73">
        <f>Produksi!BM44</f>
        <v>22</v>
      </c>
      <c r="BV29" s="73">
        <f>Produksi!BO44</f>
        <v>432.5</v>
      </c>
      <c r="BW29" s="76"/>
      <c r="BX29" s="76"/>
      <c r="BY29" s="50">
        <v>0</v>
      </c>
      <c r="BZ29" s="182">
        <f t="shared" si="18"/>
        <v>432.5</v>
      </c>
      <c r="CA29" s="53">
        <f>'Data Ketersediaan Pangan'!H29</f>
        <v>4176.8170266666666</v>
      </c>
      <c r="CB29" s="52">
        <v>20</v>
      </c>
      <c r="CC29" s="54" t="s">
        <v>129</v>
      </c>
      <c r="CD29" s="50">
        <f>Produksi!BV44</f>
        <v>9</v>
      </c>
      <c r="CE29" s="73">
        <f>Produksi!BW44</f>
        <v>0</v>
      </c>
      <c r="CF29" s="73">
        <f>Produksi!BY44</f>
        <v>342</v>
      </c>
      <c r="CG29" s="76"/>
      <c r="CH29" s="76"/>
      <c r="CI29" s="50">
        <v>0</v>
      </c>
      <c r="CJ29" s="182">
        <f t="shared" si="19"/>
        <v>342</v>
      </c>
      <c r="CK29" s="53">
        <f t="shared" si="4"/>
        <v>4176.8170266666666</v>
      </c>
      <c r="CL29" s="52">
        <v>20</v>
      </c>
      <c r="CM29" s="54" t="s">
        <v>129</v>
      </c>
      <c r="CN29" s="50">
        <f>Produksi!CF44</f>
        <v>2533676</v>
      </c>
      <c r="CO29" s="73">
        <f>Produksi!CG44</f>
        <v>9551892</v>
      </c>
      <c r="CP29" s="73">
        <f>Produksi!CI44</f>
        <v>26031.399999999998</v>
      </c>
      <c r="CQ29" s="76"/>
      <c r="CR29" s="76"/>
      <c r="CS29" s="50">
        <v>0</v>
      </c>
      <c r="CT29" s="182">
        <f t="shared" si="20"/>
        <v>26031.399999999998</v>
      </c>
      <c r="CU29" s="53">
        <f t="shared" si="5"/>
        <v>4176.8170266666666</v>
      </c>
      <c r="CV29" s="52">
        <v>20</v>
      </c>
      <c r="CW29" s="54" t="s">
        <v>129</v>
      </c>
      <c r="CX29" s="50">
        <f>Produksi!CP44</f>
        <v>11</v>
      </c>
      <c r="CY29" s="73">
        <f>Produksi!CQ44</f>
        <v>8</v>
      </c>
      <c r="CZ29" s="73">
        <f>Produksi!CS44</f>
        <v>250.5</v>
      </c>
      <c r="DA29" s="76"/>
      <c r="DB29" s="76"/>
      <c r="DC29" s="50">
        <v>0</v>
      </c>
      <c r="DD29" s="182">
        <f t="shared" si="21"/>
        <v>250.5</v>
      </c>
      <c r="DE29" s="53">
        <f t="shared" si="6"/>
        <v>4176.8170266666666</v>
      </c>
      <c r="DF29" s="52">
        <v>20</v>
      </c>
      <c r="DG29" s="54" t="s">
        <v>129</v>
      </c>
      <c r="DH29" s="50">
        <f>Produksi!CZ44</f>
        <v>0</v>
      </c>
      <c r="DI29" s="73">
        <f>Produksi!DA44</f>
        <v>14</v>
      </c>
      <c r="DJ29" s="73">
        <f>Produksi!DC44</f>
        <v>364</v>
      </c>
      <c r="DK29" s="76"/>
      <c r="DL29" s="76"/>
      <c r="DM29" s="50">
        <v>0</v>
      </c>
      <c r="DN29" s="182">
        <f t="shared" si="22"/>
        <v>364</v>
      </c>
      <c r="DO29" s="53">
        <f t="shared" si="7"/>
        <v>4176.8170266666666</v>
      </c>
      <c r="DP29" s="52">
        <v>20</v>
      </c>
      <c r="DQ29" s="54" t="s">
        <v>129</v>
      </c>
      <c r="DR29" s="50">
        <f>Produksi!DJ44</f>
        <v>2212340</v>
      </c>
      <c r="DS29" s="73">
        <f>Produksi!DK44</f>
        <v>7145766</v>
      </c>
      <c r="DT29" s="73">
        <f>Produksi!DM44</f>
        <v>37854.900000000009</v>
      </c>
      <c r="DU29" s="76"/>
      <c r="DV29" s="76"/>
      <c r="DW29" s="50">
        <f>Produksi!DL44</f>
        <v>63708</v>
      </c>
      <c r="DX29" s="182">
        <f t="shared" si="23"/>
        <v>37854.900000000009</v>
      </c>
      <c r="DY29" s="53">
        <f t="shared" si="8"/>
        <v>4176.8170266666666</v>
      </c>
      <c r="DZ29" s="52">
        <v>20</v>
      </c>
      <c r="EA29" s="54" t="s">
        <v>129</v>
      </c>
      <c r="EB29" s="50">
        <f>L29+V29+AF29+AP29+AZ29+BJ29+BT29+CD29+CN29+CX29+DH29+DR29</f>
        <v>7119775</v>
      </c>
      <c r="EC29" s="50">
        <f>M29+W29+AG29+AQ29+BA29+BK29+BU29+CE29+CO29+CY29+DI29+DS29</f>
        <v>37547677</v>
      </c>
      <c r="ED29" s="50">
        <f t="shared" si="24"/>
        <v>197059.8</v>
      </c>
      <c r="EE29" s="76"/>
      <c r="EF29" s="76"/>
      <c r="EG29" s="210">
        <f>Q29+AA29+AK29+AU29+BE29+BO29+BY29+CI29+CS29+DC29+DM29+DW29</f>
        <v>2132688</v>
      </c>
      <c r="EH29" s="74">
        <f t="shared" si="25"/>
        <v>197142.3</v>
      </c>
      <c r="EI29" s="53">
        <f t="shared" si="26"/>
        <v>50121.804319999988</v>
      </c>
      <c r="EJ29" s="205">
        <f t="shared" si="12"/>
        <v>147020.49567999999</v>
      </c>
      <c r="EL29" s="162">
        <v>4</v>
      </c>
      <c r="EM29" s="162" t="s">
        <v>237</v>
      </c>
      <c r="EN29" s="166">
        <v>0</v>
      </c>
      <c r="EO29" s="166">
        <v>0</v>
      </c>
      <c r="EP29" s="166">
        <f>EN29/356</f>
        <v>0</v>
      </c>
      <c r="EQ29" s="5">
        <f t="shared" si="28"/>
        <v>0</v>
      </c>
      <c r="ER29" s="5">
        <f t="shared" si="29"/>
        <v>0</v>
      </c>
      <c r="ES29" s="207">
        <f t="shared" si="30"/>
        <v>0</v>
      </c>
    </row>
    <row r="30" spans="1:165" ht="20.100000000000001" customHeight="1" x14ac:dyDescent="0.3">
      <c r="B30" s="13">
        <v>0</v>
      </c>
      <c r="C30" s="14">
        <v>0</v>
      </c>
      <c r="D30" s="15">
        <v>0</v>
      </c>
      <c r="E30" s="15">
        <v>0</v>
      </c>
      <c r="F30" s="16">
        <v>9.7999999999999997E-3</v>
      </c>
      <c r="G30" s="105">
        <v>7.45</v>
      </c>
      <c r="H30" s="152">
        <f>G30*H5/I30/1000</f>
        <v>725.00668333333351</v>
      </c>
      <c r="I30" s="66">
        <v>12</v>
      </c>
      <c r="J30" s="52">
        <v>21</v>
      </c>
      <c r="K30" s="1" t="s">
        <v>160</v>
      </c>
      <c r="L30" s="62"/>
      <c r="M30" s="6"/>
      <c r="N30" s="56"/>
      <c r="O30" s="77"/>
      <c r="P30" s="76"/>
      <c r="Q30" s="50">
        <v>0</v>
      </c>
      <c r="R30" s="155">
        <f t="shared" si="0"/>
        <v>0</v>
      </c>
      <c r="S30" s="53">
        <f t="shared" si="1"/>
        <v>725.00668333333351</v>
      </c>
      <c r="T30" s="52">
        <v>21</v>
      </c>
      <c r="U30" s="1" t="s">
        <v>160</v>
      </c>
      <c r="V30" s="62">
        <f>Produksi!N138</f>
        <v>5184.84</v>
      </c>
      <c r="W30" s="6">
        <f>Produksi!O138</f>
        <v>0</v>
      </c>
      <c r="X30" s="56">
        <f>Produksi!Q138</f>
        <v>0</v>
      </c>
      <c r="Y30" s="77"/>
      <c r="Z30" s="76"/>
      <c r="AA30" s="50">
        <v>0</v>
      </c>
      <c r="AB30" s="74">
        <f t="shared" si="13"/>
        <v>-9.7999999999999997E-3</v>
      </c>
      <c r="AC30" s="53">
        <f>'Data Ketersediaan Pangan'!H30</f>
        <v>725.00668333333351</v>
      </c>
      <c r="AD30" s="52">
        <v>21</v>
      </c>
      <c r="AE30" s="1" t="s">
        <v>160</v>
      </c>
      <c r="AF30" s="62">
        <f>Produksi!X138</f>
        <v>5184.84</v>
      </c>
      <c r="AG30" s="6">
        <f>Produksi!Y138</f>
        <v>0</v>
      </c>
      <c r="AH30" s="56">
        <f>Produksi!AA138</f>
        <v>0</v>
      </c>
      <c r="AI30" s="77"/>
      <c r="AJ30" s="76"/>
      <c r="AK30" s="50">
        <v>0</v>
      </c>
      <c r="AL30" s="182">
        <f>AH30-(0)+AJ30-AI30-(B30+C30+D30+E30+F30)</f>
        <v>-9.7999999999999997E-3</v>
      </c>
      <c r="AM30" s="53">
        <f t="shared" si="2"/>
        <v>725.00668333333351</v>
      </c>
      <c r="AN30" s="52">
        <v>21</v>
      </c>
      <c r="AO30" s="1" t="s">
        <v>160</v>
      </c>
      <c r="AP30" s="62">
        <f>Produksi!AH138</f>
        <v>4431.3999999999996</v>
      </c>
      <c r="AQ30" s="6">
        <f>Produksi!AI138</f>
        <v>0</v>
      </c>
      <c r="AR30" s="56">
        <f>Produksi!AK138</f>
        <v>0</v>
      </c>
      <c r="AS30" s="77"/>
      <c r="AT30" s="76"/>
      <c r="AU30" s="50">
        <f>Produksi!AJ138</f>
        <v>4431.3999999999996</v>
      </c>
      <c r="AV30" s="182">
        <f t="shared" si="15"/>
        <v>-9.7999999999999997E-3</v>
      </c>
      <c r="AW30" s="53">
        <f>'Data Ketersediaan Pangan'!H30</f>
        <v>725.00668333333351</v>
      </c>
      <c r="AX30" s="52">
        <v>21</v>
      </c>
      <c r="AY30" s="1" t="s">
        <v>160</v>
      </c>
      <c r="AZ30" s="62">
        <f>Produksi!AR138</f>
        <v>6633.6</v>
      </c>
      <c r="BA30" s="6">
        <f>Produksi!AS138</f>
        <v>0</v>
      </c>
      <c r="BB30" s="56">
        <f>Produksi!AU138</f>
        <v>0</v>
      </c>
      <c r="BC30" s="77"/>
      <c r="BD30" s="76"/>
      <c r="BE30" s="50">
        <v>0</v>
      </c>
      <c r="BF30" s="182">
        <f t="shared" si="16"/>
        <v>-9.7999999999999997E-3</v>
      </c>
      <c r="BG30" s="53">
        <f t="shared" si="3"/>
        <v>725.00668333333351</v>
      </c>
      <c r="BH30" s="52">
        <v>21</v>
      </c>
      <c r="BI30" s="1" t="s">
        <v>160</v>
      </c>
      <c r="BJ30" s="62">
        <f>Produksi!BB138</f>
        <v>6633.6</v>
      </c>
      <c r="BK30" s="6">
        <f>Produksi!BC138</f>
        <v>663.36</v>
      </c>
      <c r="BL30" s="56">
        <f>Produksi!BE138</f>
        <v>3571.45</v>
      </c>
      <c r="BM30" s="77"/>
      <c r="BN30" s="76"/>
      <c r="BO30" s="50">
        <v>0</v>
      </c>
      <c r="BP30" s="182">
        <f t="shared" si="17"/>
        <v>3571.4402</v>
      </c>
      <c r="BQ30" s="53">
        <f>'Data Ketersediaan Pangan'!H30</f>
        <v>725.00668333333351</v>
      </c>
      <c r="BR30" s="52">
        <v>21</v>
      </c>
      <c r="BS30" s="1" t="s">
        <v>160</v>
      </c>
      <c r="BT30" s="62">
        <f>Produksi!BL138</f>
        <v>7295.2</v>
      </c>
      <c r="BU30" s="6">
        <f>Produksi!BM138</f>
        <v>1094.28</v>
      </c>
      <c r="BV30" s="56">
        <f>Produksi!BO138</f>
        <v>4969.17</v>
      </c>
      <c r="BW30" s="77"/>
      <c r="BX30" s="76"/>
      <c r="BY30" s="50">
        <v>0</v>
      </c>
      <c r="BZ30" s="182">
        <f t="shared" si="18"/>
        <v>4969.1602000000003</v>
      </c>
      <c r="CA30" s="53">
        <f>'Data Ketersediaan Pangan'!H30</f>
        <v>725.00668333333351</v>
      </c>
      <c r="CB30" s="52">
        <v>21</v>
      </c>
      <c r="CC30" s="1" t="s">
        <v>160</v>
      </c>
      <c r="CD30" s="62">
        <f>Produksi!BV138</f>
        <v>7295.2</v>
      </c>
      <c r="CE30" s="6">
        <f>Produksi!BW138</f>
        <v>1604.94</v>
      </c>
      <c r="CF30" s="56">
        <f>Produksi!BY138</f>
        <v>7288.11</v>
      </c>
      <c r="CG30" s="77"/>
      <c r="CH30" s="76"/>
      <c r="CI30" s="50">
        <v>0</v>
      </c>
      <c r="CJ30" s="182">
        <f t="shared" si="19"/>
        <v>7288.1001999999999</v>
      </c>
      <c r="CK30" s="53">
        <f t="shared" si="4"/>
        <v>725.00668333333351</v>
      </c>
      <c r="CL30" s="52">
        <v>21</v>
      </c>
      <c r="CM30" s="1" t="s">
        <v>160</v>
      </c>
      <c r="CN30" s="62">
        <f>Produksi!CF138</f>
        <v>7295.2</v>
      </c>
      <c r="CO30" s="6">
        <f>Produksi!CG138</f>
        <v>1707.08</v>
      </c>
      <c r="CP30" s="56">
        <f>Produksi!CI138</f>
        <v>1151.9000000000001</v>
      </c>
      <c r="CQ30" s="77"/>
      <c r="CR30" s="76"/>
      <c r="CS30" s="50">
        <f>Produksi!CH138</f>
        <v>5588.12</v>
      </c>
      <c r="CT30" s="182">
        <f t="shared" si="20"/>
        <v>1151.8902</v>
      </c>
      <c r="CU30" s="53">
        <f t="shared" si="5"/>
        <v>725.00668333333351</v>
      </c>
      <c r="CV30" s="52">
        <v>21</v>
      </c>
      <c r="CW30" s="1" t="s">
        <v>160</v>
      </c>
      <c r="CX30" s="62">
        <f>Produksi!CP138</f>
        <v>7295.2</v>
      </c>
      <c r="CY30" s="6">
        <f>Produksi!CQ138</f>
        <v>1823.8</v>
      </c>
      <c r="CZ30" s="56">
        <f>Produksi!CS138</f>
        <v>8413.66</v>
      </c>
      <c r="DA30" s="77"/>
      <c r="DB30" s="76"/>
      <c r="DC30" s="50">
        <f>Produksi!CR138</f>
        <v>5471.4</v>
      </c>
      <c r="DD30" s="182">
        <f t="shared" si="21"/>
        <v>8413.6502</v>
      </c>
      <c r="DE30" s="53">
        <f t="shared" si="6"/>
        <v>725.00668333333351</v>
      </c>
      <c r="DF30" s="52">
        <v>21</v>
      </c>
      <c r="DG30" s="1" t="s">
        <v>160</v>
      </c>
      <c r="DH30" s="62">
        <f>Produksi!CZ138</f>
        <v>7295.2</v>
      </c>
      <c r="DI30" s="6">
        <f>Produksi!DA138</f>
        <v>335.58</v>
      </c>
      <c r="DJ30" s="56">
        <f>Produksi!DC138</f>
        <v>1750.97</v>
      </c>
      <c r="DK30" s="77"/>
      <c r="DL30" s="76"/>
      <c r="DM30" s="50">
        <v>0</v>
      </c>
      <c r="DN30" s="182">
        <f t="shared" si="22"/>
        <v>1750.9602</v>
      </c>
      <c r="DO30" s="53">
        <f>H30</f>
        <v>725.00668333333351</v>
      </c>
      <c r="DP30" s="52">
        <v>21</v>
      </c>
      <c r="DQ30" s="1" t="s">
        <v>160</v>
      </c>
      <c r="DR30" s="62">
        <f>Produksi!DJ138</f>
        <v>7295.2</v>
      </c>
      <c r="DS30" s="6">
        <f>Produksi!DK138</f>
        <v>0</v>
      </c>
      <c r="DT30" s="56">
        <f>Produksi!DM138</f>
        <v>0</v>
      </c>
      <c r="DU30" s="77"/>
      <c r="DV30" s="76"/>
      <c r="DW30" s="50"/>
      <c r="DX30" s="182">
        <f t="shared" si="23"/>
        <v>-9.7999999999999997E-3</v>
      </c>
      <c r="DY30" s="53">
        <f t="shared" si="8"/>
        <v>725.00668333333351</v>
      </c>
      <c r="DZ30" s="52">
        <v>21</v>
      </c>
      <c r="EA30" s="1" t="s">
        <v>160</v>
      </c>
      <c r="EB30" s="50">
        <f t="shared" si="9"/>
        <v>71839.479999999981</v>
      </c>
      <c r="EC30" s="50">
        <f t="shared" si="10"/>
        <v>7229.04</v>
      </c>
      <c r="ED30" s="50">
        <f t="shared" si="24"/>
        <v>27145.260000000002</v>
      </c>
      <c r="EE30" s="77"/>
      <c r="EF30" s="76"/>
      <c r="EG30" s="50">
        <f t="shared" si="11"/>
        <v>15490.92</v>
      </c>
      <c r="EH30" s="74">
        <f>R30+AB30+AL30+AV30+BF30+BP30+BZ30+CJ30+CT30+DD30+DN30+DX30</f>
        <v>27145.152200000004</v>
      </c>
      <c r="EI30" s="53">
        <f t="shared" si="26"/>
        <v>8700.0802000000003</v>
      </c>
      <c r="EJ30" s="205">
        <f t="shared" si="12"/>
        <v>18445.072000000004</v>
      </c>
      <c r="EL30" s="160">
        <v>5</v>
      </c>
      <c r="EM30" s="160" t="s">
        <v>238</v>
      </c>
      <c r="EN30" s="161">
        <f>EI22</f>
        <v>210.20328000000003</v>
      </c>
      <c r="EO30" s="161">
        <f>H22</f>
        <v>17.516939999999998</v>
      </c>
      <c r="EP30" s="161">
        <f>EN30/356</f>
        <v>0.59045865168539335</v>
      </c>
      <c r="EQ30" s="5">
        <f t="shared" si="28"/>
        <v>1664.1334320000001</v>
      </c>
      <c r="ER30" s="5">
        <f t="shared" si="29"/>
        <v>11094.222880000001</v>
      </c>
      <c r="ES30" s="207">
        <f t="shared" si="30"/>
        <v>9430.0894480000006</v>
      </c>
      <c r="ET30" t="s">
        <v>254</v>
      </c>
    </row>
    <row r="31" spans="1:165" s="110" customFormat="1" ht="20.100000000000001" customHeight="1" x14ac:dyDescent="0.3">
      <c r="A31"/>
      <c r="B31" s="244"/>
      <c r="C31" s="245"/>
      <c r="D31" s="245"/>
      <c r="E31" s="245"/>
      <c r="F31" s="245"/>
      <c r="G31" s="245"/>
      <c r="H31" s="245"/>
      <c r="I31" s="246"/>
      <c r="J31" s="240"/>
      <c r="K31" s="242" t="s">
        <v>2</v>
      </c>
      <c r="L31" s="229" t="s">
        <v>132</v>
      </c>
      <c r="M31" s="111" t="s">
        <v>130</v>
      </c>
      <c r="N31" s="231" t="s">
        <v>1</v>
      </c>
      <c r="O31" s="233" t="s">
        <v>4</v>
      </c>
      <c r="P31" s="234"/>
      <c r="Q31" s="229" t="s">
        <v>211</v>
      </c>
      <c r="R31" s="231" t="s">
        <v>151</v>
      </c>
      <c r="S31" s="235" t="s">
        <v>134</v>
      </c>
      <c r="T31" s="240"/>
      <c r="U31" s="242" t="s">
        <v>2</v>
      </c>
      <c r="V31" s="229" t="s">
        <v>132</v>
      </c>
      <c r="W31" s="111" t="s">
        <v>130</v>
      </c>
      <c r="X31" s="231" t="s">
        <v>1</v>
      </c>
      <c r="Y31" s="233" t="s">
        <v>4</v>
      </c>
      <c r="Z31" s="234"/>
      <c r="AA31" s="229" t="s">
        <v>211</v>
      </c>
      <c r="AB31" s="231" t="s">
        <v>151</v>
      </c>
      <c r="AC31" s="235" t="s">
        <v>134</v>
      </c>
      <c r="AD31" s="240"/>
      <c r="AE31" s="242" t="s">
        <v>2</v>
      </c>
      <c r="AF31" s="229" t="s">
        <v>132</v>
      </c>
      <c r="AG31" s="111" t="s">
        <v>130</v>
      </c>
      <c r="AH31" s="231" t="s">
        <v>1</v>
      </c>
      <c r="AI31" s="233" t="s">
        <v>4</v>
      </c>
      <c r="AJ31" s="234"/>
      <c r="AK31" s="229" t="s">
        <v>211</v>
      </c>
      <c r="AL31" s="231" t="s">
        <v>151</v>
      </c>
      <c r="AM31" s="235" t="s">
        <v>134</v>
      </c>
      <c r="AN31" s="240"/>
      <c r="AO31" s="242" t="s">
        <v>2</v>
      </c>
      <c r="AP31" s="229" t="s">
        <v>132</v>
      </c>
      <c r="AQ31" s="111" t="s">
        <v>130</v>
      </c>
      <c r="AR31" s="231" t="s">
        <v>1</v>
      </c>
      <c r="AS31" s="233" t="s">
        <v>4</v>
      </c>
      <c r="AT31" s="234"/>
      <c r="AU31" s="229" t="s">
        <v>211</v>
      </c>
      <c r="AV31" s="231" t="s">
        <v>151</v>
      </c>
      <c r="AW31" s="235" t="s">
        <v>134</v>
      </c>
      <c r="AX31" s="240"/>
      <c r="AY31" s="242" t="s">
        <v>2</v>
      </c>
      <c r="AZ31" s="229" t="s">
        <v>132</v>
      </c>
      <c r="BA31" s="111" t="s">
        <v>130</v>
      </c>
      <c r="BB31" s="231" t="s">
        <v>1</v>
      </c>
      <c r="BC31" s="233" t="s">
        <v>4</v>
      </c>
      <c r="BD31" s="234"/>
      <c r="BE31" s="229" t="s">
        <v>211</v>
      </c>
      <c r="BF31" s="231" t="s">
        <v>151</v>
      </c>
      <c r="BG31" s="235" t="s">
        <v>134</v>
      </c>
      <c r="BH31" s="240"/>
      <c r="BI31" s="242" t="s">
        <v>2</v>
      </c>
      <c r="BJ31" s="229" t="s">
        <v>132</v>
      </c>
      <c r="BK31" s="111" t="s">
        <v>130</v>
      </c>
      <c r="BL31" s="231" t="s">
        <v>1</v>
      </c>
      <c r="BM31" s="233" t="s">
        <v>4</v>
      </c>
      <c r="BN31" s="234"/>
      <c r="BO31" s="229" t="s">
        <v>211</v>
      </c>
      <c r="BP31" s="231" t="s">
        <v>151</v>
      </c>
      <c r="BQ31" s="235" t="s">
        <v>134</v>
      </c>
      <c r="BR31" s="240"/>
      <c r="BS31" s="242" t="s">
        <v>2</v>
      </c>
      <c r="BT31" s="229" t="s">
        <v>132</v>
      </c>
      <c r="BU31" s="111" t="s">
        <v>130</v>
      </c>
      <c r="BV31" s="231" t="s">
        <v>1</v>
      </c>
      <c r="BW31" s="233" t="s">
        <v>4</v>
      </c>
      <c r="BX31" s="234"/>
      <c r="BY31" s="229" t="s">
        <v>211</v>
      </c>
      <c r="BZ31" s="231" t="s">
        <v>151</v>
      </c>
      <c r="CA31" s="235" t="s">
        <v>134</v>
      </c>
      <c r="CB31" s="240"/>
      <c r="CC31" s="242" t="s">
        <v>2</v>
      </c>
      <c r="CD31" s="229" t="s">
        <v>132</v>
      </c>
      <c r="CE31" s="111" t="s">
        <v>130</v>
      </c>
      <c r="CF31" s="231" t="s">
        <v>1</v>
      </c>
      <c r="CG31" s="233" t="s">
        <v>4</v>
      </c>
      <c r="CH31" s="234"/>
      <c r="CI31" s="229" t="s">
        <v>211</v>
      </c>
      <c r="CJ31" s="231" t="s">
        <v>151</v>
      </c>
      <c r="CK31" s="235" t="s">
        <v>134</v>
      </c>
      <c r="CL31" s="240"/>
      <c r="CM31" s="242" t="s">
        <v>2</v>
      </c>
      <c r="CN31" s="229" t="s">
        <v>132</v>
      </c>
      <c r="CO31" s="111" t="s">
        <v>130</v>
      </c>
      <c r="CP31" s="231" t="s">
        <v>1</v>
      </c>
      <c r="CQ31" s="233" t="s">
        <v>4</v>
      </c>
      <c r="CR31" s="234"/>
      <c r="CS31" s="229" t="s">
        <v>211</v>
      </c>
      <c r="CT31" s="231" t="s">
        <v>151</v>
      </c>
      <c r="CU31" s="235" t="s">
        <v>134</v>
      </c>
      <c r="CV31" s="240"/>
      <c r="CW31" s="242" t="s">
        <v>2</v>
      </c>
      <c r="CX31" s="229" t="s">
        <v>132</v>
      </c>
      <c r="CY31" s="111" t="s">
        <v>130</v>
      </c>
      <c r="CZ31" s="231" t="s">
        <v>1</v>
      </c>
      <c r="DA31" s="233" t="s">
        <v>4</v>
      </c>
      <c r="DB31" s="234"/>
      <c r="DC31" s="229" t="s">
        <v>211</v>
      </c>
      <c r="DD31" s="231" t="s">
        <v>151</v>
      </c>
      <c r="DE31" s="235" t="s">
        <v>134</v>
      </c>
      <c r="DF31" s="240"/>
      <c r="DG31" s="242" t="s">
        <v>2</v>
      </c>
      <c r="DH31" s="229" t="s">
        <v>132</v>
      </c>
      <c r="DI31" s="111" t="s">
        <v>130</v>
      </c>
      <c r="DJ31" s="231" t="s">
        <v>1</v>
      </c>
      <c r="DK31" s="233" t="s">
        <v>4</v>
      </c>
      <c r="DL31" s="234"/>
      <c r="DM31" s="229" t="s">
        <v>211</v>
      </c>
      <c r="DN31" s="231" t="s">
        <v>151</v>
      </c>
      <c r="DO31" s="235" t="s">
        <v>134</v>
      </c>
      <c r="DP31" s="240"/>
      <c r="DQ31" s="242" t="s">
        <v>2</v>
      </c>
      <c r="DR31" s="229" t="s">
        <v>132</v>
      </c>
      <c r="DS31" s="111" t="s">
        <v>130</v>
      </c>
      <c r="DT31" s="231" t="s">
        <v>1</v>
      </c>
      <c r="DU31" s="233" t="s">
        <v>4</v>
      </c>
      <c r="DV31" s="234"/>
      <c r="DW31" s="229" t="s">
        <v>211</v>
      </c>
      <c r="DX31" s="231" t="s">
        <v>151</v>
      </c>
      <c r="DY31" s="235" t="s">
        <v>134</v>
      </c>
      <c r="DZ31" s="240"/>
      <c r="EA31" s="242" t="s">
        <v>2</v>
      </c>
      <c r="EB31" s="229" t="s">
        <v>132</v>
      </c>
      <c r="EC31" s="111" t="s">
        <v>130</v>
      </c>
      <c r="ED31" s="231" t="s">
        <v>1</v>
      </c>
      <c r="EE31" s="233" t="s">
        <v>4</v>
      </c>
      <c r="EF31" s="234"/>
      <c r="EG31" s="229" t="s">
        <v>211</v>
      </c>
      <c r="EH31" s="231" t="s">
        <v>151</v>
      </c>
      <c r="EI31" s="235" t="s">
        <v>134</v>
      </c>
      <c r="EJ31" s="205"/>
      <c r="EK31"/>
      <c r="EL31" s="160">
        <v>6</v>
      </c>
      <c r="EM31" s="160" t="s">
        <v>239</v>
      </c>
      <c r="EN31" s="161">
        <f>EI23</f>
        <v>3059.625520000001</v>
      </c>
      <c r="EO31" s="161">
        <f>H23</f>
        <v>254.96879333333334</v>
      </c>
      <c r="EP31" s="161">
        <f>EN31/356</f>
        <v>8.5944537078651706</v>
      </c>
      <c r="EQ31" s="5">
        <f t="shared" si="28"/>
        <v>27803.961851999997</v>
      </c>
      <c r="ER31" s="5">
        <f t="shared" si="29"/>
        <v>185359.74567999999</v>
      </c>
      <c r="ES31" s="207">
        <f t="shared" si="30"/>
        <v>157555.78382799999</v>
      </c>
      <c r="ET31" t="s">
        <v>254</v>
      </c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</row>
    <row r="32" spans="1:165" s="112" customFormat="1" ht="20.100000000000001" customHeight="1" x14ac:dyDescent="0.3">
      <c r="A32" s="107"/>
      <c r="B32" s="247"/>
      <c r="C32" s="248"/>
      <c r="D32" s="248"/>
      <c r="E32" s="248"/>
      <c r="F32" s="248"/>
      <c r="G32" s="248"/>
      <c r="H32" s="248"/>
      <c r="I32" s="249"/>
      <c r="J32" s="241"/>
      <c r="K32" s="243"/>
      <c r="L32" s="230"/>
      <c r="M32" s="108" t="s">
        <v>133</v>
      </c>
      <c r="N32" s="232"/>
      <c r="O32" s="109" t="s">
        <v>168</v>
      </c>
      <c r="P32" s="109" t="s">
        <v>169</v>
      </c>
      <c r="Q32" s="230"/>
      <c r="R32" s="232"/>
      <c r="S32" s="236"/>
      <c r="T32" s="241"/>
      <c r="U32" s="243"/>
      <c r="V32" s="230"/>
      <c r="W32" s="108" t="s">
        <v>133</v>
      </c>
      <c r="X32" s="232"/>
      <c r="Y32" s="109" t="s">
        <v>168</v>
      </c>
      <c r="Z32" s="109" t="s">
        <v>169</v>
      </c>
      <c r="AA32" s="230"/>
      <c r="AB32" s="232"/>
      <c r="AC32" s="236"/>
      <c r="AD32" s="241"/>
      <c r="AE32" s="243"/>
      <c r="AF32" s="230"/>
      <c r="AG32" s="108" t="s">
        <v>133</v>
      </c>
      <c r="AH32" s="232"/>
      <c r="AI32" s="109" t="s">
        <v>168</v>
      </c>
      <c r="AJ32" s="109" t="s">
        <v>169</v>
      </c>
      <c r="AK32" s="230"/>
      <c r="AL32" s="232"/>
      <c r="AM32" s="236"/>
      <c r="AN32" s="241"/>
      <c r="AO32" s="243"/>
      <c r="AP32" s="230"/>
      <c r="AQ32" s="108" t="s">
        <v>133</v>
      </c>
      <c r="AR32" s="232"/>
      <c r="AS32" s="109" t="s">
        <v>168</v>
      </c>
      <c r="AT32" s="109" t="s">
        <v>169</v>
      </c>
      <c r="AU32" s="230"/>
      <c r="AV32" s="232"/>
      <c r="AW32" s="236"/>
      <c r="AX32" s="241"/>
      <c r="AY32" s="243"/>
      <c r="AZ32" s="230"/>
      <c r="BA32" s="108" t="s">
        <v>133</v>
      </c>
      <c r="BB32" s="232"/>
      <c r="BC32" s="109" t="s">
        <v>168</v>
      </c>
      <c r="BD32" s="109" t="s">
        <v>169</v>
      </c>
      <c r="BE32" s="230"/>
      <c r="BF32" s="232"/>
      <c r="BG32" s="236"/>
      <c r="BH32" s="241"/>
      <c r="BI32" s="243"/>
      <c r="BJ32" s="230"/>
      <c r="BK32" s="108" t="s">
        <v>133</v>
      </c>
      <c r="BL32" s="232"/>
      <c r="BM32" s="109" t="s">
        <v>168</v>
      </c>
      <c r="BN32" s="109" t="s">
        <v>169</v>
      </c>
      <c r="BO32" s="230"/>
      <c r="BP32" s="232"/>
      <c r="BQ32" s="236"/>
      <c r="BR32" s="241"/>
      <c r="BS32" s="243"/>
      <c r="BT32" s="230"/>
      <c r="BU32" s="108" t="s">
        <v>133</v>
      </c>
      <c r="BV32" s="232"/>
      <c r="BW32" s="109" t="s">
        <v>168</v>
      </c>
      <c r="BX32" s="109" t="s">
        <v>169</v>
      </c>
      <c r="BY32" s="230"/>
      <c r="BZ32" s="232"/>
      <c r="CA32" s="236"/>
      <c r="CB32" s="241"/>
      <c r="CC32" s="243"/>
      <c r="CD32" s="230"/>
      <c r="CE32" s="108" t="s">
        <v>133</v>
      </c>
      <c r="CF32" s="232"/>
      <c r="CG32" s="109" t="s">
        <v>168</v>
      </c>
      <c r="CH32" s="109" t="s">
        <v>169</v>
      </c>
      <c r="CI32" s="230"/>
      <c r="CJ32" s="232"/>
      <c r="CK32" s="236"/>
      <c r="CL32" s="241"/>
      <c r="CM32" s="243"/>
      <c r="CN32" s="230"/>
      <c r="CO32" s="108" t="s">
        <v>133</v>
      </c>
      <c r="CP32" s="232"/>
      <c r="CQ32" s="109" t="s">
        <v>168</v>
      </c>
      <c r="CR32" s="109" t="s">
        <v>169</v>
      </c>
      <c r="CS32" s="230"/>
      <c r="CT32" s="232"/>
      <c r="CU32" s="236"/>
      <c r="CV32" s="241"/>
      <c r="CW32" s="243"/>
      <c r="CX32" s="230"/>
      <c r="CY32" s="108" t="s">
        <v>133</v>
      </c>
      <c r="CZ32" s="232"/>
      <c r="DA32" s="109" t="s">
        <v>168</v>
      </c>
      <c r="DB32" s="109" t="s">
        <v>169</v>
      </c>
      <c r="DC32" s="230"/>
      <c r="DD32" s="232"/>
      <c r="DE32" s="236"/>
      <c r="DF32" s="241"/>
      <c r="DG32" s="243"/>
      <c r="DH32" s="230"/>
      <c r="DI32" s="108" t="s">
        <v>133</v>
      </c>
      <c r="DJ32" s="232"/>
      <c r="DK32" s="109" t="s">
        <v>168</v>
      </c>
      <c r="DL32" s="109" t="s">
        <v>169</v>
      </c>
      <c r="DM32" s="230"/>
      <c r="DN32" s="232"/>
      <c r="DO32" s="236"/>
      <c r="DP32" s="241"/>
      <c r="DQ32" s="243"/>
      <c r="DR32" s="230"/>
      <c r="DS32" s="108" t="s">
        <v>133</v>
      </c>
      <c r="DT32" s="232"/>
      <c r="DU32" s="109" t="s">
        <v>168</v>
      </c>
      <c r="DV32" s="109" t="s">
        <v>169</v>
      </c>
      <c r="DW32" s="230"/>
      <c r="DX32" s="232"/>
      <c r="DY32" s="236"/>
      <c r="DZ32" s="241"/>
      <c r="EA32" s="243"/>
      <c r="EB32" s="230"/>
      <c r="EC32" s="108" t="s">
        <v>133</v>
      </c>
      <c r="ED32" s="232"/>
      <c r="EE32" s="109" t="s">
        <v>168</v>
      </c>
      <c r="EF32" s="109" t="s">
        <v>169</v>
      </c>
      <c r="EG32" s="230"/>
      <c r="EH32" s="232"/>
      <c r="EI32" s="236"/>
      <c r="EJ32" s="205">
        <f t="shared" si="12"/>
        <v>0</v>
      </c>
      <c r="EK32" s="107"/>
      <c r="EL32" s="160"/>
      <c r="EM32" s="160"/>
      <c r="EN32" s="160"/>
      <c r="EO32" s="160"/>
      <c r="EP32" s="161">
        <f>EN32/356</f>
        <v>0</v>
      </c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07"/>
      <c r="FH32" s="107"/>
      <c r="FI32" s="107"/>
    </row>
    <row r="33" spans="2:147" ht="20.100000000000001" customHeight="1" x14ac:dyDescent="0.3">
      <c r="B33" s="13">
        <v>0</v>
      </c>
      <c r="C33" s="14">
        <v>0</v>
      </c>
      <c r="D33" s="15">
        <v>0</v>
      </c>
      <c r="E33" s="15">
        <v>0</v>
      </c>
      <c r="F33" s="16">
        <v>0.05</v>
      </c>
      <c r="G33" s="105">
        <v>0.76</v>
      </c>
      <c r="H33" s="67">
        <f>G33*H5/I33/1000</f>
        <v>73.960413333333335</v>
      </c>
      <c r="I33" s="66">
        <v>12</v>
      </c>
      <c r="J33" s="52">
        <v>22</v>
      </c>
      <c r="K33" s="1" t="s">
        <v>135</v>
      </c>
      <c r="L33" s="6">
        <f>Produksi!D75</f>
        <v>151164</v>
      </c>
      <c r="M33" s="51">
        <f>Produksi!E75</f>
        <v>63525</v>
      </c>
      <c r="N33" s="51">
        <f>Produksi!G75</f>
        <v>102</v>
      </c>
      <c r="O33" s="50">
        <f>Produksi!I75</f>
        <v>0</v>
      </c>
      <c r="P33" s="50">
        <f>Produksi!H75</f>
        <v>0</v>
      </c>
      <c r="Q33" s="50">
        <f>Produksi!F75</f>
        <v>0</v>
      </c>
      <c r="R33" s="74">
        <f t="shared" ref="R33:R34" si="31">N33-(0)+P33-O33-(N33*(B34+C34+D34+E34+F34))</f>
        <v>96.9</v>
      </c>
      <c r="S33" s="53">
        <f>H33</f>
        <v>73.960413333333335</v>
      </c>
      <c r="T33" s="52">
        <v>22</v>
      </c>
      <c r="U33" s="1" t="s">
        <v>135</v>
      </c>
      <c r="V33" s="6">
        <f>Produksi!N75</f>
        <v>151164</v>
      </c>
      <c r="W33" s="51">
        <f>Produksi!O75</f>
        <v>63525</v>
      </c>
      <c r="X33" s="51">
        <f>Produksi!Q75</f>
        <v>98</v>
      </c>
      <c r="Y33" s="50">
        <f>Produksi!S75</f>
        <v>0</v>
      </c>
      <c r="Z33" s="50">
        <v>0</v>
      </c>
      <c r="AA33" s="50">
        <f>Produksi!P75</f>
        <v>0</v>
      </c>
      <c r="AB33" s="74">
        <f>X33-(0)+Z33-Y33-(B33+C33+D33+E33+F33)</f>
        <v>97.95</v>
      </c>
      <c r="AC33" s="53">
        <f>H33</f>
        <v>73.960413333333335</v>
      </c>
      <c r="AD33" s="52">
        <v>22</v>
      </c>
      <c r="AE33" s="1" t="s">
        <v>135</v>
      </c>
      <c r="AF33" s="6">
        <f>Produksi!X75</f>
        <v>151164</v>
      </c>
      <c r="AG33" s="51">
        <f>Produksi!Y75</f>
        <v>63525</v>
      </c>
      <c r="AH33" s="51">
        <f>Produksi!AA75</f>
        <v>110</v>
      </c>
      <c r="AI33" s="50">
        <f>Produksi!AC75</f>
        <v>30</v>
      </c>
      <c r="AJ33" s="50">
        <f>Produksi!AB75</f>
        <v>0</v>
      </c>
      <c r="AK33" s="50">
        <f>Produksi!Z75</f>
        <v>0</v>
      </c>
      <c r="AL33" s="182">
        <f>AH33-(0)+AJ33-AI33-(B33+C33+D33+E33+F33)</f>
        <v>79.95</v>
      </c>
      <c r="AM33" s="53">
        <f>H33</f>
        <v>73.960413333333335</v>
      </c>
      <c r="AN33" s="52">
        <v>22</v>
      </c>
      <c r="AO33" s="1" t="s">
        <v>135</v>
      </c>
      <c r="AP33" s="6">
        <f>Produksi!AH75</f>
        <v>150262</v>
      </c>
      <c r="AQ33" s="51">
        <f>Produksi!AI75</f>
        <v>63525</v>
      </c>
      <c r="AR33" s="51">
        <f>Produksi!AK75</f>
        <v>90</v>
      </c>
      <c r="AS33" s="50">
        <f>Produksi!AM75</f>
        <v>5</v>
      </c>
      <c r="AT33" s="76"/>
      <c r="AU33" s="50">
        <f>Produksi!AJ75</f>
        <v>0</v>
      </c>
      <c r="AV33" s="182">
        <f>AR33-(0)+(AT33-AS33)-(B33+C33+D33+E33+F33)</f>
        <v>84.95</v>
      </c>
      <c r="AW33" s="53">
        <f>'Data Ketersediaan Pangan'!H33</f>
        <v>73.960413333333335</v>
      </c>
      <c r="AX33" s="52">
        <v>22</v>
      </c>
      <c r="AY33" s="1" t="s">
        <v>135</v>
      </c>
      <c r="AZ33" s="6">
        <f>Produksi!AR75</f>
        <v>150262</v>
      </c>
      <c r="BA33" s="51">
        <f>Produksi!AS75</f>
        <v>63525</v>
      </c>
      <c r="BB33" s="51">
        <f>Produksi!AU75</f>
        <v>110</v>
      </c>
      <c r="BC33" s="50">
        <f>Produksi!AW75</f>
        <v>0</v>
      </c>
      <c r="BD33" s="50"/>
      <c r="BE33" s="50">
        <f>Produksi!AT75</f>
        <v>0</v>
      </c>
      <c r="BF33" s="182">
        <f>BB33-(0)+(BD33-BC33)-(B33+C33+D33+E33+F33)</f>
        <v>109.95</v>
      </c>
      <c r="BG33" s="53">
        <f>H33</f>
        <v>73.960413333333335</v>
      </c>
      <c r="BH33" s="52">
        <v>22</v>
      </c>
      <c r="BI33" s="1" t="s">
        <v>135</v>
      </c>
      <c r="BJ33" s="6">
        <f>Produksi!BB75</f>
        <v>150262</v>
      </c>
      <c r="BK33" s="51">
        <f>Produksi!BC75</f>
        <v>63525</v>
      </c>
      <c r="BL33" s="51">
        <f>Produksi!BE75</f>
        <v>110</v>
      </c>
      <c r="BM33" s="50">
        <f>Produksi!BG75</f>
        <v>30</v>
      </c>
      <c r="BN33" s="50"/>
      <c r="BO33" s="50">
        <f>Produksi!BD75</f>
        <v>0</v>
      </c>
      <c r="BP33" s="182">
        <f>BL33-(0)+(BN33-BM33)-(B33+C33+D33+E33+F33)</f>
        <v>79.95</v>
      </c>
      <c r="BQ33" s="53">
        <f>'Data Ketersediaan Pangan'!H33</f>
        <v>73.960413333333335</v>
      </c>
      <c r="BR33" s="52">
        <v>22</v>
      </c>
      <c r="BS33" s="1" t="s">
        <v>135</v>
      </c>
      <c r="BT33" s="6">
        <f>Produksi!BL75</f>
        <v>150262</v>
      </c>
      <c r="BU33" s="51">
        <f>Produksi!BM75</f>
        <v>63525</v>
      </c>
      <c r="BV33" s="51">
        <f>Produksi!BO75</f>
        <v>35.520000000000003</v>
      </c>
      <c r="BW33" s="50">
        <f>Produksi!BQ75</f>
        <v>138</v>
      </c>
      <c r="BX33" s="50">
        <f>Produksi!BP75</f>
        <v>0</v>
      </c>
      <c r="BY33" s="50">
        <f>Produksi!BN75</f>
        <v>0</v>
      </c>
      <c r="BZ33" s="182">
        <f>BV33-(0)+(BX33-BW33)-(B33+C33+D33+E33+F33*BV33)</f>
        <v>-104.25599999999999</v>
      </c>
      <c r="CA33" s="53">
        <f>'Data Ketersediaan Pangan'!H33</f>
        <v>73.960413333333335</v>
      </c>
      <c r="CB33" s="52">
        <v>22</v>
      </c>
      <c r="CC33" s="1" t="s">
        <v>135</v>
      </c>
      <c r="CD33" s="6">
        <f>Produksi!BV75</f>
        <v>150262</v>
      </c>
      <c r="CE33" s="51">
        <f>Produksi!BW75</f>
        <v>63525</v>
      </c>
      <c r="CF33" s="51">
        <f>Produksi!BY75</f>
        <v>35.28</v>
      </c>
      <c r="CG33" s="50">
        <f>Produksi!CA75</f>
        <v>0</v>
      </c>
      <c r="CH33" s="50">
        <f>Produksi!BZ75</f>
        <v>0</v>
      </c>
      <c r="CI33" s="50">
        <f>Produksi!BX75</f>
        <v>0</v>
      </c>
      <c r="CJ33" s="182">
        <f>CF33-(0)+(CH33+CG33)-(B33+C33+D33+E33+F33)</f>
        <v>35.230000000000004</v>
      </c>
      <c r="CK33" s="53">
        <f>H33</f>
        <v>73.960413333333335</v>
      </c>
      <c r="CL33" s="52">
        <v>22</v>
      </c>
      <c r="CM33" s="1" t="s">
        <v>135</v>
      </c>
      <c r="CN33" s="6">
        <f>Produksi!CF75</f>
        <v>150262</v>
      </c>
      <c r="CO33" s="51">
        <f>Produksi!CG75</f>
        <v>150262</v>
      </c>
      <c r="CP33" s="51">
        <f>Produksi!CI75</f>
        <v>34.32</v>
      </c>
      <c r="CQ33" s="50">
        <f>Produksi!CK75</f>
        <v>0</v>
      </c>
      <c r="CR33" s="50">
        <f>Produksi!CJ75</f>
        <v>0</v>
      </c>
      <c r="CS33" s="50">
        <f>Produksi!CH75</f>
        <v>0</v>
      </c>
      <c r="CT33" s="182">
        <f>CP33-(0)+(CR33-CQ33)-(B33+C33+D33+E33+F33*CP33)</f>
        <v>32.603999999999999</v>
      </c>
      <c r="CU33" s="53">
        <f>H33</f>
        <v>73.960413333333335</v>
      </c>
      <c r="CV33" s="52">
        <v>22</v>
      </c>
      <c r="CW33" s="1" t="s">
        <v>135</v>
      </c>
      <c r="CX33" s="6">
        <f>Produksi!CP75</f>
        <v>151720</v>
      </c>
      <c r="CY33" s="51">
        <f>Produksi!CQ75</f>
        <v>150262</v>
      </c>
      <c r="CZ33" s="51">
        <f>Produksi!CS75</f>
        <v>36.200000000000003</v>
      </c>
      <c r="DA33" s="50">
        <f>Produksi!CU75</f>
        <v>65</v>
      </c>
      <c r="DB33" s="50">
        <f>Produksi!CT75</f>
        <v>0</v>
      </c>
      <c r="DC33" s="50">
        <f>Produksi!CR75</f>
        <v>0</v>
      </c>
      <c r="DD33" s="182">
        <f>CZ33-(0)+(DB33-DA33)-(B33+C33+D33+E33+F33*CZ33)</f>
        <v>-30.609999999999996</v>
      </c>
      <c r="DE33" s="53">
        <f>H33</f>
        <v>73.960413333333335</v>
      </c>
      <c r="DF33" s="52">
        <v>22</v>
      </c>
      <c r="DG33" s="1" t="s">
        <v>135</v>
      </c>
      <c r="DH33" s="6">
        <f>Produksi!CZ75</f>
        <v>151720</v>
      </c>
      <c r="DI33" s="51">
        <f>Produksi!DA75</f>
        <v>150262</v>
      </c>
      <c r="DJ33" s="51">
        <f>Produksi!DC75</f>
        <v>36.200000000000003</v>
      </c>
      <c r="DK33" s="50"/>
      <c r="DL33" s="50"/>
      <c r="DM33" s="50"/>
      <c r="DN33" s="182">
        <f>(DJ33)-(0)+(DL33-DK33)-(B33+C33+D33+E33+F33*DJ33)</f>
        <v>34.39</v>
      </c>
      <c r="DO33" s="53">
        <f>H33</f>
        <v>73.960413333333335</v>
      </c>
      <c r="DP33" s="52">
        <v>22</v>
      </c>
      <c r="DQ33" s="1" t="s">
        <v>135</v>
      </c>
      <c r="DR33" s="6">
        <f>Produksi!DJ75</f>
        <v>151720</v>
      </c>
      <c r="DS33" s="51">
        <f>Produksi!DK75</f>
        <v>150262</v>
      </c>
      <c r="DT33" s="51">
        <f>Produksi!DM75</f>
        <v>36.200000000000003</v>
      </c>
      <c r="DU33" s="50"/>
      <c r="DV33" s="50"/>
      <c r="DW33" s="50"/>
      <c r="DX33" s="182">
        <f>(DT33)-(0)+(DV33-DU33)-(B33+C33+D33+E33+F33*DT33)</f>
        <v>34.39</v>
      </c>
      <c r="DY33" s="53">
        <f>H33</f>
        <v>73.960413333333335</v>
      </c>
      <c r="DZ33" s="52">
        <v>22</v>
      </c>
      <c r="EA33" s="1" t="s">
        <v>135</v>
      </c>
      <c r="EB33" s="50">
        <f>(L33+V33+AF33+AP33+AZ33+BJ33+BT33+CD33+CN33+CX33+DH33+DR33)/12</f>
        <v>150852</v>
      </c>
      <c r="EC33" s="50">
        <f>(M33+W33+AG33+AQ33+BA33+BK33+BU33+CE33+CO33+CY33+DI33+DS33)/12</f>
        <v>92437.333333333328</v>
      </c>
      <c r="ED33" s="50">
        <f>N33+AH33+AR33+BB33+BL33+BV33+CF33+CP33+CZ33+DJ33+DT33</f>
        <v>735.72000000000014</v>
      </c>
      <c r="EE33" s="76"/>
      <c r="EF33" s="76"/>
      <c r="EG33" s="50">
        <f t="shared" ref="EG33:EI34" si="32">Q33+AA33+AK33+AU33+BE33+BO33+BY33+CI33+CS33+DC33+DM33+DW33</f>
        <v>0</v>
      </c>
      <c r="EH33" s="74">
        <f t="shared" si="32"/>
        <v>551.39800000000002</v>
      </c>
      <c r="EI33" s="53">
        <f t="shared" si="32"/>
        <v>887.52496000000008</v>
      </c>
      <c r="EJ33" s="205">
        <f t="shared" si="12"/>
        <v>-336.12696000000005</v>
      </c>
    </row>
    <row r="34" spans="2:147" ht="20.100000000000001" customHeight="1" x14ac:dyDescent="0.3">
      <c r="B34" s="13">
        <v>0</v>
      </c>
      <c r="C34" s="14">
        <v>0</v>
      </c>
      <c r="D34" s="15">
        <v>0</v>
      </c>
      <c r="E34" s="15">
        <v>0</v>
      </c>
      <c r="F34" s="16">
        <v>0.05</v>
      </c>
      <c r="G34" s="105">
        <v>2.99</v>
      </c>
      <c r="H34" s="67">
        <f>G34*H5/I34/1000</f>
        <v>290.97583666666668</v>
      </c>
      <c r="I34" s="114">
        <v>12</v>
      </c>
      <c r="J34" s="52">
        <v>23</v>
      </c>
      <c r="K34" s="1" t="s">
        <v>212</v>
      </c>
      <c r="L34" s="6">
        <f>Produksi!D80</f>
        <v>4022800</v>
      </c>
      <c r="M34" s="51">
        <f>Produksi!E80</f>
        <v>1085</v>
      </c>
      <c r="N34" s="51">
        <f>Produksi!G80</f>
        <v>1240</v>
      </c>
      <c r="O34" s="113">
        <f>Produksi!I80</f>
        <v>10</v>
      </c>
      <c r="P34" s="50">
        <v>0</v>
      </c>
      <c r="Q34" s="50">
        <f>Produksi!F80</f>
        <v>0</v>
      </c>
      <c r="R34" s="74">
        <f t="shared" si="31"/>
        <v>1230</v>
      </c>
      <c r="S34" s="53">
        <f>H34</f>
        <v>290.97583666666668</v>
      </c>
      <c r="T34" s="52">
        <v>23</v>
      </c>
      <c r="U34" s="1" t="s">
        <v>212</v>
      </c>
      <c r="V34" s="6">
        <f>Produksi!N80</f>
        <v>4022800</v>
      </c>
      <c r="W34" s="51">
        <f>Produksi!O80</f>
        <v>1085</v>
      </c>
      <c r="X34" s="51">
        <f>Produksi!Q80</f>
        <v>1160</v>
      </c>
      <c r="Y34" s="50">
        <f>Produksi!S80</f>
        <v>7.1</v>
      </c>
      <c r="Z34" s="50">
        <v>0</v>
      </c>
      <c r="AA34" s="50">
        <f>Produksi!P80</f>
        <v>0</v>
      </c>
      <c r="AB34" s="74">
        <f>X34-(0)+Z34-Y34-(B34+C34+D34+E34+F34)</f>
        <v>1152.8500000000001</v>
      </c>
      <c r="AC34" s="53">
        <f>H34</f>
        <v>290.97583666666668</v>
      </c>
      <c r="AD34" s="52">
        <v>23</v>
      </c>
      <c r="AE34" s="1" t="s">
        <v>212</v>
      </c>
      <c r="AF34" s="6">
        <f>Produksi!X80</f>
        <v>4022800</v>
      </c>
      <c r="AG34" s="51">
        <f>Produksi!Y80</f>
        <v>1085</v>
      </c>
      <c r="AH34" s="51">
        <f>Produksi!AA80</f>
        <v>1920</v>
      </c>
      <c r="AI34" s="50">
        <f>Produksi!AC80</f>
        <v>6.1</v>
      </c>
      <c r="AJ34" s="50">
        <f>Produksi!AB80</f>
        <v>0</v>
      </c>
      <c r="AK34" s="50">
        <f>Produksi!Z80</f>
        <v>0</v>
      </c>
      <c r="AL34" s="182">
        <f>AH34-(0)+AJ34-AI34-(B34+C34+D34+E34+F34)</f>
        <v>1913.8500000000001</v>
      </c>
      <c r="AM34" s="53">
        <f>H34</f>
        <v>290.97583666666668</v>
      </c>
      <c r="AN34" s="52">
        <v>23</v>
      </c>
      <c r="AO34" s="1" t="s">
        <v>212</v>
      </c>
      <c r="AP34" s="6">
        <f>Produksi!AH80</f>
        <v>2528</v>
      </c>
      <c r="AQ34" s="51">
        <f>Produksi!AI80</f>
        <v>1085</v>
      </c>
      <c r="AR34" s="51">
        <f>Produksi!AK80</f>
        <v>1400</v>
      </c>
      <c r="AS34" s="50">
        <f>Produksi!AM80</f>
        <v>1.6</v>
      </c>
      <c r="AT34" s="76"/>
      <c r="AU34" s="50">
        <f>Produksi!AJ80</f>
        <v>0</v>
      </c>
      <c r="AV34" s="182">
        <f>AR34-(0)+(AT34-AS34)-(B34+C34+D34+E34+F34)</f>
        <v>1398.3500000000001</v>
      </c>
      <c r="AW34" s="53">
        <f>'Data Ketersediaan Pangan'!H34</f>
        <v>290.97583666666668</v>
      </c>
      <c r="AX34" s="52">
        <v>23</v>
      </c>
      <c r="AY34" s="1" t="s">
        <v>212</v>
      </c>
      <c r="AZ34" s="6">
        <f>Produksi!AR80</f>
        <v>2528000</v>
      </c>
      <c r="BA34" s="51">
        <f>Produksi!AS80</f>
        <v>1085</v>
      </c>
      <c r="BB34" s="51">
        <f>Produksi!AU80</f>
        <v>1820</v>
      </c>
      <c r="BC34" s="50">
        <f>Produksi!AW80</f>
        <v>22</v>
      </c>
      <c r="BD34" s="50"/>
      <c r="BE34" s="50">
        <f>Produksi!AT80</f>
        <v>0</v>
      </c>
      <c r="BF34" s="182">
        <f>BB34-(0)+(BD34-BC34)-(B34+C34+D34+E34+F34)</f>
        <v>1797.95</v>
      </c>
      <c r="BG34" s="53">
        <f>H34</f>
        <v>290.97583666666668</v>
      </c>
      <c r="BH34" s="52">
        <v>23</v>
      </c>
      <c r="BI34" s="1" t="s">
        <v>212</v>
      </c>
      <c r="BJ34" s="6">
        <f>Produksi!BB80</f>
        <v>2528</v>
      </c>
      <c r="BK34" s="51">
        <f>Produksi!BC80</f>
        <v>1085</v>
      </c>
      <c r="BL34" s="51">
        <f>Produksi!BE80</f>
        <v>1620</v>
      </c>
      <c r="BM34" s="50">
        <f>Produksi!BG80</f>
        <v>6.1</v>
      </c>
      <c r="BN34" s="50"/>
      <c r="BO34" s="50">
        <f>Produksi!BD80</f>
        <v>0</v>
      </c>
      <c r="BP34" s="182">
        <f>BL34-(0)+(BN34-BM34)-(B34+C34+D34+E34+F34)</f>
        <v>1613.8500000000001</v>
      </c>
      <c r="BQ34" s="53">
        <f>'Data Ketersediaan Pangan'!H34</f>
        <v>290.97583666666668</v>
      </c>
      <c r="BR34" s="52">
        <v>23</v>
      </c>
      <c r="BS34" s="1" t="s">
        <v>212</v>
      </c>
      <c r="BT34" s="6">
        <f>Produksi!BL80</f>
        <v>2528000</v>
      </c>
      <c r="BU34" s="51">
        <f>Produksi!BM80</f>
        <v>1085</v>
      </c>
      <c r="BV34" s="51">
        <f>Produksi!BO80</f>
        <v>390.04</v>
      </c>
      <c r="BW34" s="50">
        <f>Produksi!BQ80</f>
        <v>2.12</v>
      </c>
      <c r="BX34" s="50">
        <f>Produksi!BP80</f>
        <v>0</v>
      </c>
      <c r="BY34" s="50">
        <f>Produksi!BN80</f>
        <v>0</v>
      </c>
      <c r="BZ34" s="182">
        <f>BV34-(0)+(BX34-BW34)-(B34+C34+D34+E34+F34*BV34)</f>
        <v>368.41800000000001</v>
      </c>
      <c r="CA34" s="53">
        <f>'Data Ketersediaan Pangan'!H34</f>
        <v>290.97583666666668</v>
      </c>
      <c r="CB34" s="52">
        <v>23</v>
      </c>
      <c r="CC34" s="1" t="s">
        <v>212</v>
      </c>
      <c r="CD34" s="6">
        <f>Produksi!BV80</f>
        <v>2528000</v>
      </c>
      <c r="CE34" s="51">
        <f>Produksi!BW80</f>
        <v>1085</v>
      </c>
      <c r="CF34" s="51">
        <f>Produksi!BY80</f>
        <v>810.65599999999995</v>
      </c>
      <c r="CG34" s="50">
        <f>Produksi!CA80</f>
        <v>2.4</v>
      </c>
      <c r="CH34" s="50">
        <f>Produksi!BZ80</f>
        <v>0</v>
      </c>
      <c r="CI34" s="50">
        <f>Produksi!BX80</f>
        <v>0</v>
      </c>
      <c r="CJ34" s="182">
        <f>CF34-(0)+(CH34+CG34)-(B34+C34+D34+E34+F34)</f>
        <v>813.00599999999997</v>
      </c>
      <c r="CK34" s="53">
        <f>H34</f>
        <v>290.97583666666668</v>
      </c>
      <c r="CL34" s="52">
        <v>23</v>
      </c>
      <c r="CM34" s="1" t="s">
        <v>212</v>
      </c>
      <c r="CN34" s="6">
        <f>Produksi!CF80</f>
        <v>2528000</v>
      </c>
      <c r="CO34" s="51">
        <f>Produksi!CG80</f>
        <v>1085</v>
      </c>
      <c r="CP34" s="51">
        <f>Produksi!CI80</f>
        <v>212.31</v>
      </c>
      <c r="CQ34" s="50">
        <f>Produksi!CK80</f>
        <v>3.02</v>
      </c>
      <c r="CR34" s="50">
        <f>Produksi!CJ80</f>
        <v>0</v>
      </c>
      <c r="CS34" s="50">
        <f>Produksi!CH80</f>
        <v>0</v>
      </c>
      <c r="CT34" s="182">
        <f>CP34-(0)+(CR34-CQ34)-(B34+C34+D34+E34+F34*CP34)</f>
        <v>198.67449999999999</v>
      </c>
      <c r="CU34" s="53">
        <f>H34</f>
        <v>290.97583666666668</v>
      </c>
      <c r="CV34" s="52">
        <v>23</v>
      </c>
      <c r="CW34" s="1" t="s">
        <v>212</v>
      </c>
      <c r="CX34" s="6">
        <f>Produksi!CP80</f>
        <v>3820600</v>
      </c>
      <c r="CY34" s="51">
        <f>Produksi!CQ80</f>
        <v>1085</v>
      </c>
      <c r="CZ34" s="51">
        <f>Produksi!CS80</f>
        <v>212.31</v>
      </c>
      <c r="DA34" s="50">
        <f>Produksi!CU80</f>
        <v>1.04</v>
      </c>
      <c r="DB34" s="50">
        <f>Produksi!CT80</f>
        <v>0</v>
      </c>
      <c r="DC34" s="50">
        <f>Produksi!CR80</f>
        <v>0</v>
      </c>
      <c r="DD34" s="182">
        <f>CZ34-(0)+(DB34-DA34)-(B34+C34+D34+E34+F34*CZ34)</f>
        <v>200.65450000000001</v>
      </c>
      <c r="DE34" s="53">
        <f>H34</f>
        <v>290.97583666666668</v>
      </c>
      <c r="DF34" s="52">
        <v>23</v>
      </c>
      <c r="DG34" s="1" t="s">
        <v>212</v>
      </c>
      <c r="DH34" s="6">
        <f>Produksi!CZ80</f>
        <v>3820600</v>
      </c>
      <c r="DI34" s="51">
        <f>Produksi!DA80</f>
        <v>1085</v>
      </c>
      <c r="DJ34" s="51">
        <f>Produksi!DC80</f>
        <v>212.31</v>
      </c>
      <c r="DK34" s="50"/>
      <c r="DL34" s="50"/>
      <c r="DM34" s="50"/>
      <c r="DN34" s="182">
        <f>(DJ34)-(0)+(DL34-DK34)-(B34+C34+D34+E34+F34*DJ34)</f>
        <v>201.69450000000001</v>
      </c>
      <c r="DO34" s="53">
        <f>H34</f>
        <v>290.97583666666668</v>
      </c>
      <c r="DP34" s="52">
        <v>23</v>
      </c>
      <c r="DQ34" s="1" t="s">
        <v>212</v>
      </c>
      <c r="DR34" s="6">
        <f>Produksi!DJ80</f>
        <v>3820600</v>
      </c>
      <c r="DS34" s="51">
        <f>Produksi!DK80</f>
        <v>1085</v>
      </c>
      <c r="DT34" s="51">
        <f>Produksi!DM80</f>
        <v>212.31</v>
      </c>
      <c r="DU34" s="50"/>
      <c r="DV34" s="50"/>
      <c r="DW34" s="50"/>
      <c r="DX34" s="182">
        <f>(DT34)-(0)+(DV34-DU34)-(B34+C34+D34+E34+F34*DT34)</f>
        <v>201.69450000000001</v>
      </c>
      <c r="DY34" s="53">
        <f>H34</f>
        <v>290.97583666666668</v>
      </c>
      <c r="DZ34" s="52">
        <v>23</v>
      </c>
      <c r="EA34" s="1" t="s">
        <v>212</v>
      </c>
      <c r="EB34" s="50">
        <f>(L34+V34+AF34+AP34+AZ34+BJ34+BT34+CD34+CN34+CX34+DH34+DR34)/12</f>
        <v>2803938</v>
      </c>
      <c r="EC34" s="50">
        <f>(M34+W34+AG34+AQ34+BA34+BK34+BU34+CE34+CO34+CY34+DI34+DS34)/12</f>
        <v>1085</v>
      </c>
      <c r="ED34" s="50">
        <f>N34+AH34+AR34+BB34+BL34+BV34+CF34+CP34+CZ34+DJ34+DT34</f>
        <v>10049.935999999998</v>
      </c>
      <c r="EE34" s="76"/>
      <c r="EF34" s="76"/>
      <c r="EG34" s="50">
        <f t="shared" si="32"/>
        <v>0</v>
      </c>
      <c r="EH34" s="74">
        <f t="shared" si="32"/>
        <v>11090.991999999998</v>
      </c>
      <c r="EI34" s="53">
        <f t="shared" si="32"/>
        <v>3491.7100399999995</v>
      </c>
      <c r="EJ34" s="205">
        <f t="shared" si="12"/>
        <v>7599.2819599999984</v>
      </c>
    </row>
    <row r="35" spans="2:147" x14ac:dyDescent="0.3">
      <c r="B35" s="19"/>
      <c r="C35" s="19"/>
      <c r="D35" s="19"/>
      <c r="E35" s="19"/>
      <c r="F35" s="19"/>
      <c r="G35" s="89"/>
      <c r="H35" s="19"/>
      <c r="I35" s="19"/>
      <c r="J35" s="57"/>
      <c r="R35" s="58"/>
      <c r="S35" s="59"/>
      <c r="Y35" s="5"/>
      <c r="Z35" s="5"/>
      <c r="EM35" s="159"/>
      <c r="EN35" s="159"/>
      <c r="EO35" s="159"/>
      <c r="EP35" s="159"/>
      <c r="EQ35" s="159"/>
    </row>
    <row r="36" spans="2:147" x14ac:dyDescent="0.3">
      <c r="B36" s="19"/>
      <c r="C36" s="19"/>
      <c r="D36" s="19"/>
      <c r="E36" s="19"/>
      <c r="F36" s="19"/>
      <c r="G36" s="89"/>
      <c r="H36" s="19"/>
      <c r="I36" s="19"/>
      <c r="J36" s="60" t="s">
        <v>161</v>
      </c>
      <c r="R36" s="61"/>
      <c r="U36" s="60" t="s">
        <v>161</v>
      </c>
      <c r="AE36" s="60" t="s">
        <v>161</v>
      </c>
      <c r="AO36" s="60" t="s">
        <v>161</v>
      </c>
      <c r="AY36" s="60" t="s">
        <v>161</v>
      </c>
      <c r="BI36" s="60" t="s">
        <v>161</v>
      </c>
      <c r="BS36" s="60" t="s">
        <v>161</v>
      </c>
      <c r="CC36" s="60" t="s">
        <v>161</v>
      </c>
      <c r="CM36" s="60" t="s">
        <v>161</v>
      </c>
      <c r="CW36" s="60" t="s">
        <v>161</v>
      </c>
      <c r="DG36" s="60" t="s">
        <v>161</v>
      </c>
      <c r="DQ36" s="60" t="s">
        <v>161</v>
      </c>
      <c r="EA36" s="60" t="s">
        <v>161</v>
      </c>
      <c r="EM36" s="159"/>
      <c r="EN36" s="159"/>
      <c r="EO36" s="159"/>
      <c r="EP36" s="159"/>
      <c r="EQ36" s="159"/>
    </row>
    <row r="37" spans="2:147" x14ac:dyDescent="0.3">
      <c r="EM37" s="159"/>
      <c r="EN37" s="159"/>
      <c r="EO37" s="159"/>
      <c r="EP37" s="159"/>
      <c r="EQ37" s="159"/>
    </row>
    <row r="38" spans="2:147" x14ac:dyDescent="0.3">
      <c r="EM38" s="163"/>
      <c r="EN38" s="163"/>
      <c r="EO38" s="163"/>
      <c r="EP38" s="163"/>
      <c r="EQ38" s="163"/>
    </row>
    <row r="39" spans="2:147" x14ac:dyDescent="0.3">
      <c r="EM39" s="164"/>
      <c r="EN39" s="164"/>
      <c r="EO39" s="165"/>
      <c r="EP39" s="165"/>
      <c r="EQ39" s="165"/>
    </row>
    <row r="40" spans="2:147" x14ac:dyDescent="0.3">
      <c r="EM40" s="164"/>
      <c r="EN40" s="164"/>
      <c r="EO40" s="164"/>
      <c r="EP40" s="164"/>
      <c r="EQ40" s="164"/>
    </row>
    <row r="41" spans="2:147" x14ac:dyDescent="0.3">
      <c r="O41" s="30"/>
      <c r="EM41" s="164"/>
      <c r="EN41" s="164"/>
      <c r="EO41" s="165"/>
      <c r="EP41" s="165"/>
      <c r="EQ41" s="165"/>
    </row>
    <row r="42" spans="2:147" x14ac:dyDescent="0.3">
      <c r="EM42" s="164"/>
      <c r="EN42" s="164"/>
      <c r="EO42" s="164"/>
      <c r="EP42" s="164"/>
      <c r="EQ42" s="164"/>
    </row>
    <row r="43" spans="2:147" x14ac:dyDescent="0.3">
      <c r="EM43" s="164"/>
      <c r="EN43" s="164"/>
      <c r="EO43" s="165"/>
      <c r="EP43" s="165"/>
      <c r="EQ43" s="165"/>
    </row>
    <row r="44" spans="2:147" x14ac:dyDescent="0.3">
      <c r="EM44" s="164"/>
      <c r="EN44" s="164"/>
      <c r="EO44" s="165"/>
      <c r="EP44" s="165"/>
      <c r="EQ44" s="165"/>
    </row>
    <row r="45" spans="2:147" x14ac:dyDescent="0.3">
      <c r="EM45" s="164"/>
      <c r="EN45" s="164"/>
      <c r="EO45" s="164"/>
      <c r="EP45" s="164"/>
      <c r="EQ45" s="164"/>
    </row>
  </sheetData>
  <mergeCells count="182">
    <mergeCell ref="B8:B9"/>
    <mergeCell ref="C8:C9"/>
    <mergeCell ref="D8:E8"/>
    <mergeCell ref="G8:G9"/>
    <mergeCell ref="H8:H9"/>
    <mergeCell ref="I8:I9"/>
    <mergeCell ref="EL10:EY12"/>
    <mergeCell ref="EL22:EP24"/>
    <mergeCell ref="T1:AC1"/>
    <mergeCell ref="J1:S1"/>
    <mergeCell ref="J2:S2"/>
    <mergeCell ref="B6:F6"/>
    <mergeCell ref="J7:J8"/>
    <mergeCell ref="K7:K8"/>
    <mergeCell ref="O7:P7"/>
    <mergeCell ref="B7:F7"/>
    <mergeCell ref="T2:AC2"/>
    <mergeCell ref="T7:T8"/>
    <mergeCell ref="U7:U8"/>
    <mergeCell ref="Y7:Z7"/>
    <mergeCell ref="F8:F9"/>
    <mergeCell ref="G6:I7"/>
    <mergeCell ref="AX1:BG1"/>
    <mergeCell ref="AX2:BG2"/>
    <mergeCell ref="AD1:AM1"/>
    <mergeCell ref="AD2:AM2"/>
    <mergeCell ref="AD7:AD8"/>
    <mergeCell ref="AE7:AE8"/>
    <mergeCell ref="BR1:CA1"/>
    <mergeCell ref="BR2:CA2"/>
    <mergeCell ref="BR7:BR8"/>
    <mergeCell ref="BW7:BX7"/>
    <mergeCell ref="BH31:BH32"/>
    <mergeCell ref="BR31:BR32"/>
    <mergeCell ref="BS7:BS8"/>
    <mergeCell ref="BF31:BF32"/>
    <mergeCell ref="BG31:BG32"/>
    <mergeCell ref="BH1:BQ1"/>
    <mergeCell ref="BH2:BQ2"/>
    <mergeCell ref="BH7:BH8"/>
    <mergeCell ref="BQ31:BQ32"/>
    <mergeCell ref="BI31:BI32"/>
    <mergeCell ref="BC31:BD31"/>
    <mergeCell ref="BE31:BE32"/>
    <mergeCell ref="AX7:AX8"/>
    <mergeCell ref="AI7:AJ7"/>
    <mergeCell ref="AY7:AY8"/>
    <mergeCell ref="BC7:BD7"/>
    <mergeCell ref="AB31:AB32"/>
    <mergeCell ref="AC31:AC32"/>
    <mergeCell ref="AE31:AE32"/>
    <mergeCell ref="AF31:AF32"/>
    <mergeCell ref="BT31:BT32"/>
    <mergeCell ref="BV31:BV32"/>
    <mergeCell ref="BW31:BX31"/>
    <mergeCell ref="BL31:BL32"/>
    <mergeCell ref="BM31:BN31"/>
    <mergeCell ref="BO31:BO32"/>
    <mergeCell ref="BP31:BP32"/>
    <mergeCell ref="BJ31:BJ32"/>
    <mergeCell ref="AX31:AX32"/>
    <mergeCell ref="BB31:BB32"/>
    <mergeCell ref="AY31:AY32"/>
    <mergeCell ref="AZ31:AZ32"/>
    <mergeCell ref="AV31:AV32"/>
    <mergeCell ref="AI31:AJ31"/>
    <mergeCell ref="AL31:AL32"/>
    <mergeCell ref="AM31:AM32"/>
    <mergeCell ref="AN31:AN32"/>
    <mergeCell ref="AW31:AW32"/>
    <mergeCell ref="AS31:AT31"/>
    <mergeCell ref="AK31:AK32"/>
    <mergeCell ref="B31:I32"/>
    <mergeCell ref="T31:T32"/>
    <mergeCell ref="U31:U32"/>
    <mergeCell ref="V31:V32"/>
    <mergeCell ref="AA31:AA32"/>
    <mergeCell ref="X31:X32"/>
    <mergeCell ref="K31:K32"/>
    <mergeCell ref="J31:J32"/>
    <mergeCell ref="L31:L32"/>
    <mergeCell ref="N31:N32"/>
    <mergeCell ref="O31:P31"/>
    <mergeCell ref="AD31:AD32"/>
    <mergeCell ref="R31:R32"/>
    <mergeCell ref="S31:S32"/>
    <mergeCell ref="Y31:Z31"/>
    <mergeCell ref="AH31:AH32"/>
    <mergeCell ref="Q31:Q32"/>
    <mergeCell ref="CB1:CK1"/>
    <mergeCell ref="CB2:CK2"/>
    <mergeCell ref="CB7:CB8"/>
    <mergeCell ref="CC7:CC8"/>
    <mergeCell ref="CG7:CH7"/>
    <mergeCell ref="CB31:CB32"/>
    <mergeCell ref="CC31:CC32"/>
    <mergeCell ref="CD31:CD32"/>
    <mergeCell ref="AN1:AW1"/>
    <mergeCell ref="AN2:AW2"/>
    <mergeCell ref="AN7:AN8"/>
    <mergeCell ref="AO7:AO8"/>
    <mergeCell ref="AS7:AT7"/>
    <mergeCell ref="BS31:BS32"/>
    <mergeCell ref="AU31:AU32"/>
    <mergeCell ref="AO31:AO32"/>
    <mergeCell ref="AP31:AP32"/>
    <mergeCell ref="AR31:AR32"/>
    <mergeCell ref="BY31:BY32"/>
    <mergeCell ref="BI7:BI8"/>
    <mergeCell ref="BM7:BN7"/>
    <mergeCell ref="CP31:CP32"/>
    <mergeCell ref="CQ31:CR31"/>
    <mergeCell ref="CS31:CS32"/>
    <mergeCell ref="CF31:CF32"/>
    <mergeCell ref="CG31:CH31"/>
    <mergeCell ref="CI31:CI32"/>
    <mergeCell ref="CJ31:CJ32"/>
    <mergeCell ref="CK31:CK32"/>
    <mergeCell ref="BZ31:BZ32"/>
    <mergeCell ref="CA31:CA32"/>
    <mergeCell ref="DM31:DM32"/>
    <mergeCell ref="CZ31:CZ32"/>
    <mergeCell ref="DA31:DB31"/>
    <mergeCell ref="DC31:DC32"/>
    <mergeCell ref="DD31:DD32"/>
    <mergeCell ref="DE31:DE32"/>
    <mergeCell ref="CT31:CT32"/>
    <mergeCell ref="CU31:CU32"/>
    <mergeCell ref="CV1:DE1"/>
    <mergeCell ref="CV2:DE2"/>
    <mergeCell ref="CV7:CV8"/>
    <mergeCell ref="CW7:CW8"/>
    <mergeCell ref="DA7:DB7"/>
    <mergeCell ref="CV31:CV32"/>
    <mergeCell ref="CW31:CW32"/>
    <mergeCell ref="CX31:CX32"/>
    <mergeCell ref="CL1:CU1"/>
    <mergeCell ref="CL2:CU2"/>
    <mergeCell ref="CL7:CL8"/>
    <mergeCell ref="CM7:CM8"/>
    <mergeCell ref="CQ7:CR7"/>
    <mergeCell ref="CL31:CL32"/>
    <mergeCell ref="CM31:CM32"/>
    <mergeCell ref="CN31:CN32"/>
    <mergeCell ref="DQ31:DQ32"/>
    <mergeCell ref="DR31:DR32"/>
    <mergeCell ref="DT31:DT32"/>
    <mergeCell ref="DU31:DV31"/>
    <mergeCell ref="DW31:DW32"/>
    <mergeCell ref="DX31:DX32"/>
    <mergeCell ref="DN31:DN32"/>
    <mergeCell ref="DO31:DO32"/>
    <mergeCell ref="DP1:DY1"/>
    <mergeCell ref="DP2:DY2"/>
    <mergeCell ref="DP7:DP8"/>
    <mergeCell ref="DQ7:DQ8"/>
    <mergeCell ref="DU7:DV7"/>
    <mergeCell ref="DP31:DP32"/>
    <mergeCell ref="DF1:DO1"/>
    <mergeCell ref="DF2:DO2"/>
    <mergeCell ref="DF7:DF8"/>
    <mergeCell ref="DG7:DG8"/>
    <mergeCell ref="DK7:DL7"/>
    <mergeCell ref="DF31:DF32"/>
    <mergeCell ref="DG31:DG32"/>
    <mergeCell ref="DH31:DH32"/>
    <mergeCell ref="DJ31:DJ32"/>
    <mergeCell ref="DK31:DL31"/>
    <mergeCell ref="EB31:EB32"/>
    <mergeCell ref="ED31:ED32"/>
    <mergeCell ref="EE31:EF31"/>
    <mergeCell ref="EG31:EG32"/>
    <mergeCell ref="DY31:DY32"/>
    <mergeCell ref="DZ1:EI1"/>
    <mergeCell ref="DZ2:EI2"/>
    <mergeCell ref="DZ7:DZ8"/>
    <mergeCell ref="EA7:EA8"/>
    <mergeCell ref="EE7:EF7"/>
    <mergeCell ref="EH31:EH32"/>
    <mergeCell ref="EI31:EI32"/>
    <mergeCell ref="DZ31:DZ32"/>
    <mergeCell ref="EA31:EA32"/>
  </mergeCells>
  <pageMargins left="1.2" right="1" top="0.75" bottom="0.75" header="0.3" footer="0.3"/>
  <pageSetup paperSize="5" scale="75" orientation="landscape" horizontalDpi="0" verticalDpi="0" r:id="rId1"/>
  <colBreaks count="1" manualBreakCount="1">
    <brk id="9" max="1048575" man="1"/>
  </colBreaks>
  <ignoredErrors>
    <ignoredError sqref="EH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topLeftCell="B1" zoomScale="90" zoomScaleNormal="90" workbookViewId="0">
      <selection activeCell="E14" sqref="E14"/>
    </sheetView>
  </sheetViews>
  <sheetFormatPr defaultRowHeight="14.4" x14ac:dyDescent="0.3"/>
  <cols>
    <col min="1" max="1" width="6" customWidth="1"/>
    <col min="2" max="2" width="24.109375" customWidth="1"/>
    <col min="3" max="7" width="19.6640625" customWidth="1"/>
    <col min="8" max="8" width="19.44140625" customWidth="1"/>
    <col min="9" max="10" width="19.5546875" customWidth="1"/>
    <col min="11" max="11" width="21.109375" customWidth="1"/>
  </cols>
  <sheetData>
    <row r="1" spans="1:11" ht="18" x14ac:dyDescent="0.35">
      <c r="A1" s="276" t="s">
        <v>194</v>
      </c>
      <c r="B1" s="276"/>
      <c r="C1" s="276"/>
      <c r="D1" s="276"/>
      <c r="E1" s="276"/>
      <c r="F1" s="276"/>
      <c r="G1" s="276"/>
      <c r="H1" s="276"/>
      <c r="I1" s="276"/>
      <c r="J1" s="276"/>
      <c r="K1" s="78"/>
    </row>
    <row r="2" spans="1:11" ht="18" x14ac:dyDescent="0.35">
      <c r="A2" s="276" t="s">
        <v>118</v>
      </c>
      <c r="B2" s="276"/>
      <c r="C2" s="276"/>
      <c r="D2" s="276"/>
      <c r="E2" s="276"/>
      <c r="F2" s="276"/>
      <c r="G2" s="276"/>
      <c r="H2" s="276"/>
      <c r="I2" s="276"/>
      <c r="J2" s="276"/>
      <c r="K2" s="78"/>
    </row>
    <row r="3" spans="1:11" ht="5.25" customHeigh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</row>
    <row r="4" spans="1:11" x14ac:dyDescent="0.3">
      <c r="A4" s="141"/>
      <c r="B4" s="141"/>
      <c r="C4" s="141"/>
      <c r="D4" s="141"/>
      <c r="E4" s="141"/>
      <c r="F4" s="141"/>
      <c r="G4" s="141"/>
      <c r="H4" s="141"/>
      <c r="I4" s="141"/>
      <c r="J4" s="141"/>
    </row>
    <row r="5" spans="1:11" x14ac:dyDescent="0.3">
      <c r="A5" s="141" t="s">
        <v>228</v>
      </c>
      <c r="B5" s="141"/>
      <c r="C5" s="141"/>
      <c r="D5" s="141"/>
      <c r="E5" s="141"/>
      <c r="F5" s="141"/>
      <c r="G5" s="141"/>
      <c r="H5" s="141"/>
      <c r="I5" s="141"/>
      <c r="J5" s="141" t="s">
        <v>197</v>
      </c>
    </row>
    <row r="6" spans="1:11" ht="30" customHeight="1" x14ac:dyDescent="0.3">
      <c r="A6" s="279" t="s">
        <v>3</v>
      </c>
      <c r="B6" s="279" t="s">
        <v>167</v>
      </c>
      <c r="C6" s="277" t="s">
        <v>188</v>
      </c>
      <c r="D6" s="278"/>
      <c r="E6" s="281" t="s">
        <v>186</v>
      </c>
      <c r="F6" s="282"/>
      <c r="G6" s="281" t="s">
        <v>187</v>
      </c>
      <c r="H6" s="282"/>
      <c r="I6" s="277" t="s">
        <v>189</v>
      </c>
      <c r="J6" s="278"/>
    </row>
    <row r="7" spans="1:11" ht="21" customHeight="1" x14ac:dyDescent="0.3">
      <c r="A7" s="280"/>
      <c r="B7" s="280"/>
      <c r="C7" s="143" t="s">
        <v>191</v>
      </c>
      <c r="D7" s="144" t="s">
        <v>190</v>
      </c>
      <c r="E7" s="145" t="s">
        <v>168</v>
      </c>
      <c r="F7" s="145" t="s">
        <v>169</v>
      </c>
      <c r="G7" s="145" t="s">
        <v>168</v>
      </c>
      <c r="H7" s="145" t="s">
        <v>169</v>
      </c>
      <c r="I7" s="142" t="s">
        <v>191</v>
      </c>
      <c r="J7" s="144" t="s">
        <v>190</v>
      </c>
    </row>
    <row r="8" spans="1:11" ht="24.9" customHeight="1" x14ac:dyDescent="0.3">
      <c r="A8" s="83">
        <v>1</v>
      </c>
      <c r="B8" s="140" t="s">
        <v>170</v>
      </c>
      <c r="C8" s="135">
        <v>3769682.25</v>
      </c>
      <c r="D8" s="135">
        <v>2500</v>
      </c>
      <c r="E8" s="135">
        <v>195910</v>
      </c>
      <c r="F8" s="135">
        <v>0</v>
      </c>
      <c r="G8" s="135">
        <v>33960</v>
      </c>
      <c r="H8" s="135">
        <v>36630</v>
      </c>
      <c r="I8" s="135">
        <v>3573772</v>
      </c>
      <c r="J8" s="135">
        <v>5170</v>
      </c>
      <c r="K8" s="150"/>
    </row>
    <row r="9" spans="1:11" ht="24.9" customHeight="1" x14ac:dyDescent="0.3">
      <c r="A9" s="83">
        <v>2</v>
      </c>
      <c r="B9" s="140" t="s">
        <v>171</v>
      </c>
      <c r="C9" s="135">
        <v>3573772</v>
      </c>
      <c r="D9" s="135">
        <v>5170</v>
      </c>
      <c r="E9" s="135">
        <v>326600</v>
      </c>
      <c r="F9" s="135">
        <v>0</v>
      </c>
      <c r="G9" s="135">
        <v>383975</v>
      </c>
      <c r="H9" s="135">
        <v>434305</v>
      </c>
      <c r="I9" s="135">
        <v>3247172</v>
      </c>
      <c r="J9" s="135">
        <v>55500</v>
      </c>
      <c r="K9" s="150"/>
    </row>
    <row r="10" spans="1:11" ht="24.9" customHeight="1" x14ac:dyDescent="0.3">
      <c r="A10" s="83">
        <v>3</v>
      </c>
      <c r="B10" s="140" t="s">
        <v>172</v>
      </c>
      <c r="C10" s="135">
        <v>3247172</v>
      </c>
      <c r="D10" s="135">
        <v>55500</v>
      </c>
      <c r="E10" s="135">
        <v>875600</v>
      </c>
      <c r="F10" s="135">
        <v>0</v>
      </c>
      <c r="G10" s="135">
        <v>522025</v>
      </c>
      <c r="H10" s="135">
        <v>606800</v>
      </c>
      <c r="I10" s="135">
        <v>2371572</v>
      </c>
      <c r="J10" s="135">
        <v>140275</v>
      </c>
    </row>
    <row r="11" spans="1:11" ht="24.9" customHeight="1" x14ac:dyDescent="0.3">
      <c r="A11" s="83">
        <v>4</v>
      </c>
      <c r="B11" s="140" t="s">
        <v>173</v>
      </c>
      <c r="C11" s="135">
        <v>2336552.25</v>
      </c>
      <c r="D11" s="135">
        <v>67920</v>
      </c>
      <c r="E11" s="135">
        <v>567537</v>
      </c>
      <c r="F11" s="135">
        <v>53562</v>
      </c>
      <c r="G11" s="135">
        <v>591345</v>
      </c>
      <c r="H11" s="135">
        <v>529425</v>
      </c>
      <c r="I11" s="135">
        <v>1882577</v>
      </c>
      <c r="J11" s="135">
        <v>6000</v>
      </c>
    </row>
    <row r="12" spans="1:11" ht="24.9" customHeight="1" x14ac:dyDescent="0.3">
      <c r="A12" s="83">
        <v>5</v>
      </c>
      <c r="B12" s="140" t="s">
        <v>174</v>
      </c>
      <c r="C12" s="135">
        <v>1822577</v>
      </c>
      <c r="D12" s="135">
        <v>6000</v>
      </c>
      <c r="E12" s="135">
        <v>569200</v>
      </c>
      <c r="F12" s="135">
        <v>30000</v>
      </c>
      <c r="G12" s="135">
        <v>557022</v>
      </c>
      <c r="H12" s="135">
        <v>557022</v>
      </c>
      <c r="I12" s="135">
        <v>1283377</v>
      </c>
      <c r="J12" s="135">
        <v>6000</v>
      </c>
    </row>
    <row r="13" spans="1:11" ht="24.9" customHeight="1" x14ac:dyDescent="0.3">
      <c r="A13" s="83">
        <v>6</v>
      </c>
      <c r="B13" s="140" t="s">
        <v>175</v>
      </c>
      <c r="C13" s="136">
        <v>1283377.25</v>
      </c>
      <c r="D13" s="136">
        <v>6000</v>
      </c>
      <c r="E13" s="136">
        <v>488300</v>
      </c>
      <c r="F13" s="137">
        <v>836750</v>
      </c>
      <c r="G13" s="136">
        <v>454000</v>
      </c>
      <c r="H13" s="136">
        <v>453000</v>
      </c>
      <c r="I13" s="135">
        <v>1631827</v>
      </c>
      <c r="J13" s="135">
        <v>5000</v>
      </c>
    </row>
    <row r="14" spans="1:11" ht="24.9" customHeight="1" x14ac:dyDescent="0.3">
      <c r="A14" s="83">
        <v>7</v>
      </c>
      <c r="B14" s="140" t="s">
        <v>176</v>
      </c>
      <c r="C14" s="137"/>
      <c r="D14" s="137"/>
      <c r="E14" s="137"/>
      <c r="F14" s="137"/>
      <c r="G14" s="137"/>
      <c r="H14" s="137"/>
      <c r="I14" s="137"/>
      <c r="J14" s="137"/>
    </row>
    <row r="15" spans="1:11" ht="24.9" customHeight="1" x14ac:dyDescent="0.3">
      <c r="A15" s="83">
        <v>8</v>
      </c>
      <c r="B15" s="140" t="s">
        <v>177</v>
      </c>
      <c r="C15" s="137"/>
      <c r="D15" s="137"/>
      <c r="E15" s="137"/>
      <c r="F15" s="135"/>
      <c r="G15" s="137"/>
      <c r="H15" s="137"/>
      <c r="I15" s="137"/>
      <c r="J15" s="137"/>
    </row>
    <row r="16" spans="1:11" ht="24.9" customHeight="1" x14ac:dyDescent="0.3">
      <c r="A16" s="83">
        <v>9</v>
      </c>
      <c r="B16" s="140" t="s">
        <v>178</v>
      </c>
      <c r="C16" s="135"/>
      <c r="D16" s="135"/>
      <c r="E16" s="135"/>
      <c r="F16" s="135"/>
      <c r="G16" s="135"/>
      <c r="H16" s="135"/>
      <c r="I16" s="135"/>
      <c r="J16" s="135"/>
    </row>
    <row r="17" spans="1:10" ht="24.9" customHeight="1" x14ac:dyDescent="0.3">
      <c r="A17" s="83">
        <v>10</v>
      </c>
      <c r="B17" s="140" t="s">
        <v>179</v>
      </c>
      <c r="C17" s="138"/>
      <c r="D17" s="138"/>
      <c r="E17" s="139"/>
      <c r="F17" s="139"/>
      <c r="G17" s="139"/>
      <c r="H17" s="139"/>
      <c r="I17" s="138"/>
      <c r="J17" s="139"/>
    </row>
    <row r="18" spans="1:10" ht="24.9" customHeight="1" x14ac:dyDescent="0.3">
      <c r="A18" s="83">
        <v>11</v>
      </c>
      <c r="B18" s="140" t="s">
        <v>180</v>
      </c>
      <c r="C18" s="138"/>
      <c r="D18" s="138"/>
      <c r="E18" s="139"/>
      <c r="F18" s="139"/>
      <c r="G18" s="139"/>
      <c r="H18" s="139"/>
      <c r="I18" s="138"/>
      <c r="J18" s="139"/>
    </row>
    <row r="19" spans="1:10" ht="24.9" customHeight="1" x14ac:dyDescent="0.3">
      <c r="A19" s="83">
        <v>12</v>
      </c>
      <c r="B19" s="140" t="s">
        <v>181</v>
      </c>
      <c r="C19" s="138"/>
      <c r="D19" s="138"/>
      <c r="E19" s="139"/>
      <c r="F19" s="139"/>
      <c r="G19" s="139"/>
      <c r="H19" s="139"/>
      <c r="I19" s="138"/>
      <c r="J19" s="139"/>
    </row>
    <row r="20" spans="1:10" ht="24.9" customHeight="1" x14ac:dyDescent="0.3">
      <c r="A20" s="83"/>
      <c r="B20" s="84"/>
      <c r="C20" s="135"/>
      <c r="D20" s="135"/>
      <c r="E20" s="135"/>
      <c r="F20" s="135"/>
      <c r="G20" s="135"/>
      <c r="H20" s="135"/>
      <c r="I20" s="135"/>
      <c r="J20" s="135"/>
    </row>
    <row r="21" spans="1:10" ht="11.25" customHeight="1" x14ac:dyDescent="0.3">
      <c r="C21" s="46"/>
      <c r="D21" s="46"/>
    </row>
    <row r="22" spans="1:10" ht="11.25" customHeight="1" x14ac:dyDescent="0.3">
      <c r="A22" s="17" t="s">
        <v>136</v>
      </c>
      <c r="B22" s="17"/>
    </row>
    <row r="23" spans="1:10" ht="21" customHeight="1" x14ac:dyDescent="0.3"/>
    <row r="24" spans="1:10" ht="21" customHeight="1" x14ac:dyDescent="0.3"/>
    <row r="25" spans="1:10" ht="24" customHeight="1" x14ac:dyDescent="0.3"/>
  </sheetData>
  <mergeCells count="8">
    <mergeCell ref="A1:J1"/>
    <mergeCell ref="A2:J2"/>
    <mergeCell ref="C6:D6"/>
    <mergeCell ref="I6:J6"/>
    <mergeCell ref="A6:A7"/>
    <mergeCell ref="E6:F6"/>
    <mergeCell ref="B6:B7"/>
    <mergeCell ref="G6:H6"/>
  </mergeCells>
  <pageMargins left="1.45" right="0.7" top="0.75" bottom="0.75" header="0.3" footer="0.3"/>
  <pageSetup paperSize="5"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Produksi</vt:lpstr>
      <vt:lpstr>Data Ketersediaan Pangan</vt:lpstr>
      <vt:lpstr>Stok Beras Bulog</vt:lpstr>
      <vt:lpstr>'Data Ketersediaan Pangan'!Print_Area</vt:lpstr>
      <vt:lpstr>Produksi!Print_Area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KTSMS</dc:creator>
  <cp:lastModifiedBy>rahma garwati</cp:lastModifiedBy>
  <cp:lastPrinted>2022-01-31T04:26:28Z</cp:lastPrinted>
  <dcterms:created xsi:type="dcterms:W3CDTF">2016-04-14T01:06:46Z</dcterms:created>
  <dcterms:modified xsi:type="dcterms:W3CDTF">2024-08-31T07:03:39Z</dcterms:modified>
</cp:coreProperties>
</file>