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cum/Dropbox (MIT)/Ventilator/2020.03.29 Direct Drive System/"/>
    </mc:Choice>
  </mc:AlternateContent>
  <xr:revisionPtr revIDLastSave="0" documentId="13_ncr:1_{C1AD49CC-30EF-DA40-9410-0642DF6819E9}" xr6:coauthVersionLast="45" xr6:coauthVersionMax="45" xr10:uidLastSave="{00000000-0000-0000-0000-000000000000}"/>
  <bookViews>
    <workbookView xWindow="1420" yWindow="700" windowWidth="34420" windowHeight="21000" activeTab="2" xr2:uid="{00000000-000D-0000-FFFF-FFFF00000000}"/>
  </bookViews>
  <sheets>
    <sheet name="System Analysis" sheetId="1" r:id="rId1"/>
    <sheet name="Arm stress" sheetId="12" r:id="rId2"/>
    <sheet name="Motor Options" sheetId="6" r:id="rId3"/>
    <sheet name="Hex drive" sheetId="9" r:id="rId4"/>
    <sheet name="lung compliance notes" sheetId="8" r:id="rId5"/>
    <sheet name="refs" sheetId="2" r:id="rId6"/>
    <sheet name="Revisions" sheetId="7" r:id="rId7"/>
    <sheet name="Bag fixture by Vee" sheetId="5" r:id="rId8"/>
    <sheet name="Expected Tidal Volume" sheetId="11" r:id="rId9"/>
  </sheets>
  <definedNames>
    <definedName name="Ac">#REF!</definedName>
    <definedName name="alpha">#REF!</definedName>
    <definedName name="Arcfing">'System Analysis'!$C$14</definedName>
    <definedName name="Areabag">'System Analysis'!$C$39</definedName>
    <definedName name="b">#REF!</definedName>
    <definedName name="b_1">#REF!</definedName>
    <definedName name="b_2">#REF!</definedName>
    <definedName name="Bag1eD">'Bag fixture by Vee'!$A$4</definedName>
    <definedName name="Bag2eD">'Bag fixture by Vee'!$B$5</definedName>
    <definedName name="beta">#REF!</definedName>
    <definedName name="Bgeartooth">#REF!</definedName>
    <definedName name="bpdavg">'System Analysis'!$C$44</definedName>
    <definedName name="cc">#REF!</definedName>
    <definedName name="ccgeartooth">#REF!</definedName>
    <definedName name="Chexpres">'Hex drive'!$C$7</definedName>
    <definedName name="cmh2O">'System Analysis'!$C$38</definedName>
    <definedName name="cmH2Omax">'System Analysis'!#REF!</definedName>
    <definedName name="Ctol">#REF!</definedName>
    <definedName name="d_1">#REF!</definedName>
    <definedName name="d_2">#REF!</definedName>
    <definedName name="Dbag">'System Analysis'!$C$7</definedName>
    <definedName name="Dbear">'System Analysis'!#REF!</definedName>
    <definedName name="Dbearing">#REF!</definedName>
    <definedName name="dd">#REF!</definedName>
    <definedName name="defl_1">#REF!</definedName>
    <definedName name="defl_2">#REF!</definedName>
    <definedName name="Dg">#REF!</definedName>
    <definedName name="Dgear">'System Analysis'!#REF!</definedName>
    <definedName name="Dgp">'System Analysis'!#REF!</definedName>
    <definedName name="Disphand">'System Analysis'!$C$11</definedName>
    <definedName name="do">#REF!</definedName>
    <definedName name="Dolm">'System Analysis'!$C$45</definedName>
    <definedName name="Dp">#REF!</definedName>
    <definedName name="Dpinion">'System Analysis'!#REF!</definedName>
    <definedName name="E1e">#REF!</definedName>
    <definedName name="E2e">#REF!</definedName>
    <definedName name="Ee">#REF!</definedName>
    <definedName name="Ela">#REF!</definedName>
    <definedName name="Eone">#REF!</definedName>
    <definedName name="etamech">'System Analysis'!$C$50</definedName>
    <definedName name="Etwo">#REF!</definedName>
    <definedName name="expr">'System Analysis'!$C$21</definedName>
    <definedName name="f">#REF!</definedName>
    <definedName name="Fapply">'Arm stress'!$C$2</definedName>
    <definedName name="Fbag">'System Analysis'!$C$40</definedName>
    <definedName name="Fbear">'System Analysis'!#REF!</definedName>
    <definedName name="Fbearing">#REF!</definedName>
    <definedName name="Fbh">'System Analysis'!#REF!</definedName>
    <definedName name="Fbv">'System Analysis'!#REF!</definedName>
    <definedName name="Fbx">'System Analysis'!#REF!</definedName>
    <definedName name="Fby">'System Analysis'!#REF!</definedName>
    <definedName name="fcob">#REF!</definedName>
    <definedName name="Ffinger">'System Analysis'!$C$55</definedName>
    <definedName name="Fgear">'System Analysis'!#REF!</definedName>
    <definedName name="Fgearunder">'System Analysis'!#REF!</definedName>
    <definedName name="Fgtg">'System Analysis'!#REF!</definedName>
    <definedName name="Fnetbear">#REF!</definedName>
    <definedName name="Fp">#REF!</definedName>
    <definedName name="Fperbear">'System Analysis'!#REF!</definedName>
    <definedName name="Fradmaxm">'System Analysis'!$C$63</definedName>
    <definedName name="Fsp">#REF!</definedName>
    <definedName name="Ftoothcontact">#REF!</definedName>
    <definedName name="gosn">'System Analysis'!#REF!</definedName>
    <definedName name="hcpf">'Hex drive'!$C$9</definedName>
    <definedName name="hsd">'Hex drive'!$C$2</definedName>
    <definedName name="I">#REF!</definedName>
    <definedName name="ier">'System Analysis'!$C$19</definedName>
    <definedName name="insp">'System Analysis'!$C$20</definedName>
    <definedName name="L">#REF!</definedName>
    <definedName name="lambda">#REF!</definedName>
    <definedName name="Lbag">'System Analysis'!$C$9</definedName>
    <definedName name="LCA">'System Analysis'!#REF!</definedName>
    <definedName name="LCNL">'System Analysis'!#REF!</definedName>
    <definedName name="LCNU">'System Analysis'!#REF!</definedName>
    <definedName name="Lma">'Arm stress'!$C$5</definedName>
    <definedName name="mu">'System Analysis'!#REF!</definedName>
    <definedName name="Nema34Tas">'Motor Options'!$D$59</definedName>
    <definedName name="NemaTas">'System Analysis'!$C$65</definedName>
    <definedName name="Ng">#REF!</definedName>
    <definedName name="Nhftt">'Hex drive'!$C$8</definedName>
    <definedName name="NMr">'System Analysis'!#REF!</definedName>
    <definedName name="NMsize">'System Analysis'!$C$59</definedName>
    <definedName name="Nodoms">'System Analysis'!#REF!</definedName>
    <definedName name="Noms">'System Analysis'!#REF!</definedName>
    <definedName name="Np">#REF!</definedName>
    <definedName name="ovszf">'System Analysis'!$C$51</definedName>
    <definedName name="P">#REF!</definedName>
    <definedName name="pap">'System Analysis'!$C$31</definedName>
    <definedName name="papeta">'System Analysis'!$C$33</definedName>
    <definedName name="papmax">'System Analysis'!$C$71</definedName>
    <definedName name="Pbaginhale">'System Analysis'!$C$49</definedName>
    <definedName name="pbagmm">'System Analysis'!$C$34</definedName>
    <definedName name="Pbdc">'System Analysis'!$C$10</definedName>
    <definedName name="pcr">'System Analysis'!$C$25</definedName>
    <definedName name="pcri">'System Analysis'!#REF!</definedName>
    <definedName name="PFPL">'System Analysis'!#REF!</definedName>
    <definedName name="PFPLr">'System Analysis'!#REF!</definedName>
    <definedName name="phi">#REF!</definedName>
    <definedName name="pomsl">'System Analysis'!#REF!</definedName>
    <definedName name="Q">#REF!</definedName>
    <definedName name="qcyl">#REF!</definedName>
    <definedName name="qgeartooth">#REF!</definedName>
    <definedName name="R_1">'System Analysis'!$C$12</definedName>
    <definedName name="R_2">'System Analysis'!#REF!</definedName>
    <definedName name="R_2g">'System Analysis'!#REF!</definedName>
    <definedName name="Ra">#REF!</definedName>
    <definedName name="re">#REF!</definedName>
    <definedName name="Resprate">'System Analysis'!$C$16</definedName>
    <definedName name="resprateavg">'System Analysis'!$C$17</definedName>
    <definedName name="Rgear">'System Analysis'!#REF!</definedName>
    <definedName name="Ronemaj">#REF!</definedName>
    <definedName name="Ronemin">#REF!</definedName>
    <definedName name="Rpmfing">'System Analysis'!$C$29</definedName>
    <definedName name="Rpmgmr">'System Analysis'!#REF!</definedName>
    <definedName name="Rtwomaj">#REF!</definedName>
    <definedName name="Rtwomin">#REF!</definedName>
    <definedName name="scf">'Arm stress'!$C$10</definedName>
    <definedName name="sigbear">#REF!</definedName>
    <definedName name="sigbeartwist">#REF!</definedName>
    <definedName name="sigg">#REF!</definedName>
    <definedName name="sigp">#REF!</definedName>
    <definedName name="sigult">#REF!</definedName>
    <definedName name="sob">#REF!</definedName>
    <definedName name="spb">'System Analysis'!$C$18</definedName>
    <definedName name="T">#REF!</definedName>
    <definedName name="tarm">'Arm stress'!$C$3</definedName>
    <definedName name="tcpob">#REF!</definedName>
    <definedName name="tgear">'System Analysis'!#REF!</definedName>
    <definedName name="tgm">'System Analysis'!$C$56</definedName>
    <definedName name="theta_1">#REF!</definedName>
    <definedName name="Thetapingear">'System Analysis'!#REF!</definedName>
    <definedName name="tinsp">'System Analysis'!$C$23</definedName>
    <definedName name="Tlsbf">'System Analysis'!#REF!</definedName>
    <definedName name="tmcd">'System Analysis'!$C$46</definedName>
    <definedName name="tmof">#REF!</definedName>
    <definedName name="tpb">'System Analysis'!$C$22</definedName>
    <definedName name="trpf">'System Analysis'!#REF!</definedName>
    <definedName name="trtp">'System Analysis'!$C$26</definedName>
    <definedName name="Tstallsm">'System Analysis'!$C$60</definedName>
    <definedName name="Tstallsmm">'System Analysis'!$C$61</definedName>
    <definedName name="tt">#REF!</definedName>
    <definedName name="ttbt">'Hex drive'!$C$6</definedName>
    <definedName name="vone">#REF!</definedName>
    <definedName name="Vrbagsides">'System Analysis'!$C$48</definedName>
    <definedName name="vtwo">#REF!</definedName>
    <definedName name="w">#REF!</definedName>
    <definedName name="warm">'Arm stress'!$C$4</definedName>
    <definedName name="wbearing">#REF!</definedName>
    <definedName name="wcf">'Hex drive'!$C$4</definedName>
    <definedName name="wfree34">'System Analysis'!$C$62</definedName>
    <definedName name="wscdf">#REF!</definedName>
    <definedName name="xpramp">'System Analysis'!$C$27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7" l="1"/>
  <c r="C11" i="12"/>
  <c r="C6" i="12"/>
  <c r="C7" i="12" s="1"/>
  <c r="C2" i="12"/>
  <c r="C6" i="9"/>
  <c r="C12" i="1" l="1"/>
  <c r="C11" i="1"/>
  <c r="C18" i="1"/>
  <c r="C32" i="1" l="1"/>
  <c r="C69" i="1" s="1"/>
  <c r="K63" i="1" l="1"/>
  <c r="H63" i="1"/>
  <c r="G63" i="1"/>
  <c r="K62" i="1"/>
  <c r="J62" i="1"/>
  <c r="I62" i="1"/>
  <c r="H62" i="1"/>
  <c r="G62" i="1"/>
  <c r="K60" i="1"/>
  <c r="J60" i="1"/>
  <c r="H60" i="1"/>
  <c r="F7" i="6"/>
  <c r="I60" i="1" s="1"/>
  <c r="G60" i="1"/>
  <c r="D19" i="6"/>
  <c r="F18" i="6"/>
  <c r="F20" i="6" s="1"/>
  <c r="D17" i="6"/>
  <c r="F14" i="6"/>
  <c r="J63" i="1" s="1"/>
  <c r="F9" i="6"/>
  <c r="I63" i="1" s="1"/>
  <c r="D29" i="6"/>
  <c r="D24" i="6"/>
  <c r="F23" i="6"/>
  <c r="F22" i="6"/>
  <c r="F27" i="6"/>
  <c r="F28" i="6"/>
  <c r="D12" i="6"/>
  <c r="F13" i="6"/>
  <c r="F15" i="6" s="1"/>
  <c r="C60" i="1" l="1"/>
  <c r="C61" i="1" s="1"/>
  <c r="C62" i="1"/>
  <c r="C63" i="1"/>
  <c r="F25" i="6"/>
  <c r="F30" i="6"/>
  <c r="F8" i="6"/>
  <c r="C5" i="9"/>
  <c r="C3" i="9"/>
  <c r="C7" i="9"/>
  <c r="B7" i="5"/>
  <c r="G53" i="1"/>
  <c r="C44" i="1"/>
  <c r="C46" i="1" s="1"/>
  <c r="C19" i="8"/>
  <c r="E10" i="8"/>
  <c r="C14" i="1" l="1"/>
  <c r="F10" i="6"/>
  <c r="C22" i="1" l="1"/>
  <c r="C24" i="1" l="1"/>
  <c r="C23" i="1"/>
  <c r="C28" i="1" l="1"/>
  <c r="C29" i="1"/>
  <c r="C48" i="1"/>
  <c r="C26" i="1"/>
  <c r="C64" i="1" l="1"/>
  <c r="C65" i="1" s="1"/>
  <c r="C71" i="1" s="1"/>
  <c r="C39" i="1"/>
  <c r="C34" i="1"/>
  <c r="C35" i="1" l="1"/>
  <c r="C36" i="1" s="1"/>
  <c r="C38" i="1"/>
  <c r="C37" i="1" l="1"/>
  <c r="C40" i="1" s="1"/>
  <c r="C49" i="1" s="1"/>
  <c r="C41" i="1" l="1"/>
  <c r="C52" i="1"/>
  <c r="C55" i="1"/>
  <c r="C56" i="1" s="1"/>
  <c r="C57" i="1" l="1"/>
  <c r="C9" i="9"/>
  <c r="C10" i="9" s="1"/>
  <c r="C66" i="1"/>
  <c r="C67" i="1" l="1"/>
</calcChain>
</file>

<file path=xl/sharedStrings.xml><?xml version="1.0" encoding="utf-8"?>
<sst xmlns="http://schemas.openxmlformats.org/spreadsheetml/2006/main" count="356" uniqueCount="247">
  <si>
    <t>R_1</t>
  </si>
  <si>
    <t>atm</t>
  </si>
  <si>
    <t>psi</t>
  </si>
  <si>
    <t>N/mm^2</t>
  </si>
  <si>
    <t>https://en.wikipedia.org/wiki/Mechanical_ventilation</t>
  </si>
  <si>
    <t>https://www.sciencedirect.com/topics/medicine-and-dentistry/mean-airway-pressure</t>
  </si>
  <si>
    <t>https://www.sciencedirect.com/topics/medicine-and-dentistry/airway-pressure</t>
  </si>
  <si>
    <t>peak airway pressure</t>
  </si>
  <si>
    <t>pap</t>
  </si>
  <si>
    <t>factor higher to force from bag through circuit</t>
  </si>
  <si>
    <t>papeta</t>
  </si>
  <si>
    <t>bag pressure</t>
  </si>
  <si>
    <t>pbagmm</t>
  </si>
  <si>
    <t>Bag diameter</t>
  </si>
  <si>
    <t>Dbag</t>
  </si>
  <si>
    <t>Lbag</t>
  </si>
  <si>
    <t>Areabag</t>
  </si>
  <si>
    <t>lbs</t>
  </si>
  <si>
    <t>N</t>
  </si>
  <si>
    <t>Fbag</t>
  </si>
  <si>
    <t>Ffinger</t>
  </si>
  <si>
    <t>N-mm</t>
  </si>
  <si>
    <t>mm</t>
  </si>
  <si>
    <t>gearbox output torque needed</t>
  </si>
  <si>
    <t>Tgm</t>
  </si>
  <si>
    <t>lb-in</t>
  </si>
  <si>
    <t>mm^2</t>
  </si>
  <si>
    <t>Free speed</t>
  </si>
  <si>
    <t>Tstall</t>
  </si>
  <si>
    <t>wfree</t>
  </si>
  <si>
    <t>Stall torque</t>
  </si>
  <si>
    <t>rpm</t>
  </si>
  <si>
    <t>lb-ft</t>
  </si>
  <si>
    <t>resprate</t>
  </si>
  <si>
    <t>breaths per minute</t>
  </si>
  <si>
    <t>degrees</t>
  </si>
  <si>
    <t>arcfing</t>
  </si>
  <si>
    <t>rpmfing</t>
  </si>
  <si>
    <t>Respiration</t>
  </si>
  <si>
    <t>inch</t>
  </si>
  <si>
    <r>
      <t xml:space="preserve">Inputs in </t>
    </r>
    <r>
      <rPr>
        <b/>
        <sz val="12"/>
        <color theme="1"/>
        <rFont val="Calibri"/>
        <family val="2"/>
      </rPr>
      <t>BLACK</t>
    </r>
    <r>
      <rPr>
        <sz val="10"/>
        <color theme="1"/>
        <rFont val="Helvetica"/>
        <family val="2"/>
      </rPr>
      <t xml:space="preserve">, Outputs in </t>
    </r>
    <r>
      <rPr>
        <b/>
        <sz val="12"/>
        <color rgb="FFFF0000"/>
        <rFont val="Helvetica"/>
        <family val="2"/>
      </rPr>
      <t>RED</t>
    </r>
  </si>
  <si>
    <t>Normal lung compliance, lower bound</t>
  </si>
  <si>
    <t>LCNL</t>
  </si>
  <si>
    <t>cmH2O</t>
  </si>
  <si>
    <t>Normal lung compliance, upper bound</t>
  </si>
  <si>
    <t>LCNU</t>
  </si>
  <si>
    <t>Resp rate lower bound</t>
  </si>
  <si>
    <t>Resp rate upper bound</t>
  </si>
  <si>
    <t>breaths</t>
  </si>
  <si>
    <t>PEEP</t>
  </si>
  <si>
    <t>Inspiratory pressure</t>
  </si>
  <si>
    <t>Pins</t>
  </si>
  <si>
    <t>Bad compliance, ARDS</t>
  </si>
  <si>
    <t>LCA</t>
  </si>
  <si>
    <t>Change from lower bound</t>
  </si>
  <si>
    <t>This exists everywhere in the breathing curcuit AFTER the valve; so inspiratory pressure of 30 is between bag &amp; valve</t>
  </si>
  <si>
    <t>Clinical scenario: 300-400 lb patient who has a lung compliance of 3? Also patient is bucking, having difficulty breathing.</t>
  </si>
  <si>
    <t>mmHg</t>
  </si>
  <si>
    <t>Driving pressure (at machine)</t>
  </si>
  <si>
    <t>Driving pressure (at mouth)</t>
  </si>
  <si>
    <t>Pmach</t>
  </si>
  <si>
    <t>Pmouth</t>
  </si>
  <si>
    <t>force on EACH finger</t>
  </si>
  <si>
    <t>Lung Compliance Update; Alexander Slocum, Jr, MD PhD; on 3/22/2020; sent to Albert Kwon and Christoph Nabzdyk 3/22/2020</t>
  </si>
  <si>
    <t>Preq</t>
  </si>
  <si>
    <t>Anticipated required airway pressure (need torque to generate this much press)</t>
  </si>
  <si>
    <t>lb</t>
  </si>
  <si>
    <t>Nema 34 Stepper motor</t>
  </si>
  <si>
    <t>oz-in</t>
  </si>
  <si>
    <t>required speed for respiration cycle</t>
  </si>
  <si>
    <t>rsarc</t>
  </si>
  <si>
    <t>date</t>
  </si>
  <si>
    <t>who</t>
  </si>
  <si>
    <t>edit</t>
  </si>
  <si>
    <t>AHS Sr</t>
  </si>
  <si>
    <t>wfree34</t>
  </si>
  <si>
    <t>seconds per breath</t>
  </si>
  <si>
    <t>spb</t>
  </si>
  <si>
    <t>pcr</t>
  </si>
  <si>
    <t>trtp</t>
  </si>
  <si>
    <t>Version</t>
  </si>
  <si>
    <t>Nmsize</t>
  </si>
  <si>
    <t>Comments</t>
  </si>
  <si>
    <t>NemaTas</t>
  </si>
  <si>
    <t>Tstallsm</t>
  </si>
  <si>
    <t>Tstallsmm</t>
  </si>
  <si>
    <t>torque available at required speed</t>
  </si>
  <si>
    <t>torque required for desired performance</t>
  </si>
  <si>
    <t>tgm</t>
  </si>
  <si>
    <t>https://szbobet.en.alibaba.com/product/60516551996-803622807/BM_Brand_High_precision_4_Axis_8_5Nm_1204oz_in_Nema_34_Stepper_Motor_with_braker_Driver_Kit_For_CNC_Router.html</t>
  </si>
  <si>
    <t>https://hardware-cnc.nl/en/shop/stappenmotoren/stepper-motor-34/stepper-motor-nema-34-4,5nm-detail</t>
  </si>
  <si>
    <t>NEMA 23</t>
  </si>
  <si>
    <t>https://cnc1.lv/en/stepper-motors/48-nema-23-stepper-motor-23hs9430-with-280-nm.html</t>
  </si>
  <si>
    <t>max radial force 20mm from face</t>
  </si>
  <si>
    <t>Fradmaxm</t>
  </si>
  <si>
    <t>Inspiratory/expiratory ratio</t>
  </si>
  <si>
    <t>ier</t>
  </si>
  <si>
    <t>1:4</t>
  </si>
  <si>
    <t>Inspiration ratio</t>
  </si>
  <si>
    <t>insp</t>
  </si>
  <si>
    <t>portion of cycle</t>
  </si>
  <si>
    <t>Expiration ratio</t>
  </si>
  <si>
    <t>expr</t>
  </si>
  <si>
    <t>Total parts</t>
  </si>
  <si>
    <t>total portions</t>
  </si>
  <si>
    <t>Time to inhale</t>
  </si>
  <si>
    <t>tinsp</t>
  </si>
  <si>
    <t>seconds</t>
  </si>
  <si>
    <t>Time to exhale</t>
  </si>
  <si>
    <t>texh</t>
  </si>
  <si>
    <t>Portion of inhalation to ramp</t>
  </si>
  <si>
    <t>percentage</t>
  </si>
  <si>
    <t>tpb</t>
  </si>
  <si>
    <t>max</t>
  </si>
  <si>
    <t>Pbaginhale</t>
  </si>
  <si>
    <t>Watts</t>
  </si>
  <si>
    <t>Vrbagsides</t>
  </si>
  <si>
    <t>mm/sec</t>
  </si>
  <si>
    <t>mechanical system effieicny (gearmotor and connection to bag mechanism)</t>
  </si>
  <si>
    <t>etamech</t>
  </si>
  <si>
    <t>ovszf</t>
  </si>
  <si>
    <t>Pmotorest</t>
  </si>
  <si>
    <t>Forces on "Hands" from airway pressure in bag</t>
  </si>
  <si>
    <t>Radial velocity of bag sides during inhalation</t>
  </si>
  <si>
    <t>Estimated Motor Size Required for the System</t>
  </si>
  <si>
    <t>Oversize motor for 100% duty cycle</t>
  </si>
  <si>
    <t>Life cycle</t>
  </si>
  <si>
    <t>Peak for shorter periods</t>
  </si>
  <si>
    <t>resprateavg</t>
  </si>
  <si>
    <t>bpdavg</t>
  </si>
  <si>
    <t>Days of life of machine before rebuild</t>
  </si>
  <si>
    <t>dolm</t>
  </si>
  <si>
    <t>Total machine cycles required</t>
  </si>
  <si>
    <t>tmcd</t>
  </si>
  <si>
    <t>Breaths per day</t>
  </si>
  <si>
    <t>Motor Power estimate to start design</t>
  </si>
  <si>
    <t>Bag2eD</t>
  </si>
  <si>
    <t>Bag1eD</t>
  </si>
  <si>
    <t>deltaCenter</t>
  </si>
  <si>
    <t>Veeangle</t>
  </si>
  <si>
    <t>distance center heigh shifts when supporting Bags of different end diameters in a Vee</t>
  </si>
  <si>
    <t>hex shaft diameter</t>
  </si>
  <si>
    <t>hsd</t>
  </si>
  <si>
    <t>in</t>
  </si>
  <si>
    <t>torque to be transmitted</t>
  </si>
  <si>
    <t>ttbt</t>
  </si>
  <si>
    <t>contact pressure on hex faces</t>
  </si>
  <si>
    <t>constant from the torque integral</t>
  </si>
  <si>
    <t>Chexpres</t>
  </si>
  <si>
    <t>Number of hex faces assumed to transmit the torque</t>
  </si>
  <si>
    <t>Nhftt</t>
  </si>
  <si>
    <t>Width of contact face</t>
  </si>
  <si>
    <t>wcf</t>
  </si>
  <si>
    <t>MPa</t>
  </si>
  <si>
    <t>Metal torque arm</t>
  </si>
  <si>
    <t>hcpf</t>
  </si>
  <si>
    <t>W</t>
  </si>
  <si>
    <t>N-m</t>
  </si>
  <si>
    <t>rad/sec</t>
  </si>
  <si>
    <t>NOTE 1/2" hex yields plastic contact pressure of 8,649 psi which is ok for Nylon 6-6 30% glass filled but tie in with steel driver for security</t>
  </si>
  <si>
    <t>: =2*Fbag*Vrbagsides/1000.  NOTE the factor of 2 is because one motor drives both fingers</t>
  </si>
  <si>
    <t>: =Dbag/2/tinsp</t>
  </si>
  <si>
    <t>Motor Selection and operating parameters</t>
  </si>
  <si>
    <t>Motor number referenced on "System Analysis" sheet</t>
  </si>
  <si>
    <t>Nema 23 Stepper motor</t>
  </si>
  <si>
    <t>est peak power (1/2 stall torque X 1/2 free speed)</t>
  </si>
  <si>
    <t>"Windsheild wiper motor" e.g., http://schmittongaromarine.com/site/1922schm/Technical_Specifications_for_Heavy_Duty_Wiper_Motors_309,319,_and_329_series.pdf.   https://www.oslv.com/Products/Gearmotor-for-windshield-wipers-MRT62-43/98-25-1-en.html</t>
  </si>
  <si>
    <t>estimated allowable side load on shaft</t>
  </si>
  <si>
    <t>? No spec found, so estimate</t>
  </si>
  <si>
    <r>
      <t xml:space="preserve">Enter numbers in </t>
    </r>
    <r>
      <rPr>
        <b/>
        <sz val="12"/>
        <color theme="1"/>
        <rFont val="Calibri"/>
        <family val="2"/>
        <scheme val="minor"/>
      </rPr>
      <t>BLACK</t>
    </r>
    <r>
      <rPr>
        <sz val="12"/>
        <color theme="1"/>
        <rFont val="Calibri"/>
        <family val="2"/>
        <scheme val="minor"/>
      </rPr>
      <t xml:space="preserve">, equivelants are calculated in </t>
    </r>
    <r>
      <rPr>
        <b/>
        <sz val="12"/>
        <color rgb="FFFF0000"/>
        <rFont val="Calibri (Body)"/>
      </rPr>
      <t>RED</t>
    </r>
    <r>
      <rPr>
        <sz val="12"/>
        <color theme="1"/>
        <rFont val="Calibri"/>
        <family val="2"/>
        <scheme val="minor"/>
      </rPr>
      <t>, and then these values are transferred to the "System Analysis" spreadsheet</t>
    </r>
  </si>
  <si>
    <t>Motor number</t>
  </si>
  <si>
    <t>allowable side load (N)</t>
  </si>
  <si>
    <t>no load speed (rpm)</t>
  </si>
  <si>
    <t>Motor Data from "Motor Options" workbook</t>
  </si>
  <si>
    <t>AndyMark PG71 gearmotor.  https://www.andymark.com/products/hex-pg-series-gearboxes-options</t>
  </si>
  <si>
    <t>Stall torque (N-m)</t>
  </si>
  <si>
    <t>Estimated total peak motor mechanical power to select candidate motors</t>
  </si>
  <si>
    <t>NOTE if during the inhale time tinhale (e.g. 0.4 seconds total) if assume x% for ramp up and x% for ramp down , then over total travel of Y degrees, the motor speed required (upper limit) is Y/(tinhale*(1-2x))</t>
  </si>
  <si>
    <t>Percent of inhale time for ramp up and ramp down</t>
  </si>
  <si>
    <t>xpramp</t>
  </si>
  <si>
    <t>Force on a each "hand" as bag is compressed</t>
  </si>
  <si>
    <t xml:space="preserve">cross section area of bag </t>
  </si>
  <si>
    <t>before compression</t>
  </si>
  <si>
    <t>in^2</t>
  </si>
  <si>
    <t>after compression</t>
  </si>
  <si>
    <t>length of compression zone</t>
  </si>
  <si>
    <t>in^3</t>
  </si>
  <si>
    <t>volume compressed</t>
  </si>
  <si>
    <t xml:space="preserve">tidal volume </t>
  </si>
  <si>
    <t>cm^3</t>
  </si>
  <si>
    <t>% of ends also compressed</t>
  </si>
  <si>
    <t>expected tital volume</t>
  </si>
  <si>
    <t>actual measured by tests</t>
  </si>
  <si>
    <t>&gt;1000 cm^3</t>
  </si>
  <si>
    <t>: =IF(NMsize=23,G88,IF(NMsize=34,H88,IF(NMsize=1,I88,IF(NMsize=2,J88,K88))))</t>
  </si>
  <si>
    <t>cycles</t>
  </si>
  <si>
    <t>Fprd windshield wiper motor</t>
  </si>
  <si>
    <t>Average for mechanism life and motor power calculations</t>
  </si>
  <si>
    <t>Spreadsheet to investigate  ambu bag squeezer using "hands" directly mounted to wobust windshield wiper motors</t>
  </si>
  <si>
    <t>Direct Drive Design:  One windshield wiper motor per hand</t>
  </si>
  <si>
    <t>used gear design based spreadsheet</t>
  </si>
  <si>
    <t>inches</t>
  </si>
  <si>
    <t>pbdc</t>
  </si>
  <si>
    <t>disphand</t>
  </si>
  <si>
    <t>Distance "hand" moves towards center of bag</t>
  </si>
  <si>
    <t>Percent bag diameter compressed for full tidal volume</t>
  </si>
  <si>
    <t>arc of travel of hand to compress bag</t>
  </si>
  <si>
    <t>Bag and Hand</t>
  </si>
  <si>
    <t>vhandc</t>
  </si>
  <si>
    <t>average linear speed of hand at bag center</t>
  </si>
  <si>
    <t>average rpm of finger</t>
  </si>
  <si>
    <t>time to ramp to pressure and ramp down</t>
  </si>
  <si>
    <t>Bag length effectively compressed</t>
  </si>
  <si>
    <t>Longer than just the hand wdth, as ends dragged in</t>
  </si>
  <si>
    <t>Radial force on bag from each hand</t>
  </si>
  <si>
    <t>N motor size (Nema 23, 34 or Gearmotor 1, 2, 3 see workbook "Motor Options")</t>
  </si>
  <si>
    <t>"3" is strong windshield wiper motor</t>
  </si>
  <si>
    <t>Airway pressure possible if all torque aailable at speed is used</t>
  </si>
  <si>
    <t>papmax</t>
  </si>
  <si>
    <t xml:space="preserve">created by Prof. Alex Slocum March 28, 2020, see "Revisions" tab </t>
  </si>
  <si>
    <t>distance plane of center of bag to center of hand rotation</t>
  </si>
  <si>
    <t>Peak Inspiratory Pressure valve threshold</t>
  </si>
  <si>
    <t>Summary</t>
  </si>
  <si>
    <t>Airway pressure provided (as requested)</t>
  </si>
  <si>
    <t>tarm</t>
  </si>
  <si>
    <t>warm</t>
  </si>
  <si>
    <t>Lma</t>
  </si>
  <si>
    <t>Force applied</t>
  </si>
  <si>
    <t>Fapply</t>
  </si>
  <si>
    <t>I</t>
  </si>
  <si>
    <t>Moment of inertia/distance to neutral axis</t>
  </si>
  <si>
    <t>sigbend</t>
  </si>
  <si>
    <t>sigmax</t>
  </si>
  <si>
    <t>mild steel or aluminum</t>
  </si>
  <si>
    <t>scf</t>
  </si>
  <si>
    <t>dsf</t>
  </si>
  <si>
    <t>Resulting afety factor</t>
  </si>
  <si>
    <t>Bending stress</t>
  </si>
  <si>
    <t>Material</t>
  </si>
  <si>
    <t>Max bending stress</t>
  </si>
  <si>
    <t>Stress concentration at root</t>
  </si>
  <si>
    <t>Arm thickness</t>
  </si>
  <si>
    <t>Arm width at root of slide-over</t>
  </si>
  <si>
    <t>Moment arm length</t>
  </si>
  <si>
    <t>bending stress in arm and cleanup</t>
  </si>
  <si>
    <t>Power  applied to compress bag during inhalation portion of breathing cycle</t>
  </si>
  <si>
    <t xml:space="preserve">MIT-E VENT Direct Drive System Design spreadsheet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</si>
</sst>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  <numFmt numFmtId="167" formatCode="_(* #,##0.0_);_(* \(#,##0.0\);_(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Helvetica"/>
      <family val="2"/>
    </font>
    <font>
      <b/>
      <sz val="12"/>
      <color theme="1"/>
      <name val="Calibri"/>
      <family val="2"/>
    </font>
    <font>
      <b/>
      <sz val="12"/>
      <color rgb="FFFF0000"/>
      <name val="Helvetica"/>
      <family val="2"/>
    </font>
    <font>
      <b/>
      <sz val="12"/>
      <color rgb="FFFF0000"/>
      <name val="Calibri"/>
      <family val="2"/>
      <scheme val="minor"/>
    </font>
    <font>
      <b/>
      <sz val="10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4" fillId="0" borderId="0" xfId="3"/>
    <xf numFmtId="0" fontId="0" fillId="0" borderId="1" xfId="0" applyBorder="1"/>
    <xf numFmtId="43" fontId="2" fillId="0" borderId="1" xfId="0" applyNumberFormat="1" applyFont="1" applyBorder="1"/>
    <xf numFmtId="0" fontId="0" fillId="0" borderId="1" xfId="0" applyBorder="1" applyAlignment="1">
      <alignment horizontal="left" indent="1"/>
    </xf>
    <xf numFmtId="0" fontId="3" fillId="0" borderId="1" xfId="0" applyFont="1" applyBorder="1"/>
    <xf numFmtId="0" fontId="3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2"/>
    </xf>
    <xf numFmtId="165" fontId="0" fillId="0" borderId="1" xfId="0" applyNumberFormat="1" applyBorder="1"/>
    <xf numFmtId="0" fontId="8" fillId="0" borderId="1" xfId="0" applyFont="1" applyBorder="1"/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5" fillId="0" borderId="1" xfId="0" applyFont="1" applyBorder="1"/>
    <xf numFmtId="0" fontId="0" fillId="3" borderId="1" xfId="0" applyFill="1" applyBorder="1" applyAlignment="1">
      <alignment horizontal="left" indent="1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9" fillId="0" borderId="1" xfId="0" applyFont="1" applyBorder="1"/>
    <xf numFmtId="165" fontId="8" fillId="0" borderId="1" xfId="0" applyNumberFormat="1" applyFont="1" applyBorder="1"/>
    <xf numFmtId="1" fontId="8" fillId="0" borderId="1" xfId="0" applyNumberFormat="1" applyFont="1" applyBorder="1"/>
    <xf numFmtId="2" fontId="8" fillId="3" borderId="1" xfId="0" applyNumberFormat="1" applyFont="1" applyFill="1" applyBorder="1"/>
    <xf numFmtId="166" fontId="8" fillId="0" borderId="1" xfId="1" applyNumberFormat="1" applyFont="1" applyBorder="1"/>
    <xf numFmtId="43" fontId="8" fillId="0" borderId="1" xfId="0" applyNumberFormat="1" applyFont="1" applyBorder="1"/>
    <xf numFmtId="2" fontId="8" fillId="0" borderId="1" xfId="0" applyNumberFormat="1" applyFont="1" applyBorder="1"/>
    <xf numFmtId="164" fontId="8" fillId="0" borderId="1" xfId="0" applyNumberFormat="1" applyFont="1" applyBorder="1"/>
    <xf numFmtId="49" fontId="8" fillId="0" borderId="1" xfId="0" applyNumberFormat="1" applyFont="1" applyBorder="1" applyAlignment="1">
      <alignment horizontal="right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/>
    <xf numFmtId="1" fontId="8" fillId="0" borderId="1" xfId="0" applyNumberFormat="1" applyFont="1" applyFill="1" applyBorder="1"/>
    <xf numFmtId="0" fontId="0" fillId="0" borderId="4" xfId="0" applyBorder="1"/>
    <xf numFmtId="0" fontId="3" fillId="0" borderId="14" xfId="0" applyFont="1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 indent="2"/>
    </xf>
    <xf numFmtId="0" fontId="10" fillId="0" borderId="1" xfId="0" applyFont="1" applyBorder="1"/>
    <xf numFmtId="0" fontId="11" fillId="0" borderId="1" xfId="0" applyFont="1" applyBorder="1"/>
    <xf numFmtId="0" fontId="11" fillId="0" borderId="14" xfId="0" applyFont="1" applyBorder="1"/>
    <xf numFmtId="2" fontId="8" fillId="0" borderId="14" xfId="0" applyNumberFormat="1" applyFont="1" applyBorder="1"/>
    <xf numFmtId="0" fontId="8" fillId="0" borderId="0" xfId="0" applyFont="1"/>
    <xf numFmtId="166" fontId="8" fillId="0" borderId="0" xfId="0" applyNumberFormat="1" applyFont="1"/>
    <xf numFmtId="1" fontId="8" fillId="0" borderId="0" xfId="0" applyNumberFormat="1" applyFont="1"/>
    <xf numFmtId="164" fontId="8" fillId="0" borderId="0" xfId="0" applyNumberFormat="1" applyFont="1"/>
    <xf numFmtId="166" fontId="8" fillId="0" borderId="0" xfId="1" applyNumberFormat="1" applyFont="1"/>
    <xf numFmtId="2" fontId="8" fillId="0" borderId="0" xfId="0" applyNumberFormat="1" applyFont="1"/>
    <xf numFmtId="164" fontId="3" fillId="0" borderId="0" xfId="0" applyNumberFormat="1" applyFont="1"/>
    <xf numFmtId="164" fontId="8" fillId="3" borderId="1" xfId="0" applyNumberFormat="1" applyFont="1" applyFill="1" applyBorder="1"/>
    <xf numFmtId="166" fontId="3" fillId="0" borderId="1" xfId="1" applyNumberFormat="1" applyFont="1" applyBorder="1"/>
    <xf numFmtId="1" fontId="8" fillId="3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46" fontId="0" fillId="0" borderId="0" xfId="0" applyNumberForma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3" fillId="0" borderId="0" xfId="0" applyFont="1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" fontId="2" fillId="0" borderId="1" xfId="0" applyNumberFormat="1" applyFont="1" applyBorder="1"/>
    <xf numFmtId="0" fontId="2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indent="1"/>
    </xf>
    <xf numFmtId="0" fontId="0" fillId="3" borderId="0" xfId="0" applyFill="1" applyBorder="1"/>
    <xf numFmtId="165" fontId="8" fillId="3" borderId="0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165" fontId="8" fillId="3" borderId="1" xfId="0" applyNumberFormat="1" applyFont="1" applyFill="1" applyBorder="1"/>
    <xf numFmtId="0" fontId="3" fillId="3" borderId="0" xfId="0" applyFont="1" applyFill="1" applyBorder="1"/>
    <xf numFmtId="2" fontId="3" fillId="3" borderId="1" xfId="0" applyNumberFormat="1" applyFont="1" applyFill="1" applyBorder="1"/>
    <xf numFmtId="1" fontId="3" fillId="3" borderId="1" xfId="0" applyNumberFormat="1" applyFont="1" applyFill="1" applyBorder="1"/>
    <xf numFmtId="0" fontId="3" fillId="3" borderId="0" xfId="0" applyFont="1" applyFill="1"/>
    <xf numFmtId="0" fontId="0" fillId="3" borderId="4" xfId="0" applyFill="1" applyBorder="1" applyAlignment="1">
      <alignment horizontal="left" indent="1"/>
    </xf>
    <xf numFmtId="165" fontId="2" fillId="3" borderId="1" xfId="0" applyNumberFormat="1" applyFont="1" applyFill="1" applyBorder="1"/>
    <xf numFmtId="0" fontId="0" fillId="3" borderId="15" xfId="0" applyFill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2" fillId="3" borderId="1" xfId="0" applyFont="1" applyFill="1" applyBorder="1"/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1" fontId="2" fillId="3" borderId="5" xfId="0" applyNumberFormat="1" applyFont="1" applyFill="1" applyBorder="1"/>
    <xf numFmtId="1" fontId="2" fillId="0" borderId="5" xfId="0" applyNumberFormat="1" applyFont="1" applyBorder="1"/>
    <xf numFmtId="0" fontId="0" fillId="0" borderId="14" xfId="0" applyBorder="1" applyAlignment="1">
      <alignment horizontal="center"/>
    </xf>
    <xf numFmtId="0" fontId="0" fillId="0" borderId="5" xfId="0" applyBorder="1"/>
    <xf numFmtId="165" fontId="8" fillId="0" borderId="5" xfId="0" applyNumberFormat="1" applyFont="1" applyBorder="1"/>
    <xf numFmtId="0" fontId="5" fillId="0" borderId="5" xfId="0" applyFont="1" applyBorder="1"/>
    <xf numFmtId="0" fontId="9" fillId="0" borderId="5" xfId="0" applyFont="1" applyBorder="1"/>
    <xf numFmtId="0" fontId="5" fillId="0" borderId="14" xfId="0" applyFont="1" applyBorder="1"/>
    <xf numFmtId="0" fontId="9" fillId="0" borderId="14" xfId="0" applyFont="1" applyBorder="1"/>
    <xf numFmtId="0" fontId="0" fillId="3" borderId="5" xfId="0" applyFill="1" applyBorder="1" applyAlignment="1">
      <alignment horizontal="left" indent="2"/>
    </xf>
    <xf numFmtId="0" fontId="0" fillId="3" borderId="5" xfId="0" applyFill="1" applyBorder="1"/>
    <xf numFmtId="1" fontId="8" fillId="3" borderId="5" xfId="0" applyNumberFormat="1" applyFont="1" applyFill="1" applyBorder="1"/>
    <xf numFmtId="0" fontId="0" fillId="0" borderId="1" xfId="0" applyFont="1" applyBorder="1"/>
    <xf numFmtId="9" fontId="3" fillId="0" borderId="1" xfId="2" applyFont="1" applyFill="1" applyBorder="1"/>
    <xf numFmtId="166" fontId="8" fillId="0" borderId="1" xfId="0" applyNumberFormat="1" applyFont="1" applyBorder="1"/>
    <xf numFmtId="166" fontId="8" fillId="3" borderId="1" xfId="0" applyNumberFormat="1" applyFont="1" applyFill="1" applyBorder="1"/>
    <xf numFmtId="0" fontId="13" fillId="0" borderId="0" xfId="0" applyFont="1"/>
    <xf numFmtId="1" fontId="13" fillId="0" borderId="0" xfId="0" applyNumberFormat="1" applyFont="1"/>
    <xf numFmtId="9" fontId="13" fillId="0" borderId="0" xfId="0" applyNumberFormat="1" applyFont="1"/>
    <xf numFmtId="167" fontId="8" fillId="0" borderId="1" xfId="1" applyNumberFormat="1" applyFont="1" applyBorder="1"/>
    <xf numFmtId="0" fontId="0" fillId="0" borderId="1" xfId="0" applyFill="1" applyBorder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0" fontId="3" fillId="3" borderId="1" xfId="0" applyFont="1" applyFill="1" applyBorder="1"/>
    <xf numFmtId="9" fontId="3" fillId="0" borderId="1" xfId="2" applyFont="1" applyBorder="1"/>
    <xf numFmtId="0" fontId="0" fillId="0" borderId="14" xfId="0" applyFont="1" applyBorder="1" applyAlignment="1">
      <alignment horizontal="left" indent="1"/>
    </xf>
    <xf numFmtId="9" fontId="3" fillId="0" borderId="14" xfId="2" applyFont="1" applyBorder="1"/>
    <xf numFmtId="166" fontId="8" fillId="0" borderId="14" xfId="1" applyNumberFormat="1" applyFont="1" applyBorder="1"/>
    <xf numFmtId="0" fontId="0" fillId="3" borderId="2" xfId="0" applyFill="1" applyBorder="1"/>
    <xf numFmtId="0" fontId="13" fillId="3" borderId="0" xfId="0" applyFont="1" applyFill="1"/>
    <xf numFmtId="0" fontId="0" fillId="3" borderId="1" xfId="0" applyFont="1" applyFill="1" applyBorder="1"/>
    <xf numFmtId="0" fontId="13" fillId="3" borderId="0" xfId="0" applyFont="1" applyFill="1" applyAlignment="1">
      <alignment horizontal="left" indent="1"/>
    </xf>
    <xf numFmtId="2" fontId="8" fillId="0" borderId="1" xfId="0" applyNumberFormat="1" applyFont="1" applyFill="1" applyBorder="1"/>
    <xf numFmtId="165" fontId="8" fillId="0" borderId="0" xfId="0" applyNumberFormat="1" applyFont="1"/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114300</xdr:colOff>
      <xdr:row>0</xdr:row>
      <xdr:rowOff>0</xdr:rowOff>
    </xdr:from>
    <xdr:to>
      <xdr:col>26</xdr:col>
      <xdr:colOff>266700</xdr:colOff>
      <xdr:row>29</xdr:row>
      <xdr:rowOff>117880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14700" y="0"/>
          <a:ext cx="10058400" cy="5878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157344</xdr:rowOff>
    </xdr:from>
    <xdr:to>
      <xdr:col>6</xdr:col>
      <xdr:colOff>432137</xdr:colOff>
      <xdr:row>57</xdr:row>
      <xdr:rowOff>61926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6548"/>
          <a:ext cx="9715500" cy="415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520700</xdr:colOff>
      <xdr:row>8</xdr:row>
      <xdr:rowOff>101600</xdr:rowOff>
    </xdr:from>
    <xdr:to>
      <xdr:col>28</xdr:col>
      <xdr:colOff>673100</xdr:colOff>
      <xdr:row>37</xdr:row>
      <xdr:rowOff>185082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741400" y="1739900"/>
          <a:ext cx="10058400" cy="5976282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14</xdr:row>
      <xdr:rowOff>50800</xdr:rowOff>
    </xdr:from>
    <xdr:to>
      <xdr:col>9</xdr:col>
      <xdr:colOff>660400</xdr:colOff>
      <xdr:row>43</xdr:row>
      <xdr:rowOff>134282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6700" y="2895600"/>
          <a:ext cx="10058400" cy="5976282"/>
        </a:xfrm>
        <a:prstGeom prst="rect">
          <a:avLst/>
        </a:prstGeom>
      </xdr:spPr>
    </xdr:pic>
    <xdr:clientData/>
  </xdr:twoCellAnchor>
  <xdr:twoCellAnchor editAs="oneCell">
    <xdr:from>
      <xdr:col>12</xdr:col>
      <xdr:colOff>88900</xdr:colOff>
      <xdr:row>1</xdr:row>
      <xdr:rowOff>114300</xdr:rowOff>
    </xdr:from>
    <xdr:to>
      <xdr:col>24</xdr:col>
      <xdr:colOff>241300</xdr:colOff>
      <xdr:row>33</xdr:row>
      <xdr:rowOff>196522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7600" y="330200"/>
          <a:ext cx="10058400" cy="6584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nc1.lv/en/stepper-motors/48-nema-23-stepper-motor-23hs9430-with-280-nm.html" TargetMode="External"/><Relationship Id="rId2" Type="http://schemas.openxmlformats.org/officeDocument/2006/relationships/hyperlink" Target="https://hardware-cnc.nl/en/shop/stappenmotoren/stepper-motor-34/stepper-motor-nema-34-4,5nm-detail" TargetMode="External"/><Relationship Id="rId1" Type="http://schemas.openxmlformats.org/officeDocument/2006/relationships/hyperlink" Target="https://szbobet.en.alibaba.com/product/60516551996-803622807/BM_Brand_High_precision_4_Axis_8_5Nm_1204oz_in_Nema_34_Stepper_Motor_with_braker_Driver_Kit_For_CNC_Router.html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topics/medicine-and-dentistry/airway-pressure" TargetMode="External"/><Relationship Id="rId2" Type="http://schemas.openxmlformats.org/officeDocument/2006/relationships/hyperlink" Target="https://www.sciencedirect.com/topics/medicine-and-dentistry/mean-airway-pressure" TargetMode="External"/><Relationship Id="rId1" Type="http://schemas.openxmlformats.org/officeDocument/2006/relationships/hyperlink" Target="https://en.wikipedia.org/wiki/Mechanical_ventilatio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3"/>
  <sheetViews>
    <sheetView topLeftCell="A38" zoomScale="125" zoomScaleNormal="100" workbookViewId="0">
      <selection activeCell="A42" sqref="A42:D73"/>
    </sheetView>
  </sheetViews>
  <sheetFormatPr baseColWidth="10" defaultColWidth="10.83203125" defaultRowHeight="16"/>
  <cols>
    <col min="1" max="1" width="67" style="2" customWidth="1"/>
    <col min="2" max="2" width="12.1640625" style="2" customWidth="1"/>
    <col min="3" max="3" width="10.5" style="5" customWidth="1"/>
    <col min="4" max="4" width="20.5" style="2" customWidth="1"/>
    <col min="5" max="5" width="79.83203125" style="2" customWidth="1"/>
    <col min="6" max="6" width="18.83203125" style="2" customWidth="1"/>
    <col min="7" max="9" width="10.83203125" style="2"/>
    <col min="10" max="10" width="12.1640625" style="2" bestFit="1" customWidth="1"/>
    <col min="11" max="16384" width="10.83203125" style="2"/>
  </cols>
  <sheetData>
    <row r="1" spans="1:6">
      <c r="A1" s="5" t="s">
        <v>246</v>
      </c>
      <c r="B1" s="5"/>
      <c r="D1" s="5"/>
      <c r="E1" s="5"/>
      <c r="F1" s="5"/>
    </row>
    <row r="2" spans="1:6">
      <c r="A2" s="12" t="s">
        <v>198</v>
      </c>
    </row>
    <row r="3" spans="1:6">
      <c r="A3" s="12" t="s">
        <v>219</v>
      </c>
      <c r="B3" s="12"/>
      <c r="C3" s="16"/>
      <c r="D3" s="12"/>
    </row>
    <row r="4" spans="1:6">
      <c r="A4" s="12" t="s">
        <v>40</v>
      </c>
      <c r="B4" s="12"/>
      <c r="C4" s="16"/>
      <c r="D4" s="12"/>
      <c r="E4" s="12"/>
      <c r="F4" s="12"/>
    </row>
    <row r="5" spans="1:6" ht="17" thickBot="1">
      <c r="A5" s="86"/>
      <c r="B5" s="86"/>
      <c r="C5" s="87"/>
      <c r="D5" s="86"/>
      <c r="E5" s="86"/>
      <c r="F5" s="12"/>
    </row>
    <row r="6" spans="1:6">
      <c r="A6" s="30" t="s">
        <v>207</v>
      </c>
      <c r="B6" s="31"/>
      <c r="C6" s="30"/>
      <c r="D6" s="31"/>
      <c r="E6" s="31" t="s">
        <v>82</v>
      </c>
    </row>
    <row r="7" spans="1:6">
      <c r="A7" s="4" t="s">
        <v>13</v>
      </c>
      <c r="B7" s="2" t="s">
        <v>14</v>
      </c>
      <c r="C7" s="5">
        <v>125</v>
      </c>
      <c r="D7" s="2" t="s">
        <v>22</v>
      </c>
      <c r="E7" s="31"/>
    </row>
    <row r="8" spans="1:6">
      <c r="A8" s="30"/>
      <c r="B8" s="31"/>
      <c r="C8" s="30">
        <v>5</v>
      </c>
      <c r="D8" s="31" t="s">
        <v>201</v>
      </c>
      <c r="E8" s="31"/>
    </row>
    <row r="9" spans="1:6">
      <c r="A9" s="4" t="s">
        <v>212</v>
      </c>
      <c r="B9" s="2" t="s">
        <v>15</v>
      </c>
      <c r="C9" s="5">
        <v>125</v>
      </c>
      <c r="D9" s="2" t="s">
        <v>22</v>
      </c>
      <c r="E9" s="31" t="s">
        <v>213</v>
      </c>
    </row>
    <row r="10" spans="1:6">
      <c r="A10" s="105" t="s">
        <v>205</v>
      </c>
      <c r="B10" s="31" t="s">
        <v>202</v>
      </c>
      <c r="C10" s="106">
        <v>0.9</v>
      </c>
      <c r="D10" s="31"/>
      <c r="E10" s="31"/>
    </row>
    <row r="11" spans="1:6">
      <c r="A11" s="105" t="s">
        <v>204</v>
      </c>
      <c r="B11" s="31" t="s">
        <v>203</v>
      </c>
      <c r="C11" s="107">
        <f>Pbdc*Dbag/2</f>
        <v>56.25</v>
      </c>
      <c r="D11" s="31" t="s">
        <v>22</v>
      </c>
    </row>
    <row r="12" spans="1:6">
      <c r="A12" s="4" t="s">
        <v>220</v>
      </c>
      <c r="B12" s="2" t="s">
        <v>0</v>
      </c>
      <c r="C12" s="9">
        <f>C13*25.4</f>
        <v>114.3</v>
      </c>
      <c r="D12" s="2" t="s">
        <v>22</v>
      </c>
    </row>
    <row r="13" spans="1:6">
      <c r="A13" s="4"/>
      <c r="C13" s="5">
        <v>4.5</v>
      </c>
      <c r="D13" s="2" t="s">
        <v>39</v>
      </c>
    </row>
    <row r="14" spans="1:6">
      <c r="A14" s="4" t="s">
        <v>206</v>
      </c>
      <c r="B14" s="2" t="s">
        <v>36</v>
      </c>
      <c r="C14" s="18">
        <f>Disphand/R_1*180/PI()</f>
        <v>28.196741886359415</v>
      </c>
      <c r="D14" s="2" t="s">
        <v>35</v>
      </c>
    </row>
    <row r="15" spans="1:6">
      <c r="A15" s="10" t="s">
        <v>38</v>
      </c>
      <c r="C15" s="2"/>
    </row>
    <row r="16" spans="1:6">
      <c r="A16" s="4" t="s">
        <v>127</v>
      </c>
      <c r="B16" s="2" t="s">
        <v>33</v>
      </c>
      <c r="C16" s="5">
        <v>40</v>
      </c>
      <c r="D16" s="2" t="s">
        <v>34</v>
      </c>
    </row>
    <row r="17" spans="1:13">
      <c r="A17" s="13" t="s">
        <v>197</v>
      </c>
      <c r="B17" s="14" t="s">
        <v>128</v>
      </c>
      <c r="C17" s="103">
        <v>30</v>
      </c>
      <c r="D17" s="14" t="s">
        <v>34</v>
      </c>
    </row>
    <row r="18" spans="1:13">
      <c r="A18" s="101" t="s">
        <v>76</v>
      </c>
      <c r="B18" s="27" t="s">
        <v>77</v>
      </c>
      <c r="C18" s="112">
        <f>60/resprateavg</f>
        <v>2</v>
      </c>
      <c r="D18" s="27"/>
    </row>
    <row r="19" spans="1:13">
      <c r="A19" s="4" t="s">
        <v>95</v>
      </c>
      <c r="B19" s="2" t="s">
        <v>96</v>
      </c>
      <c r="C19" s="24" t="s">
        <v>97</v>
      </c>
    </row>
    <row r="20" spans="1:13">
      <c r="A20" s="4" t="s">
        <v>98</v>
      </c>
      <c r="B20" s="2" t="s">
        <v>99</v>
      </c>
      <c r="C20" s="9">
        <v>1</v>
      </c>
      <c r="D20" s="2" t="s">
        <v>100</v>
      </c>
    </row>
    <row r="21" spans="1:13">
      <c r="A21" s="4" t="s">
        <v>101</v>
      </c>
      <c r="B21" s="2" t="s">
        <v>102</v>
      </c>
      <c r="C21" s="9">
        <v>4</v>
      </c>
      <c r="D21" s="2" t="s">
        <v>100</v>
      </c>
    </row>
    <row r="22" spans="1:13">
      <c r="A22" s="4" t="s">
        <v>103</v>
      </c>
      <c r="B22" s="2" t="s">
        <v>112</v>
      </c>
      <c r="C22" s="9">
        <f>expr+insp</f>
        <v>5</v>
      </c>
      <c r="D22" s="2" t="s">
        <v>104</v>
      </c>
    </row>
    <row r="23" spans="1:13">
      <c r="A23" s="13" t="s">
        <v>105</v>
      </c>
      <c r="B23" s="14" t="s">
        <v>106</v>
      </c>
      <c r="C23" s="19">
        <f>(insp/tpb)*spb</f>
        <v>0.4</v>
      </c>
      <c r="D23" s="14" t="s">
        <v>107</v>
      </c>
    </row>
    <row r="24" spans="1:13">
      <c r="A24" s="4" t="s">
        <v>108</v>
      </c>
      <c r="B24" s="2" t="s">
        <v>109</v>
      </c>
      <c r="C24" s="22">
        <f>(expr/tpb)*spb</f>
        <v>1.6</v>
      </c>
      <c r="D24" s="2" t="s">
        <v>107</v>
      </c>
    </row>
    <row r="25" spans="1:13">
      <c r="A25" s="4" t="s">
        <v>110</v>
      </c>
      <c r="B25" s="2" t="s">
        <v>78</v>
      </c>
      <c r="C25" s="9">
        <v>0.1</v>
      </c>
      <c r="D25" s="2" t="s">
        <v>111</v>
      </c>
    </row>
    <row r="26" spans="1:13">
      <c r="A26" s="4" t="s">
        <v>211</v>
      </c>
      <c r="B26" s="2" t="s">
        <v>79</v>
      </c>
      <c r="C26" s="22">
        <f>pcr*tinsp</f>
        <v>4.0000000000000008E-2</v>
      </c>
      <c r="D26" s="2" t="s">
        <v>107</v>
      </c>
      <c r="E26" s="65" t="s">
        <v>177</v>
      </c>
      <c r="F26" s="50"/>
      <c r="G26" s="62"/>
      <c r="H26" s="50"/>
      <c r="I26" s="50"/>
      <c r="J26" s="50"/>
      <c r="K26" s="50"/>
      <c r="L26" s="50"/>
      <c r="M26" s="29"/>
    </row>
    <row r="27" spans="1:13">
      <c r="A27" s="101" t="s">
        <v>178</v>
      </c>
      <c r="B27" s="27" t="s">
        <v>179</v>
      </c>
      <c r="C27" s="94">
        <v>0.1</v>
      </c>
      <c r="D27" s="27"/>
    </row>
    <row r="28" spans="1:13">
      <c r="A28" s="4" t="s">
        <v>209</v>
      </c>
      <c r="B28" s="2" t="s">
        <v>208</v>
      </c>
      <c r="C28" s="18">
        <f>Disphand/tinsp/(1-2*xpramp)</f>
        <v>175.78125</v>
      </c>
      <c r="D28" s="2" t="s">
        <v>117</v>
      </c>
    </row>
    <row r="29" spans="1:13">
      <c r="A29" s="4" t="s">
        <v>210</v>
      </c>
      <c r="B29" s="2" t="s">
        <v>37</v>
      </c>
      <c r="C29" s="22">
        <f>Arcfing*60/(360*tinsp)/(1-2*xpramp)</f>
        <v>14.685803065812195</v>
      </c>
      <c r="D29" s="2" t="s">
        <v>31</v>
      </c>
    </row>
    <row r="30" spans="1:13">
      <c r="A30" s="10" t="s">
        <v>122</v>
      </c>
    </row>
    <row r="31" spans="1:13">
      <c r="A31" s="4" t="s">
        <v>7</v>
      </c>
      <c r="B31" s="2" t="s">
        <v>8</v>
      </c>
      <c r="C31" s="5">
        <v>40</v>
      </c>
      <c r="D31" s="2" t="s">
        <v>57</v>
      </c>
    </row>
    <row r="32" spans="1:13">
      <c r="A32" s="4"/>
      <c r="C32" s="9">
        <f>pap*1.3</f>
        <v>52</v>
      </c>
      <c r="D32" s="2" t="s">
        <v>43</v>
      </c>
    </row>
    <row r="33" spans="1:10">
      <c r="A33" s="4" t="s">
        <v>9</v>
      </c>
      <c r="B33" s="2" t="s">
        <v>10</v>
      </c>
      <c r="C33" s="5">
        <v>0.9</v>
      </c>
    </row>
    <row r="34" spans="1:10">
      <c r="A34" s="4" t="s">
        <v>11</v>
      </c>
      <c r="B34" s="2" t="s">
        <v>12</v>
      </c>
      <c r="C34" s="17">
        <f>pap/papeta</f>
        <v>44.444444444444443</v>
      </c>
      <c r="D34" s="2" t="s">
        <v>57</v>
      </c>
    </row>
    <row r="35" spans="1:10">
      <c r="A35" s="4"/>
      <c r="C35" s="23">
        <f>pbagmm/760</f>
        <v>5.8479532163742687E-2</v>
      </c>
      <c r="D35" s="2" t="s">
        <v>1</v>
      </c>
    </row>
    <row r="36" spans="1:10">
      <c r="A36" s="4"/>
      <c r="C36" s="23">
        <f>14.7*C35</f>
        <v>0.85964912280701744</v>
      </c>
      <c r="D36" s="2" t="s">
        <v>2</v>
      </c>
    </row>
    <row r="37" spans="1:10">
      <c r="A37" s="13"/>
      <c r="B37" s="14"/>
      <c r="C37" s="45">
        <f>C36*4.45/25.4^2</f>
        <v>5.9294416834447701E-3</v>
      </c>
      <c r="D37" s="14" t="s">
        <v>3</v>
      </c>
    </row>
    <row r="38" spans="1:10">
      <c r="A38" s="4"/>
      <c r="B38" s="2" t="s">
        <v>43</v>
      </c>
      <c r="C38" s="17">
        <f>pbagmm*1.3</f>
        <v>57.777777777777779</v>
      </c>
      <c r="D38" s="2" t="s">
        <v>43</v>
      </c>
    </row>
    <row r="39" spans="1:10" ht="17" thickBot="1">
      <c r="A39" s="4"/>
      <c r="B39" s="2" t="s">
        <v>16</v>
      </c>
      <c r="C39" s="9">
        <f>Lbag*Dbag</f>
        <v>15625</v>
      </c>
      <c r="D39" s="2" t="s">
        <v>26</v>
      </c>
      <c r="E39" s="115" t="s">
        <v>62</v>
      </c>
      <c r="F39" s="115"/>
      <c r="G39" s="115"/>
      <c r="H39" s="115"/>
      <c r="I39" s="115"/>
      <c r="J39" s="115"/>
    </row>
    <row r="40" spans="1:10">
      <c r="A40" s="4" t="s">
        <v>214</v>
      </c>
      <c r="B40" s="2" t="s">
        <v>19</v>
      </c>
      <c r="C40" s="17">
        <f>Areabag*C37</f>
        <v>92.647526303824534</v>
      </c>
      <c r="D40" s="2" t="s">
        <v>18</v>
      </c>
      <c r="E40" s="83"/>
      <c r="F40" s="83"/>
      <c r="G40" s="83"/>
      <c r="H40" s="83"/>
      <c r="I40" s="83"/>
      <c r="J40" s="83"/>
    </row>
    <row r="41" spans="1:10" ht="17" thickBot="1">
      <c r="A41" s="84"/>
      <c r="B41" s="84"/>
      <c r="C41" s="85">
        <f>C40/4.45</f>
        <v>20.819668832320119</v>
      </c>
      <c r="D41" s="84" t="s">
        <v>17</v>
      </c>
      <c r="E41" s="26"/>
      <c r="F41" s="32"/>
      <c r="G41" s="26"/>
      <c r="H41" s="26"/>
      <c r="I41" s="26"/>
      <c r="J41" s="26"/>
    </row>
    <row r="42" spans="1:10">
      <c r="A42" s="30" t="s">
        <v>124</v>
      </c>
      <c r="B42" s="31"/>
      <c r="C42" s="31"/>
      <c r="D42" s="31"/>
      <c r="E42" s="26"/>
      <c r="F42" s="32"/>
      <c r="G42" s="26"/>
      <c r="H42" s="26"/>
      <c r="I42" s="26"/>
      <c r="J42" s="26"/>
    </row>
    <row r="43" spans="1:10">
      <c r="A43" s="6" t="s">
        <v>126</v>
      </c>
      <c r="C43" s="2"/>
      <c r="E43" s="26"/>
      <c r="F43" s="32"/>
      <c r="G43" s="26"/>
      <c r="H43" s="26"/>
      <c r="I43" s="26"/>
      <c r="J43" s="26"/>
    </row>
    <row r="44" spans="1:10">
      <c r="A44" s="33" t="s">
        <v>134</v>
      </c>
      <c r="B44" s="2" t="s">
        <v>129</v>
      </c>
      <c r="C44" s="46">
        <f>24*60*resprateavg</f>
        <v>43200</v>
      </c>
      <c r="E44" s="26"/>
      <c r="F44" s="32"/>
      <c r="G44" s="26"/>
      <c r="H44" s="26"/>
      <c r="I44" s="26"/>
      <c r="J44" s="26"/>
    </row>
    <row r="45" spans="1:10">
      <c r="A45" s="7" t="s">
        <v>130</v>
      </c>
      <c r="B45" s="2" t="s">
        <v>131</v>
      </c>
      <c r="C45" s="5">
        <v>180</v>
      </c>
      <c r="E45" s="26"/>
      <c r="F45" s="32"/>
      <c r="G45" s="26"/>
      <c r="H45" s="26"/>
      <c r="I45" s="26"/>
      <c r="J45" s="26"/>
    </row>
    <row r="46" spans="1:10">
      <c r="A46" s="33" t="s">
        <v>132</v>
      </c>
      <c r="B46" s="2" t="s">
        <v>133</v>
      </c>
      <c r="C46" s="20">
        <f>Dolm*bpdavg</f>
        <v>7776000</v>
      </c>
      <c r="D46" s="2" t="s">
        <v>195</v>
      </c>
      <c r="E46" s="48" t="s">
        <v>161</v>
      </c>
      <c r="F46" s="48"/>
      <c r="G46" s="26"/>
      <c r="H46" s="26"/>
      <c r="I46" s="26"/>
      <c r="J46" s="26"/>
    </row>
    <row r="47" spans="1:10">
      <c r="A47" s="6" t="s">
        <v>135</v>
      </c>
      <c r="C47" s="2"/>
      <c r="E47" s="48" t="s">
        <v>160</v>
      </c>
      <c r="F47" s="48"/>
      <c r="G47" s="15"/>
      <c r="H47" s="15"/>
      <c r="I47" s="15"/>
      <c r="J47" s="15"/>
    </row>
    <row r="48" spans="1:10">
      <c r="A48" s="7" t="s">
        <v>123</v>
      </c>
      <c r="B48" s="2" t="s">
        <v>116</v>
      </c>
      <c r="C48" s="17">
        <f>Dbag/2/tinsp</f>
        <v>156.25</v>
      </c>
      <c r="D48" s="2" t="s">
        <v>117</v>
      </c>
    </row>
    <row r="49" spans="1:13">
      <c r="A49" s="7" t="s">
        <v>245</v>
      </c>
      <c r="B49" s="2" t="s">
        <v>114</v>
      </c>
      <c r="C49" s="17">
        <f>2*Fbag*Vrbagsides/1000</f>
        <v>28.95235196994517</v>
      </c>
      <c r="D49" s="2" t="s">
        <v>115</v>
      </c>
    </row>
    <row r="50" spans="1:13" ht="17" thickBot="1">
      <c r="A50" s="7" t="s">
        <v>118</v>
      </c>
      <c r="B50" s="2" t="s">
        <v>119</v>
      </c>
      <c r="C50" s="5">
        <v>0.8</v>
      </c>
      <c r="E50" s="84"/>
    </row>
    <row r="51" spans="1:13">
      <c r="A51" s="7" t="s">
        <v>125</v>
      </c>
      <c r="B51" s="2" t="s">
        <v>120</v>
      </c>
      <c r="C51" s="104">
        <v>1.5</v>
      </c>
      <c r="E51" s="88"/>
      <c r="F51" s="12"/>
    </row>
    <row r="52" spans="1:13" ht="19" customHeight="1" thickBot="1">
      <c r="A52" s="90" t="s">
        <v>176</v>
      </c>
      <c r="B52" s="91" t="s">
        <v>121</v>
      </c>
      <c r="C52" s="92">
        <f>Pbaginhale/etamech*ovszf</f>
        <v>54.28565994364719</v>
      </c>
      <c r="D52" s="91" t="s">
        <v>115</v>
      </c>
      <c r="E52" s="12"/>
      <c r="F52" s="12"/>
      <c r="G52" s="2">
        <v>2</v>
      </c>
    </row>
    <row r="53" spans="1:13">
      <c r="A53" s="88"/>
      <c r="B53" s="88"/>
      <c r="C53" s="89"/>
      <c r="D53" s="88"/>
      <c r="G53" s="2" t="e">
        <f>0.5*(G52-#REF!)/SIN(#REF!*PI()/180)</f>
        <v>#REF!</v>
      </c>
    </row>
    <row r="54" spans="1:13">
      <c r="A54" s="34" t="s">
        <v>199</v>
      </c>
      <c r="B54" s="12"/>
      <c r="C54" s="16"/>
      <c r="D54" s="12"/>
    </row>
    <row r="55" spans="1:13">
      <c r="A55" s="4" t="s">
        <v>180</v>
      </c>
      <c r="B55" s="2" t="s">
        <v>20</v>
      </c>
      <c r="C55" s="17">
        <f>Fbag</f>
        <v>92.647526303824534</v>
      </c>
      <c r="D55" s="2" t="s">
        <v>18</v>
      </c>
    </row>
    <row r="56" spans="1:13">
      <c r="A56" s="4" t="s">
        <v>23</v>
      </c>
      <c r="B56" s="2" t="s">
        <v>24</v>
      </c>
      <c r="C56" s="20">
        <f>Ffinger*R_1</f>
        <v>10589.612256527143</v>
      </c>
      <c r="D56" s="2" t="s">
        <v>21</v>
      </c>
    </row>
    <row r="57" spans="1:13" ht="17" thickBot="1">
      <c r="C57" s="95">
        <f>tgm/4.45/25.4</f>
        <v>93.688509745440527</v>
      </c>
      <c r="D57" s="2" t="s">
        <v>25</v>
      </c>
    </row>
    <row r="58" spans="1:13">
      <c r="A58" s="5" t="s">
        <v>162</v>
      </c>
      <c r="C58" s="21"/>
      <c r="E58" s="65"/>
      <c r="F58" s="116" t="s">
        <v>173</v>
      </c>
      <c r="G58" s="117"/>
      <c r="H58" s="117"/>
      <c r="I58" s="117"/>
      <c r="J58" s="117"/>
      <c r="K58" s="117"/>
      <c r="L58" s="118"/>
      <c r="M58" s="29"/>
    </row>
    <row r="59" spans="1:13">
      <c r="A59" s="102" t="s">
        <v>215</v>
      </c>
      <c r="B59" s="14" t="s">
        <v>81</v>
      </c>
      <c r="C59" s="103">
        <v>3</v>
      </c>
      <c r="D59" s="14"/>
      <c r="E59" s="108" t="s">
        <v>216</v>
      </c>
      <c r="F59" s="73" t="s">
        <v>170</v>
      </c>
      <c r="G59" s="78">
        <v>23</v>
      </c>
      <c r="H59" s="78">
        <v>34</v>
      </c>
      <c r="I59" s="59">
        <v>1</v>
      </c>
      <c r="J59" s="59">
        <v>2</v>
      </c>
      <c r="K59" s="59">
        <v>3</v>
      </c>
      <c r="L59" s="74"/>
      <c r="M59" s="29"/>
    </row>
    <row r="60" spans="1:13">
      <c r="A60" s="4" t="s">
        <v>30</v>
      </c>
      <c r="B60" s="2" t="s">
        <v>84</v>
      </c>
      <c r="C60" s="100">
        <f>IF(NMsize=23,G60,IF(NMsize=34,H60,IF(NMsize=1,I60,IF(NMsize=2,J60,K60))))</f>
        <v>28</v>
      </c>
      <c r="D60" s="2" t="s">
        <v>157</v>
      </c>
      <c r="E60" s="65" t="s">
        <v>194</v>
      </c>
      <c r="F60" s="75" t="s">
        <v>175</v>
      </c>
      <c r="G60" s="79">
        <f>'Motor Options'!F22</f>
        <v>1.801415625</v>
      </c>
      <c r="H60" s="72">
        <f>'Motor Options'!F27</f>
        <v>4.2033031249999997</v>
      </c>
      <c r="I60" s="58">
        <f>'Motor Options'!F7</f>
        <v>22.515621031242066</v>
      </c>
      <c r="J60" s="52">
        <f>'Motor Options'!F12</f>
        <v>15.6</v>
      </c>
      <c r="K60" s="52">
        <f>'Motor Options'!F17</f>
        <v>28</v>
      </c>
      <c r="L60" s="74"/>
      <c r="M60" s="29"/>
    </row>
    <row r="61" spans="1:13">
      <c r="B61" s="2" t="s">
        <v>85</v>
      </c>
      <c r="C61" s="20">
        <f>Tstallsm*1000</f>
        <v>28000</v>
      </c>
      <c r="D61" s="2" t="s">
        <v>21</v>
      </c>
      <c r="E61" s="65" t="s">
        <v>194</v>
      </c>
      <c r="F61" s="75"/>
      <c r="G61" s="78"/>
      <c r="H61" s="78"/>
      <c r="I61" s="59"/>
      <c r="J61" s="59"/>
      <c r="K61" s="59"/>
      <c r="L61" s="74"/>
      <c r="M61" s="29"/>
    </row>
    <row r="62" spans="1:13">
      <c r="A62" s="4" t="s">
        <v>27</v>
      </c>
      <c r="B62" s="2" t="s">
        <v>75</v>
      </c>
      <c r="C62" s="9">
        <f>IF(NMsize=23,G62,IF(NMsize=34,H62,IF(NMsize=1,I62,IF(NMsize=2,J62,K62))))</f>
        <v>70</v>
      </c>
      <c r="D62" s="2" t="s">
        <v>31</v>
      </c>
      <c r="E62" s="65"/>
      <c r="F62" s="75" t="s">
        <v>172</v>
      </c>
      <c r="G62" s="80">
        <f>'Motor Options'!D23</f>
        <v>900</v>
      </c>
      <c r="H62" s="78">
        <f>'Motor Options'!D28</f>
        <v>720</v>
      </c>
      <c r="I62" s="59">
        <f>'Motor Options'!D8</f>
        <v>75</v>
      </c>
      <c r="J62" s="59">
        <f>'Motor Options'!D13</f>
        <v>59</v>
      </c>
      <c r="K62" s="59">
        <f>'Motor Options'!D18</f>
        <v>70</v>
      </c>
      <c r="L62" s="74"/>
      <c r="M62" s="29"/>
    </row>
    <row r="63" spans="1:13" ht="17" thickBot="1">
      <c r="A63" s="4" t="s">
        <v>93</v>
      </c>
      <c r="B63" s="2" t="s">
        <v>94</v>
      </c>
      <c r="C63" s="9">
        <f>IF(NMsize=23,G63,IF(NMsize=34,H63,IF(NMsize=1,I63,IF(NMsize=2,J63,K63))))</f>
        <v>200</v>
      </c>
      <c r="D63" s="2" t="s">
        <v>18</v>
      </c>
      <c r="E63" s="65"/>
      <c r="F63" s="76" t="s">
        <v>171</v>
      </c>
      <c r="G63" s="81">
        <f>'Motor Options'!F24</f>
        <v>75</v>
      </c>
      <c r="H63" s="81">
        <f>'Motor Options'!F29</f>
        <v>220</v>
      </c>
      <c r="I63" s="82">
        <f>'Motor Options'!F9</f>
        <v>89</v>
      </c>
      <c r="J63" s="82">
        <f>'Motor Options'!F14</f>
        <v>89</v>
      </c>
      <c r="K63" s="82">
        <f>'Motor Options'!F19</f>
        <v>200</v>
      </c>
      <c r="L63" s="77"/>
      <c r="M63" s="29"/>
    </row>
    <row r="64" spans="1:13">
      <c r="A64" s="4" t="s">
        <v>69</v>
      </c>
      <c r="B64" s="2" t="s">
        <v>70</v>
      </c>
      <c r="C64" s="18">
        <f>Rpmfing</f>
        <v>14.685803065812195</v>
      </c>
      <c r="D64" s="2" t="s">
        <v>31</v>
      </c>
      <c r="F64" s="31"/>
      <c r="G64" s="31"/>
      <c r="H64" s="31"/>
      <c r="I64" s="31"/>
      <c r="J64" s="31"/>
      <c r="K64" s="31"/>
      <c r="L64" s="31"/>
    </row>
    <row r="65" spans="1:4">
      <c r="A65" s="4" t="s">
        <v>86</v>
      </c>
      <c r="B65" s="2" t="s">
        <v>83</v>
      </c>
      <c r="C65" s="20">
        <f>Tstallsmm*(wfree34-C64)/wfree34</f>
        <v>22125.678773675121</v>
      </c>
      <c r="D65" s="2" t="s">
        <v>21</v>
      </c>
    </row>
    <row r="66" spans="1:4">
      <c r="A66" s="4" t="s">
        <v>87</v>
      </c>
      <c r="B66" s="2" t="s">
        <v>88</v>
      </c>
      <c r="C66" s="20">
        <f>tgm</f>
        <v>10589.612256527143</v>
      </c>
      <c r="D66" s="2" t="s">
        <v>21</v>
      </c>
    </row>
    <row r="67" spans="1:4">
      <c r="A67" s="4"/>
      <c r="C67" s="18">
        <f>C66/4.45/25.4</f>
        <v>93.688509745440527</v>
      </c>
      <c r="D67" s="2" t="s">
        <v>25</v>
      </c>
    </row>
    <row r="68" spans="1:4">
      <c r="A68" s="10" t="s">
        <v>222</v>
      </c>
      <c r="C68" s="18"/>
    </row>
    <row r="69" spans="1:4">
      <c r="A69" s="13" t="s">
        <v>223</v>
      </c>
      <c r="B69" s="14" t="s">
        <v>8</v>
      </c>
      <c r="C69" s="47">
        <f>C32</f>
        <v>52</v>
      </c>
      <c r="D69" s="14" t="s">
        <v>43</v>
      </c>
    </row>
    <row r="70" spans="1:4">
      <c r="A70" s="4"/>
      <c r="C70" s="2"/>
    </row>
    <row r="71" spans="1:4">
      <c r="A71" s="13" t="s">
        <v>217</v>
      </c>
      <c r="B71" s="14" t="s">
        <v>218</v>
      </c>
      <c r="C71" s="96">
        <f>pap*NemaTas/tgm*1.3</f>
        <v>108.64753763972314</v>
      </c>
      <c r="D71" s="14" t="s">
        <v>43</v>
      </c>
    </row>
    <row r="72" spans="1:4">
      <c r="A72" s="101"/>
      <c r="B72" s="27"/>
      <c r="C72" s="28"/>
    </row>
    <row r="73" spans="1:4" s="93" customFormat="1">
      <c r="A73" s="111" t="s">
        <v>221</v>
      </c>
      <c r="B73" s="110"/>
      <c r="C73" s="103">
        <v>75</v>
      </c>
      <c r="D73" s="109" t="s">
        <v>43</v>
      </c>
    </row>
    <row r="99" spans="3:3">
      <c r="C99" s="17"/>
    </row>
    <row r="112" spans="3:3" customFormat="1">
      <c r="C112" s="25"/>
    </row>
    <row r="113" spans="3:3" customFormat="1">
      <c r="C113" s="25"/>
    </row>
    <row r="114" spans="3:3" customFormat="1">
      <c r="C114" s="25"/>
    </row>
    <row r="115" spans="3:3" customFormat="1">
      <c r="C115" s="25"/>
    </row>
    <row r="116" spans="3:3" customFormat="1">
      <c r="C116" s="25"/>
    </row>
    <row r="117" spans="3:3" customFormat="1">
      <c r="C117" s="25"/>
    </row>
    <row r="118" spans="3:3" customFormat="1">
      <c r="C118" s="25"/>
    </row>
    <row r="119" spans="3:3" customFormat="1">
      <c r="C119" s="25"/>
    </row>
    <row r="120" spans="3:3" customFormat="1">
      <c r="C120" s="25"/>
    </row>
    <row r="121" spans="3:3" customFormat="1">
      <c r="C121" s="25"/>
    </row>
    <row r="122" spans="3:3" customFormat="1">
      <c r="C122" s="25"/>
    </row>
    <row r="123" spans="3:3" customFormat="1">
      <c r="C123" s="25"/>
    </row>
    <row r="124" spans="3:3" customFormat="1">
      <c r="C124" s="25"/>
    </row>
    <row r="125" spans="3:3" customFormat="1">
      <c r="C125" s="25"/>
    </row>
    <row r="126" spans="3:3" customFormat="1">
      <c r="C126" s="25"/>
    </row>
    <row r="127" spans="3:3" customFormat="1">
      <c r="C127" s="25"/>
    </row>
    <row r="128" spans="3:3" customFormat="1">
      <c r="C128" s="25"/>
    </row>
    <row r="129" spans="3:3" customFormat="1">
      <c r="C129" s="25"/>
    </row>
    <row r="130" spans="3:3" customFormat="1">
      <c r="C130" s="25"/>
    </row>
    <row r="131" spans="3:3" customFormat="1">
      <c r="C131" s="25"/>
    </row>
    <row r="132" spans="3:3" customFormat="1">
      <c r="C132" s="25"/>
    </row>
    <row r="133" spans="3:3" customFormat="1">
      <c r="C133" s="25"/>
    </row>
    <row r="134" spans="3:3" customFormat="1">
      <c r="C134" s="25"/>
    </row>
    <row r="135" spans="3:3" customFormat="1">
      <c r="C135" s="25"/>
    </row>
    <row r="136" spans="3:3" customFormat="1">
      <c r="C136" s="25"/>
    </row>
    <row r="137" spans="3:3" customFormat="1">
      <c r="C137" s="25"/>
    </row>
    <row r="138" spans="3:3" customFormat="1">
      <c r="C138" s="25"/>
    </row>
    <row r="139" spans="3:3" customFormat="1">
      <c r="C139" s="25"/>
    </row>
    <row r="140" spans="3:3" customFormat="1">
      <c r="C140" s="25"/>
    </row>
    <row r="141" spans="3:3" customFormat="1">
      <c r="C141" s="25"/>
    </row>
    <row r="142" spans="3:3" customFormat="1">
      <c r="C142" s="25"/>
    </row>
    <row r="143" spans="3:3" customFormat="1">
      <c r="C143" s="25"/>
    </row>
    <row r="144" spans="3:3" customFormat="1">
      <c r="C144" s="25"/>
    </row>
    <row r="145" spans="3:3" customFormat="1">
      <c r="C145" s="25"/>
    </row>
    <row r="146" spans="3:3" customFormat="1">
      <c r="C146" s="25"/>
    </row>
    <row r="147" spans="3:3" customFormat="1">
      <c r="C147" s="25"/>
    </row>
    <row r="148" spans="3:3" customFormat="1">
      <c r="C148" s="25"/>
    </row>
    <row r="149" spans="3:3" customFormat="1">
      <c r="C149" s="25"/>
    </row>
    <row r="150" spans="3:3" customFormat="1">
      <c r="C150" s="25"/>
    </row>
    <row r="151" spans="3:3" customFormat="1">
      <c r="C151" s="25"/>
    </row>
    <row r="152" spans="3:3" customFormat="1">
      <c r="C152" s="25"/>
    </row>
    <row r="153" spans="3:3" customFormat="1">
      <c r="C153" s="25"/>
    </row>
    <row r="154" spans="3:3" customFormat="1">
      <c r="C154" s="25"/>
    </row>
    <row r="155" spans="3:3" customFormat="1">
      <c r="C155" s="25"/>
    </row>
    <row r="156" spans="3:3" customFormat="1">
      <c r="C156" s="25"/>
    </row>
    <row r="157" spans="3:3" customFormat="1">
      <c r="C157" s="25"/>
    </row>
    <row r="158" spans="3:3" customFormat="1">
      <c r="C158" s="25"/>
    </row>
    <row r="159" spans="3:3" customFormat="1">
      <c r="C159" s="25"/>
    </row>
    <row r="160" spans="3:3" customFormat="1">
      <c r="C160" s="25"/>
    </row>
    <row r="161" spans="3:3" customFormat="1">
      <c r="C161" s="25"/>
    </row>
    <row r="162" spans="3:3" customFormat="1">
      <c r="C162" s="25"/>
    </row>
    <row r="163" spans="3:3" customFormat="1">
      <c r="C163" s="25"/>
    </row>
    <row r="164" spans="3:3" customFormat="1">
      <c r="C164" s="25"/>
    </row>
    <row r="165" spans="3:3" customFormat="1">
      <c r="C165" s="25"/>
    </row>
    <row r="166" spans="3:3" customFormat="1">
      <c r="C166" s="25"/>
    </row>
    <row r="167" spans="3:3" customFormat="1">
      <c r="C167" s="25"/>
    </row>
    <row r="168" spans="3:3" customFormat="1">
      <c r="C168" s="25"/>
    </row>
    <row r="169" spans="3:3" customFormat="1">
      <c r="C169" s="25"/>
    </row>
    <row r="170" spans="3:3" customFormat="1">
      <c r="C170" s="25"/>
    </row>
    <row r="171" spans="3:3" customFormat="1">
      <c r="C171" s="25"/>
    </row>
    <row r="172" spans="3:3" customFormat="1">
      <c r="C172" s="25"/>
    </row>
    <row r="173" spans="3:3" customFormat="1">
      <c r="C173" s="25"/>
    </row>
    <row r="174" spans="3:3" customFormat="1">
      <c r="C174" s="25"/>
    </row>
    <row r="175" spans="3:3" customFormat="1">
      <c r="C175" s="25"/>
    </row>
    <row r="176" spans="3:3" customFormat="1">
      <c r="C176" s="25"/>
    </row>
    <row r="177" spans="3:3" customFormat="1">
      <c r="C177" s="25"/>
    </row>
    <row r="178" spans="3:3" customFormat="1">
      <c r="C178" s="25"/>
    </row>
    <row r="179" spans="3:3" customFormat="1">
      <c r="C179" s="25"/>
    </row>
    <row r="180" spans="3:3" customFormat="1">
      <c r="C180" s="25"/>
    </row>
    <row r="181" spans="3:3" customFormat="1">
      <c r="C181" s="25"/>
    </row>
    <row r="182" spans="3:3" customFormat="1">
      <c r="C182" s="25"/>
    </row>
    <row r="183" spans="3:3" customFormat="1">
      <c r="C183" s="25"/>
    </row>
    <row r="184" spans="3:3" customFormat="1">
      <c r="C184" s="25"/>
    </row>
    <row r="185" spans="3:3" customFormat="1">
      <c r="C185" s="25"/>
    </row>
    <row r="186" spans="3:3" customFormat="1">
      <c r="C186" s="25"/>
    </row>
    <row r="187" spans="3:3" customFormat="1">
      <c r="C187" s="25"/>
    </row>
    <row r="188" spans="3:3" customFormat="1">
      <c r="C188" s="25"/>
    </row>
    <row r="189" spans="3:3" customFormat="1">
      <c r="C189" s="25"/>
    </row>
    <row r="190" spans="3:3" customFormat="1">
      <c r="C190" s="25"/>
    </row>
    <row r="191" spans="3:3" customFormat="1">
      <c r="C191" s="25"/>
    </row>
    <row r="192" spans="3:3" customFormat="1">
      <c r="C192" s="25"/>
    </row>
    <row r="193" spans="3:3" customFormat="1">
      <c r="C193" s="25"/>
    </row>
    <row r="194" spans="3:3" customFormat="1">
      <c r="C194" s="25"/>
    </row>
    <row r="195" spans="3:3" customFormat="1">
      <c r="C195" s="25"/>
    </row>
    <row r="196" spans="3:3" customFormat="1">
      <c r="C196" s="25"/>
    </row>
    <row r="197" spans="3:3" customFormat="1">
      <c r="C197" s="25"/>
    </row>
    <row r="198" spans="3:3" customFormat="1">
      <c r="C198" s="25"/>
    </row>
    <row r="199" spans="3:3" customFormat="1">
      <c r="C199" s="25"/>
    </row>
    <row r="200" spans="3:3" customFormat="1">
      <c r="C200" s="25"/>
    </row>
    <row r="201" spans="3:3" customFormat="1">
      <c r="C201" s="25"/>
    </row>
    <row r="202" spans="3:3" customFormat="1">
      <c r="C202" s="25"/>
    </row>
    <row r="203" spans="3:3" customFormat="1">
      <c r="C203" s="25"/>
    </row>
    <row r="204" spans="3:3" customFormat="1">
      <c r="C204" s="25"/>
    </row>
    <row r="205" spans="3:3" customFormat="1">
      <c r="C205" s="25"/>
    </row>
    <row r="206" spans="3:3" customFormat="1">
      <c r="C206" s="25"/>
    </row>
    <row r="207" spans="3:3" customFormat="1">
      <c r="C207" s="25"/>
    </row>
    <row r="208" spans="3:3" customFormat="1">
      <c r="C208" s="25"/>
    </row>
    <row r="209" spans="3:3" customFormat="1">
      <c r="C209" s="25"/>
    </row>
    <row r="210" spans="3:3" customFormat="1">
      <c r="C210" s="25"/>
    </row>
    <row r="211" spans="3:3" customFormat="1">
      <c r="C211" s="25"/>
    </row>
    <row r="212" spans="3:3" customFormat="1">
      <c r="C212" s="25"/>
    </row>
    <row r="213" spans="3:3" customFormat="1">
      <c r="C213" s="25"/>
    </row>
    <row r="214" spans="3:3" customFormat="1">
      <c r="C214" s="25"/>
    </row>
    <row r="215" spans="3:3" customFormat="1">
      <c r="C215" s="25"/>
    </row>
    <row r="216" spans="3:3" customFormat="1">
      <c r="C216" s="25"/>
    </row>
    <row r="217" spans="3:3" customFormat="1">
      <c r="C217" s="25"/>
    </row>
    <row r="218" spans="3:3" customFormat="1">
      <c r="C218" s="25"/>
    </row>
    <row r="219" spans="3:3" customFormat="1">
      <c r="C219" s="25"/>
    </row>
    <row r="220" spans="3:3" customFormat="1">
      <c r="C220" s="25"/>
    </row>
    <row r="221" spans="3:3" customFormat="1">
      <c r="C221" s="25"/>
    </row>
    <row r="222" spans="3:3" customFormat="1">
      <c r="C222" s="25"/>
    </row>
    <row r="223" spans="3:3" customFormat="1">
      <c r="C223" s="25"/>
    </row>
    <row r="224" spans="3:3" customFormat="1">
      <c r="C224" s="25"/>
    </row>
    <row r="225" spans="3:3" customFormat="1">
      <c r="C225" s="25"/>
    </row>
    <row r="226" spans="3:3" customFormat="1">
      <c r="C226" s="25"/>
    </row>
    <row r="227" spans="3:3" customFormat="1">
      <c r="C227" s="25"/>
    </row>
    <row r="228" spans="3:3" customFormat="1">
      <c r="C228" s="25"/>
    </row>
    <row r="229" spans="3:3" customFormat="1">
      <c r="C229" s="25"/>
    </row>
    <row r="230" spans="3:3" customFormat="1">
      <c r="C230" s="25"/>
    </row>
    <row r="231" spans="3:3" customFormat="1">
      <c r="C231" s="25"/>
    </row>
    <row r="232" spans="3:3" customFormat="1">
      <c r="C232" s="25"/>
    </row>
    <row r="233" spans="3:3" customFormat="1">
      <c r="C233" s="25"/>
    </row>
    <row r="234" spans="3:3" customFormat="1">
      <c r="C234" s="25"/>
    </row>
    <row r="235" spans="3:3" customFormat="1">
      <c r="C235" s="25"/>
    </row>
    <row r="236" spans="3:3" customFormat="1">
      <c r="C236" s="25"/>
    </row>
    <row r="237" spans="3:3" customFormat="1">
      <c r="C237" s="25"/>
    </row>
    <row r="238" spans="3:3" customFormat="1">
      <c r="C238" s="25"/>
    </row>
    <row r="239" spans="3:3" customFormat="1">
      <c r="C239" s="25"/>
    </row>
    <row r="240" spans="3:3" customFormat="1">
      <c r="C240" s="25"/>
    </row>
    <row r="241" spans="3:3" customFormat="1">
      <c r="C241" s="25"/>
    </row>
    <row r="242" spans="3:3" customFormat="1">
      <c r="C242" s="25"/>
    </row>
    <row r="243" spans="3:3" customFormat="1">
      <c r="C243" s="25"/>
    </row>
  </sheetData>
  <mergeCells count="2">
    <mergeCell ref="E39:J39"/>
    <mergeCell ref="F58:L5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7509-1AA1-6B4D-858F-A9E922D60144}">
  <dimension ref="A2:D11"/>
  <sheetViews>
    <sheetView zoomScale="99" workbookViewId="0">
      <selection activeCell="E42" sqref="E42"/>
    </sheetView>
  </sheetViews>
  <sheetFormatPr baseColWidth="10" defaultRowHeight="16"/>
  <cols>
    <col min="1" max="1" width="57.33203125" customWidth="1"/>
    <col min="3" max="3" width="26.1640625" style="25" customWidth="1"/>
  </cols>
  <sheetData>
    <row r="2" spans="1:4">
      <c r="A2" t="s">
        <v>227</v>
      </c>
      <c r="B2" t="s">
        <v>228</v>
      </c>
      <c r="C2" s="113">
        <f>'System Analysis'!C41</f>
        <v>20.819668832320119</v>
      </c>
      <c r="D2" t="s">
        <v>66</v>
      </c>
    </row>
    <row r="3" spans="1:4">
      <c r="A3" t="s">
        <v>241</v>
      </c>
      <c r="B3" t="s">
        <v>224</v>
      </c>
      <c r="C3" s="25">
        <v>0.5</v>
      </c>
      <c r="D3" t="s">
        <v>143</v>
      </c>
    </row>
    <row r="4" spans="1:4">
      <c r="A4" t="s">
        <v>242</v>
      </c>
      <c r="B4" t="s">
        <v>225</v>
      </c>
      <c r="C4" s="25">
        <v>0.87</v>
      </c>
      <c r="D4" t="s">
        <v>143</v>
      </c>
    </row>
    <row r="5" spans="1:4">
      <c r="A5" t="s">
        <v>243</v>
      </c>
      <c r="B5" t="s">
        <v>226</v>
      </c>
      <c r="C5" s="25">
        <v>3</v>
      </c>
      <c r="D5" t="s">
        <v>143</v>
      </c>
    </row>
    <row r="6" spans="1:4">
      <c r="A6" t="s">
        <v>230</v>
      </c>
      <c r="B6" t="s">
        <v>229</v>
      </c>
      <c r="C6" s="38">
        <f>tarm*warm^2/6</f>
        <v>6.3075000000000006E-2</v>
      </c>
    </row>
    <row r="7" spans="1:4">
      <c r="A7" t="s">
        <v>237</v>
      </c>
      <c r="B7" t="s">
        <v>231</v>
      </c>
      <c r="C7" s="40">
        <f>Fapply*Lma/C6</f>
        <v>990.23395159667621</v>
      </c>
    </row>
    <row r="8" spans="1:4">
      <c r="A8" t="s">
        <v>238</v>
      </c>
      <c r="C8" s="114" t="s">
        <v>233</v>
      </c>
    </row>
    <row r="9" spans="1:4">
      <c r="A9" t="s">
        <v>239</v>
      </c>
      <c r="B9" t="s">
        <v>232</v>
      </c>
      <c r="C9" s="25">
        <v>35000</v>
      </c>
      <c r="D9" t="s">
        <v>2</v>
      </c>
    </row>
    <row r="10" spans="1:4">
      <c r="A10" t="s">
        <v>240</v>
      </c>
      <c r="B10" t="s">
        <v>234</v>
      </c>
      <c r="C10" s="38">
        <v>2</v>
      </c>
    </row>
    <row r="11" spans="1:4">
      <c r="A11" t="s">
        <v>236</v>
      </c>
      <c r="B11" t="s">
        <v>235</v>
      </c>
      <c r="C11" s="113">
        <f>C9/(scf*C7)</f>
        <v>17.672591382857146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462D-57ED-2E46-A586-8E59B566F067}">
  <dimension ref="A3:G68"/>
  <sheetViews>
    <sheetView tabSelected="1" zoomScale="113" workbookViewId="0">
      <selection activeCell="A60" sqref="A60:XFD78"/>
    </sheetView>
  </sheetViews>
  <sheetFormatPr baseColWidth="10" defaultRowHeight="16"/>
  <cols>
    <col min="2" max="2" width="48.5" customWidth="1"/>
    <col min="3" max="3" width="30.1640625" customWidth="1"/>
  </cols>
  <sheetData>
    <row r="3" spans="1:7">
      <c r="B3" t="s">
        <v>169</v>
      </c>
    </row>
    <row r="5" spans="1:7">
      <c r="A5" t="s">
        <v>163</v>
      </c>
    </row>
    <row r="6" spans="1:7" s="2" customFormat="1">
      <c r="A6" s="57">
        <v>1</v>
      </c>
      <c r="B6" s="5" t="s">
        <v>174</v>
      </c>
      <c r="D6" s="3"/>
      <c r="F6" s="14"/>
    </row>
    <row r="7" spans="1:7" s="2" customFormat="1">
      <c r="A7" s="57"/>
      <c r="B7" s="4" t="s">
        <v>30</v>
      </c>
      <c r="C7" s="2" t="s">
        <v>28</v>
      </c>
      <c r="D7" s="2">
        <v>16.600000000000001</v>
      </c>
      <c r="E7" s="2" t="s">
        <v>32</v>
      </c>
      <c r="F7" s="19">
        <f>D7*4.45*12/39.37</f>
        <v>22.515621031242066</v>
      </c>
      <c r="G7" s="2" t="s">
        <v>157</v>
      </c>
    </row>
    <row r="8" spans="1:7" s="2" customFormat="1">
      <c r="A8" s="57"/>
      <c r="B8" s="4" t="s">
        <v>27</v>
      </c>
      <c r="C8" s="2" t="s">
        <v>29</v>
      </c>
      <c r="D8" s="2">
        <v>75</v>
      </c>
      <c r="E8" s="2" t="s">
        <v>31</v>
      </c>
      <c r="F8" s="19">
        <f>D8*PI()/180</f>
        <v>1.3089969389957472</v>
      </c>
      <c r="G8" s="2" t="s">
        <v>158</v>
      </c>
    </row>
    <row r="9" spans="1:7" s="2" customFormat="1">
      <c r="A9" s="57"/>
      <c r="B9" s="55" t="s">
        <v>167</v>
      </c>
      <c r="C9" s="32" t="s">
        <v>168</v>
      </c>
      <c r="D9" s="2">
        <v>20</v>
      </c>
      <c r="E9" s="2" t="s">
        <v>66</v>
      </c>
      <c r="F9" s="47">
        <f>D9*4.45</f>
        <v>89</v>
      </c>
      <c r="G9" s="2" t="s">
        <v>18</v>
      </c>
    </row>
    <row r="10" spans="1:7" s="2" customFormat="1">
      <c r="A10" s="57"/>
      <c r="B10" s="4" t="s">
        <v>165</v>
      </c>
      <c r="F10" s="66">
        <f>F7*F8/4</f>
        <v>7.3682197523710338</v>
      </c>
      <c r="G10" s="2" t="s">
        <v>156</v>
      </c>
    </row>
    <row r="11" spans="1:7" s="50" customFormat="1">
      <c r="A11" s="57">
        <v>2</v>
      </c>
      <c r="B11" s="54" t="s">
        <v>166</v>
      </c>
      <c r="D11" s="51"/>
      <c r="F11" s="67"/>
    </row>
    <row r="12" spans="1:7" s="50" customFormat="1">
      <c r="A12" s="57"/>
      <c r="B12" s="55" t="s">
        <v>30</v>
      </c>
      <c r="C12" s="2" t="s">
        <v>28</v>
      </c>
      <c r="D12" s="53">
        <f>F12/4.45*39.37/12</f>
        <v>11.501348314606739</v>
      </c>
      <c r="E12" s="2" t="s">
        <v>32</v>
      </c>
      <c r="F12" s="68">
        <v>15.6</v>
      </c>
      <c r="G12" s="2" t="s">
        <v>157</v>
      </c>
    </row>
    <row r="13" spans="1:7" s="50" customFormat="1">
      <c r="A13" s="57"/>
      <c r="B13" s="55" t="s">
        <v>27</v>
      </c>
      <c r="C13" s="2" t="s">
        <v>29</v>
      </c>
      <c r="D13" s="2">
        <v>59</v>
      </c>
      <c r="E13" s="2" t="s">
        <v>31</v>
      </c>
      <c r="F13" s="68">
        <f>D13*PI()/180</f>
        <v>1.0297442586766543</v>
      </c>
      <c r="G13" s="2" t="s">
        <v>158</v>
      </c>
    </row>
    <row r="14" spans="1:7" s="50" customFormat="1">
      <c r="A14" s="57"/>
      <c r="B14" s="55" t="s">
        <v>167</v>
      </c>
      <c r="C14" s="32" t="s">
        <v>168</v>
      </c>
      <c r="D14" s="2">
        <v>20</v>
      </c>
      <c r="E14" s="2" t="s">
        <v>66</v>
      </c>
      <c r="F14" s="47">
        <f>D14*4.45</f>
        <v>89</v>
      </c>
      <c r="G14" s="2" t="s">
        <v>18</v>
      </c>
    </row>
    <row r="15" spans="1:7" s="50" customFormat="1" ht="15" customHeight="1">
      <c r="A15" s="57"/>
      <c r="B15" s="4" t="s">
        <v>165</v>
      </c>
      <c r="C15" s="2"/>
      <c r="D15" s="2"/>
      <c r="E15" s="2"/>
      <c r="F15" s="66">
        <f>F12*F13/4</f>
        <v>4.016002608838952</v>
      </c>
      <c r="G15" s="2" t="s">
        <v>156</v>
      </c>
    </row>
    <row r="16" spans="1:7" s="62" customFormat="1" ht="15" customHeight="1">
      <c r="A16" s="60">
        <v>3</v>
      </c>
      <c r="B16" s="61" t="s">
        <v>196</v>
      </c>
      <c r="C16" s="14"/>
      <c r="D16" s="14"/>
      <c r="E16" s="14"/>
      <c r="F16" s="63"/>
    </row>
    <row r="17" spans="1:7" s="50" customFormat="1" ht="15" customHeight="1">
      <c r="A17" s="60"/>
      <c r="B17" s="71" t="s">
        <v>30</v>
      </c>
      <c r="C17" s="14" t="s">
        <v>28</v>
      </c>
      <c r="D17" s="72">
        <f>F17/4.45*39.37/12</f>
        <v>20.643445692883891</v>
      </c>
      <c r="E17" s="14" t="s">
        <v>32</v>
      </c>
      <c r="F17" s="68">
        <v>28</v>
      </c>
      <c r="G17" s="14" t="s">
        <v>157</v>
      </c>
    </row>
    <row r="18" spans="1:7" s="50" customFormat="1" ht="15" customHeight="1">
      <c r="A18" s="60"/>
      <c r="B18" s="71" t="s">
        <v>27</v>
      </c>
      <c r="C18" s="14" t="s">
        <v>29</v>
      </c>
      <c r="D18" s="14">
        <v>70</v>
      </c>
      <c r="E18" s="14" t="s">
        <v>31</v>
      </c>
      <c r="F18" s="19">
        <f>D18*PI()/180</f>
        <v>1.2217304763960306</v>
      </c>
      <c r="G18" s="14" t="s">
        <v>158</v>
      </c>
    </row>
    <row r="19" spans="1:7" s="50" customFormat="1" ht="15" customHeight="1">
      <c r="A19" s="60"/>
      <c r="B19" s="71" t="s">
        <v>167</v>
      </c>
      <c r="C19" s="64" t="s">
        <v>168</v>
      </c>
      <c r="D19" s="14">
        <f>F19/4.45</f>
        <v>44.943820224719097</v>
      </c>
      <c r="E19" s="14" t="s">
        <v>66</v>
      </c>
      <c r="F19" s="69">
        <v>200</v>
      </c>
      <c r="G19" s="14" t="s">
        <v>18</v>
      </c>
    </row>
    <row r="20" spans="1:7" s="50" customFormat="1" ht="15" customHeight="1">
      <c r="A20" s="60"/>
      <c r="B20" s="13" t="s">
        <v>165</v>
      </c>
      <c r="C20" s="14"/>
      <c r="D20" s="14"/>
      <c r="E20" s="14"/>
      <c r="F20" s="66">
        <f>F17*F18/4</f>
        <v>8.5521133347722138</v>
      </c>
      <c r="G20" s="14" t="s">
        <v>156</v>
      </c>
    </row>
    <row r="21" spans="1:7" s="50" customFormat="1" ht="15" customHeight="1">
      <c r="A21" s="57">
        <v>23</v>
      </c>
      <c r="B21" s="56" t="s">
        <v>164</v>
      </c>
      <c r="C21" s="2"/>
      <c r="D21" s="2"/>
      <c r="E21" s="2"/>
      <c r="F21" s="70"/>
      <c r="G21"/>
    </row>
    <row r="22" spans="1:7" s="50" customFormat="1" ht="15" customHeight="1">
      <c r="A22" s="57"/>
      <c r="B22" s="55" t="s">
        <v>30</v>
      </c>
      <c r="C22" s="2" t="s">
        <v>28</v>
      </c>
      <c r="D22" s="2">
        <v>255</v>
      </c>
      <c r="E22" s="2" t="s">
        <v>68</v>
      </c>
      <c r="F22" s="47">
        <f>D22/16*4.45*25.4/1000</f>
        <v>1.801415625</v>
      </c>
      <c r="G22" s="2" t="s">
        <v>21</v>
      </c>
    </row>
    <row r="23" spans="1:7" s="50" customFormat="1" ht="15" customHeight="1">
      <c r="A23" s="57"/>
      <c r="B23" s="55" t="s">
        <v>27</v>
      </c>
      <c r="C23" s="2" t="s">
        <v>29</v>
      </c>
      <c r="D23" s="2">
        <v>900</v>
      </c>
      <c r="E23" s="2" t="s">
        <v>31</v>
      </c>
      <c r="F23" s="19">
        <f>D23*PI()/180</f>
        <v>15.707963267948966</v>
      </c>
      <c r="G23" s="2" t="s">
        <v>158</v>
      </c>
    </row>
    <row r="24" spans="1:7" s="50" customFormat="1" ht="15" customHeight="1">
      <c r="A24" s="57"/>
      <c r="B24" s="55" t="s">
        <v>167</v>
      </c>
      <c r="C24" s="2"/>
      <c r="D24" s="58">
        <f>F24/4.45</f>
        <v>16.853932584269661</v>
      </c>
      <c r="E24" s="2" t="s">
        <v>66</v>
      </c>
      <c r="F24" s="69">
        <v>75</v>
      </c>
      <c r="G24" s="2" t="s">
        <v>18</v>
      </c>
    </row>
    <row r="25" spans="1:7" s="50" customFormat="1" ht="15" customHeight="1">
      <c r="A25" s="57"/>
      <c r="B25" s="4" t="s">
        <v>165</v>
      </c>
      <c r="C25" s="2"/>
      <c r="D25" s="2"/>
      <c r="E25" s="2"/>
      <c r="F25" s="66">
        <f>F22*F23/4</f>
        <v>7.074142616952332</v>
      </c>
      <c r="G25" s="2" t="s">
        <v>156</v>
      </c>
    </row>
    <row r="26" spans="1:7">
      <c r="A26" s="57">
        <v>34</v>
      </c>
      <c r="B26" s="56" t="s">
        <v>67</v>
      </c>
      <c r="C26" s="2"/>
      <c r="D26" s="2"/>
      <c r="E26" s="2"/>
      <c r="F26" s="70"/>
    </row>
    <row r="27" spans="1:7">
      <c r="A27" s="57"/>
      <c r="B27" s="55" t="s">
        <v>30</v>
      </c>
      <c r="C27" s="2" t="s">
        <v>28</v>
      </c>
      <c r="D27" s="2">
        <v>595</v>
      </c>
      <c r="E27" s="2" t="s">
        <v>68</v>
      </c>
      <c r="F27" s="66">
        <f>D27/16*4.45*25.4/1000</f>
        <v>4.2033031249999997</v>
      </c>
      <c r="G27" s="2" t="s">
        <v>157</v>
      </c>
    </row>
    <row r="28" spans="1:7">
      <c r="A28" s="57"/>
      <c r="B28" s="55" t="s">
        <v>27</v>
      </c>
      <c r="C28" s="2" t="s">
        <v>29</v>
      </c>
      <c r="D28" s="2">
        <v>720</v>
      </c>
      <c r="E28" s="2" t="s">
        <v>31</v>
      </c>
      <c r="F28" s="19">
        <f>D28*PI()/180</f>
        <v>12.566370614359172</v>
      </c>
      <c r="G28" s="2" t="s">
        <v>158</v>
      </c>
    </row>
    <row r="29" spans="1:7">
      <c r="A29" s="57"/>
      <c r="B29" s="55" t="s">
        <v>167</v>
      </c>
      <c r="C29" s="2"/>
      <c r="D29" s="58">
        <f>F29/4.45</f>
        <v>49.438202247191008</v>
      </c>
      <c r="E29" s="2" t="s">
        <v>66</v>
      </c>
      <c r="F29" s="69">
        <v>220</v>
      </c>
      <c r="G29" s="2" t="s">
        <v>18</v>
      </c>
    </row>
    <row r="30" spans="1:7">
      <c r="A30" s="57"/>
      <c r="B30" s="4" t="s">
        <v>165</v>
      </c>
      <c r="C30" s="2"/>
      <c r="D30" s="2"/>
      <c r="E30" s="2"/>
      <c r="F30" s="66">
        <f>F27*F28/4</f>
        <v>13.205066218311019</v>
      </c>
      <c r="G30" s="2" t="s">
        <v>156</v>
      </c>
    </row>
    <row r="31" spans="1:7">
      <c r="A31" s="57"/>
    </row>
    <row r="32" spans="1:7">
      <c r="A32" s="32"/>
    </row>
    <row r="33" spans="1:1">
      <c r="A33" s="32"/>
    </row>
    <row r="34" spans="1:1">
      <c r="A34" s="49"/>
    </row>
    <row r="60" spans="2:2">
      <c r="B60" s="1" t="s">
        <v>89</v>
      </c>
    </row>
    <row r="62" spans="2:2">
      <c r="B62" s="1" t="s">
        <v>90</v>
      </c>
    </row>
    <row r="65" spans="2:2">
      <c r="B65" t="s">
        <v>91</v>
      </c>
    </row>
    <row r="68" spans="2:2">
      <c r="B68" s="1" t="s">
        <v>92</v>
      </c>
    </row>
  </sheetData>
  <hyperlinks>
    <hyperlink ref="B60" r:id="rId1" xr:uid="{2C1EFF51-010A-4948-A75C-A3E6619A39CF}"/>
    <hyperlink ref="B62" r:id="rId2" xr:uid="{DA499FC6-D276-D64F-BCAC-A80B1A9C76AD}"/>
    <hyperlink ref="B68" r:id="rId3" xr:uid="{C3F007CB-A58B-6946-A53D-058270362923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3941-F3BA-9C46-BA5B-91BEDB86DB16}">
  <dimension ref="A1:D13"/>
  <sheetViews>
    <sheetView zoomScale="119" workbookViewId="0">
      <selection activeCell="E19" sqref="E19"/>
    </sheetView>
  </sheetViews>
  <sheetFormatPr baseColWidth="10" defaultRowHeight="16"/>
  <cols>
    <col min="1" max="1" width="46.6640625" customWidth="1"/>
    <col min="2" max="2" width="18.33203125" customWidth="1"/>
    <col min="3" max="3" width="18.6640625" customWidth="1"/>
  </cols>
  <sheetData>
    <row r="1" spans="1:4">
      <c r="C1" t="s">
        <v>154</v>
      </c>
    </row>
    <row r="2" spans="1:4">
      <c r="A2" t="s">
        <v>141</v>
      </c>
      <c r="B2" t="s">
        <v>142</v>
      </c>
      <c r="C2" s="44">
        <v>0.5</v>
      </c>
      <c r="D2" t="s">
        <v>143</v>
      </c>
    </row>
    <row r="3" spans="1:4">
      <c r="C3" s="38">
        <f>25.4*hsd</f>
        <v>12.7</v>
      </c>
      <c r="D3" t="s">
        <v>22</v>
      </c>
    </row>
    <row r="4" spans="1:4">
      <c r="A4" t="s">
        <v>151</v>
      </c>
      <c r="B4" t="s">
        <v>152</v>
      </c>
      <c r="C4" s="25">
        <v>0.75</v>
      </c>
      <c r="D4" t="s">
        <v>143</v>
      </c>
    </row>
    <row r="5" spans="1:4">
      <c r="C5" s="38">
        <f>25.4*wcf</f>
        <v>19.049999999999997</v>
      </c>
      <c r="D5" t="s">
        <v>22</v>
      </c>
    </row>
    <row r="6" spans="1:4">
      <c r="A6" t="s">
        <v>144</v>
      </c>
      <c r="B6" t="s">
        <v>145</v>
      </c>
      <c r="C6" s="39">
        <f>'System Analysis'!C57</f>
        <v>93.688509745440527</v>
      </c>
      <c r="D6" t="s">
        <v>25</v>
      </c>
    </row>
    <row r="7" spans="1:4">
      <c r="A7" t="s">
        <v>147</v>
      </c>
      <c r="B7" t="s">
        <v>148</v>
      </c>
      <c r="C7" s="41">
        <f>3*(1-COS(PI()/6))/(2*PI())</f>
        <v>6.3968157709341944E-2</v>
      </c>
    </row>
    <row r="8" spans="1:4">
      <c r="A8" t="s">
        <v>149</v>
      </c>
      <c r="B8" t="s">
        <v>150</v>
      </c>
      <c r="C8" s="25">
        <v>3</v>
      </c>
    </row>
    <row r="9" spans="1:4">
      <c r="A9" t="s">
        <v>146</v>
      </c>
      <c r="B9" t="s">
        <v>155</v>
      </c>
      <c r="C9" s="42">
        <f>ttbt/(Chexpres*Nhftt*wcf*(hsd/2)^2)</f>
        <v>10415.016259518557</v>
      </c>
      <c r="D9" t="s">
        <v>2</v>
      </c>
    </row>
    <row r="10" spans="1:4">
      <c r="C10" s="43">
        <f>hcpf*4.45/25.4^2</f>
        <v>71.837718325465914</v>
      </c>
      <c r="D10" t="s">
        <v>153</v>
      </c>
    </row>
    <row r="13" spans="1:4">
      <c r="A13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8-5ECC-6342-BF67-63C322871CCD}">
  <dimension ref="A5:N21"/>
  <sheetViews>
    <sheetView workbookViewId="0">
      <selection activeCell="B28" sqref="B28"/>
    </sheetView>
  </sheetViews>
  <sheetFormatPr baseColWidth="10" defaultRowHeight="16"/>
  <cols>
    <col min="1" max="1" width="82.5" customWidth="1"/>
  </cols>
  <sheetData>
    <row r="5" spans="1:14" s="2" customFormat="1">
      <c r="A5" s="122" t="s">
        <v>63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4"/>
    </row>
    <row r="6" spans="1:14" s="2" customFormat="1">
      <c r="C6" s="5"/>
      <c r="I6" s="125" t="s">
        <v>56</v>
      </c>
      <c r="J6" s="126"/>
      <c r="K6" s="126"/>
      <c r="L6" s="126"/>
      <c r="M6" s="126"/>
      <c r="N6" s="127"/>
    </row>
    <row r="7" spans="1:14" s="2" customFormat="1">
      <c r="A7" s="2" t="s">
        <v>41</v>
      </c>
      <c r="B7" s="2" t="s">
        <v>42</v>
      </c>
      <c r="C7" s="5">
        <v>50</v>
      </c>
      <c r="D7" s="2" t="s">
        <v>43</v>
      </c>
      <c r="I7" s="128"/>
      <c r="J7" s="129"/>
      <c r="K7" s="129"/>
      <c r="L7" s="129"/>
      <c r="M7" s="129"/>
      <c r="N7" s="130"/>
    </row>
    <row r="8" spans="1:14" s="2" customFormat="1">
      <c r="A8" s="2" t="s">
        <v>44</v>
      </c>
      <c r="B8" s="2" t="s">
        <v>45</v>
      </c>
      <c r="C8" s="5">
        <v>100</v>
      </c>
      <c r="D8" s="2" t="s">
        <v>43</v>
      </c>
      <c r="I8" s="128"/>
      <c r="J8" s="129"/>
      <c r="K8" s="129"/>
      <c r="L8" s="129"/>
      <c r="M8" s="129"/>
      <c r="N8" s="130"/>
    </row>
    <row r="9" spans="1:14" s="2" customFormat="1">
      <c r="C9" s="5"/>
      <c r="E9" s="2" t="s">
        <v>54</v>
      </c>
      <c r="I9" s="128"/>
      <c r="J9" s="129"/>
      <c r="K9" s="129"/>
      <c r="L9" s="129"/>
      <c r="M9" s="129"/>
      <c r="N9" s="130"/>
    </row>
    <row r="10" spans="1:14" s="2" customFormat="1">
      <c r="A10" s="2" t="s">
        <v>52</v>
      </c>
      <c r="B10" s="2" t="s">
        <v>53</v>
      </c>
      <c r="C10" s="5">
        <v>3</v>
      </c>
      <c r="D10" s="2" t="s">
        <v>43</v>
      </c>
      <c r="E10" s="8">
        <f>C7/C10</f>
        <v>16.666666666666668</v>
      </c>
      <c r="I10" s="131"/>
      <c r="J10" s="132"/>
      <c r="K10" s="132"/>
      <c r="L10" s="132"/>
      <c r="M10" s="132"/>
      <c r="N10" s="133"/>
    </row>
    <row r="11" spans="1:14" s="2" customFormat="1">
      <c r="C11" s="5"/>
    </row>
    <row r="12" spans="1:14" s="2" customFormat="1">
      <c r="A12" s="2" t="s">
        <v>46</v>
      </c>
      <c r="C12" s="5">
        <v>8</v>
      </c>
      <c r="D12" s="2" t="s">
        <v>48</v>
      </c>
    </row>
    <row r="13" spans="1:14" s="2" customFormat="1">
      <c r="A13" s="2" t="s">
        <v>47</v>
      </c>
      <c r="C13" s="5">
        <v>40</v>
      </c>
      <c r="D13" s="2" t="s">
        <v>48</v>
      </c>
    </row>
    <row r="14" spans="1:14" s="2" customFormat="1">
      <c r="C14" s="5"/>
    </row>
    <row r="15" spans="1:14" s="2" customFormat="1">
      <c r="A15" s="2" t="s">
        <v>49</v>
      </c>
      <c r="B15" s="2" t="s">
        <v>49</v>
      </c>
      <c r="C15" s="5">
        <v>15</v>
      </c>
      <c r="D15" s="2" t="s">
        <v>43</v>
      </c>
      <c r="E15" s="119" t="s">
        <v>55</v>
      </c>
      <c r="F15" s="120"/>
      <c r="G15" s="120"/>
      <c r="H15" s="120"/>
      <c r="I15" s="120"/>
      <c r="J15" s="120"/>
      <c r="K15" s="120"/>
      <c r="L15" s="120"/>
      <c r="M15" s="121"/>
    </row>
    <row r="16" spans="1:14" s="2" customFormat="1">
      <c r="A16" s="2" t="s">
        <v>50</v>
      </c>
      <c r="B16" s="2" t="s">
        <v>51</v>
      </c>
      <c r="C16" s="5">
        <v>30</v>
      </c>
      <c r="D16" s="2" t="s">
        <v>43</v>
      </c>
    </row>
    <row r="17" spans="1:9" s="2" customFormat="1">
      <c r="A17" s="2" t="s">
        <v>58</v>
      </c>
      <c r="B17" s="2" t="s">
        <v>60</v>
      </c>
      <c r="C17" s="5">
        <v>15</v>
      </c>
      <c r="D17" s="2" t="s">
        <v>43</v>
      </c>
    </row>
    <row r="18" spans="1:9" s="2" customFormat="1">
      <c r="C18" s="5"/>
    </row>
    <row r="19" spans="1:9" s="2" customFormat="1">
      <c r="A19" s="2" t="s">
        <v>59</v>
      </c>
      <c r="B19" s="2" t="s">
        <v>61</v>
      </c>
      <c r="C19" s="5">
        <f>C17</f>
        <v>15</v>
      </c>
      <c r="D19" s="2" t="s">
        <v>43</v>
      </c>
    </row>
    <row r="20" spans="1:9" s="2" customFormat="1">
      <c r="A20" s="2" t="s">
        <v>65</v>
      </c>
      <c r="B20" s="2" t="s">
        <v>64</v>
      </c>
      <c r="C20" s="5">
        <v>30</v>
      </c>
      <c r="D20" s="2" t="s">
        <v>113</v>
      </c>
      <c r="E20" s="119"/>
      <c r="F20" s="120"/>
      <c r="G20" s="120"/>
      <c r="H20" s="120"/>
      <c r="I20" s="121"/>
    </row>
    <row r="21" spans="1:9" s="2" customFormat="1">
      <c r="C21" s="5"/>
    </row>
  </sheetData>
  <mergeCells count="4">
    <mergeCell ref="E20:I20"/>
    <mergeCell ref="A5:N5"/>
    <mergeCell ref="I6:N10"/>
    <mergeCell ref="E15:M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6"/>
  <sheetViews>
    <sheetView workbookViewId="0">
      <selection activeCell="B10" sqref="B10"/>
    </sheetView>
  </sheetViews>
  <sheetFormatPr baseColWidth="10" defaultColWidth="11" defaultRowHeight="16"/>
  <sheetData>
    <row r="2" spans="1:1">
      <c r="A2" s="1" t="s">
        <v>4</v>
      </c>
    </row>
    <row r="4" spans="1:1">
      <c r="A4" s="1" t="s">
        <v>5</v>
      </c>
    </row>
    <row r="6" spans="1:1">
      <c r="A6" s="1" t="s">
        <v>6</v>
      </c>
    </row>
  </sheetData>
  <hyperlinks>
    <hyperlink ref="A2" r:id="rId1" xr:uid="{00000000-0004-0000-0300-000000000000}"/>
    <hyperlink ref="A4" r:id="rId2" xr:uid="{00000000-0004-0000-0300-000001000000}"/>
    <hyperlink ref="A6" r:id="rId3" xr:uid="{00000000-0004-0000-03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09FE-BDA6-754D-8F9F-80B658E9D33A}">
  <dimension ref="A1:H30"/>
  <sheetViews>
    <sheetView workbookViewId="0">
      <selection activeCell="H31" sqref="H31"/>
    </sheetView>
  </sheetViews>
  <sheetFormatPr baseColWidth="10" defaultRowHeight="16"/>
  <sheetData>
    <row r="1" spans="1:4">
      <c r="A1" t="s">
        <v>80</v>
      </c>
      <c r="B1" t="s">
        <v>71</v>
      </c>
      <c r="C1" t="s">
        <v>72</v>
      </c>
      <c r="D1" t="s">
        <v>73</v>
      </c>
    </row>
    <row r="2" spans="1:4">
      <c r="A2">
        <v>1</v>
      </c>
      <c r="B2" s="11">
        <v>43918</v>
      </c>
      <c r="C2" t="s">
        <v>74</v>
      </c>
      <c r="D2" t="s">
        <v>200</v>
      </c>
    </row>
    <row r="3" spans="1:4">
      <c r="A3">
        <v>2</v>
      </c>
      <c r="B3" s="11">
        <v>43919</v>
      </c>
      <c r="C3" t="s">
        <v>74</v>
      </c>
      <c r="D3" t="s">
        <v>244</v>
      </c>
    </row>
    <row r="4" spans="1:4">
      <c r="B4" s="11"/>
    </row>
    <row r="5" spans="1:4">
      <c r="B5" s="11"/>
    </row>
    <row r="6" spans="1:4">
      <c r="B6" s="11"/>
    </row>
    <row r="7" spans="1:4">
      <c r="B7" s="11"/>
    </row>
    <row r="8" spans="1:4">
      <c r="B8" s="11"/>
    </row>
    <row r="9" spans="1:4">
      <c r="B9" s="11"/>
    </row>
    <row r="10" spans="1:4">
      <c r="B10" s="11"/>
    </row>
    <row r="11" spans="1:4">
      <c r="B11" s="11"/>
    </row>
    <row r="12" spans="1:4">
      <c r="B12" s="11"/>
    </row>
    <row r="13" spans="1:4">
      <c r="B13" s="11"/>
    </row>
    <row r="14" spans="1:4">
      <c r="B14" s="11"/>
    </row>
    <row r="30" spans="8:8">
      <c r="H30">
        <f>4.5/5.5</f>
        <v>0.81818181818181823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9F1A-0DFF-2640-8E50-101721C15B8A}">
  <dimension ref="A4:E7"/>
  <sheetViews>
    <sheetView workbookViewId="0">
      <selection activeCell="P47" sqref="P47"/>
    </sheetView>
  </sheetViews>
  <sheetFormatPr baseColWidth="10" defaultRowHeight="16"/>
  <cols>
    <col min="1" max="1" width="33.6640625" customWidth="1"/>
  </cols>
  <sheetData>
    <row r="4" spans="1:5">
      <c r="A4" t="s">
        <v>137</v>
      </c>
      <c r="B4" s="35">
        <v>50</v>
      </c>
      <c r="C4" t="s">
        <v>22</v>
      </c>
    </row>
    <row r="5" spans="1:5">
      <c r="A5" t="s">
        <v>136</v>
      </c>
      <c r="B5" s="36">
        <v>40</v>
      </c>
      <c r="C5" t="s">
        <v>22</v>
      </c>
    </row>
    <row r="6" spans="1:5">
      <c r="A6" t="s">
        <v>139</v>
      </c>
      <c r="B6" s="36">
        <v>45</v>
      </c>
      <c r="C6" t="s">
        <v>35</v>
      </c>
    </row>
    <row r="7" spans="1:5">
      <c r="A7" t="s">
        <v>138</v>
      </c>
      <c r="B7" s="37">
        <f>0.5*(B4-Bag2eD)*SIN(B6*PI()/180)</f>
        <v>3.5355339059327373</v>
      </c>
      <c r="C7" t="s">
        <v>22</v>
      </c>
      <c r="E7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5284-D4EB-844C-A052-C26E513F9CF3}">
  <dimension ref="A1:AB44"/>
  <sheetViews>
    <sheetView workbookViewId="0">
      <selection activeCell="B12" sqref="B12"/>
    </sheetView>
  </sheetViews>
  <sheetFormatPr baseColWidth="10" defaultRowHeight="16"/>
  <cols>
    <col min="1" max="1" width="40" customWidth="1"/>
  </cols>
  <sheetData>
    <row r="1" spans="1:28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</row>
    <row r="2" spans="1:28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</row>
    <row r="3" spans="1:28">
      <c r="A3" s="97" t="s">
        <v>181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</row>
    <row r="4" spans="1:28">
      <c r="A4" s="97" t="s">
        <v>182</v>
      </c>
      <c r="B4" s="97">
        <v>18.100000000000001</v>
      </c>
      <c r="C4" s="97">
        <v>18.100000000000001</v>
      </c>
      <c r="D4" s="97" t="s">
        <v>183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</row>
    <row r="5" spans="1:28">
      <c r="A5" s="97" t="s">
        <v>184</v>
      </c>
      <c r="B5" s="97">
        <v>4.82</v>
      </c>
      <c r="C5" s="97">
        <v>4.82</v>
      </c>
      <c r="D5" s="97" t="s">
        <v>183</v>
      </c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</row>
    <row r="6" spans="1:28">
      <c r="A6" s="97" t="s">
        <v>185</v>
      </c>
      <c r="B6" s="97">
        <v>3</v>
      </c>
      <c r="C6" s="97">
        <v>4</v>
      </c>
      <c r="D6" s="97" t="s">
        <v>186</v>
      </c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</row>
    <row r="7" spans="1:28">
      <c r="A7" s="97" t="s">
        <v>187</v>
      </c>
      <c r="B7" s="97">
        <v>39.840000000000003</v>
      </c>
      <c r="C7" s="97">
        <v>53.12</v>
      </c>
      <c r="D7" s="97" t="s">
        <v>186</v>
      </c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</row>
    <row r="8" spans="1:28">
      <c r="A8" s="97" t="s">
        <v>188</v>
      </c>
      <c r="B8" s="98">
        <v>653</v>
      </c>
      <c r="C8" s="98">
        <v>870</v>
      </c>
      <c r="D8" s="97" t="s">
        <v>189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</row>
    <row r="9" spans="1:28">
      <c r="A9" s="97" t="s">
        <v>190</v>
      </c>
      <c r="B9" s="99">
        <v>0.2</v>
      </c>
      <c r="C9" s="99">
        <v>0.2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</row>
    <row r="10" spans="1:28">
      <c r="A10" s="97" t="s">
        <v>191</v>
      </c>
      <c r="B10" s="98">
        <v>783</v>
      </c>
      <c r="C10" s="98">
        <v>1045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</row>
    <row r="11" spans="1:28">
      <c r="A11" s="97" t="s">
        <v>192</v>
      </c>
      <c r="B11" s="97" t="s">
        <v>193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</row>
    <row r="12" spans="1:28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</row>
    <row r="13" spans="1:28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</row>
    <row r="14" spans="1:28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</row>
    <row r="15" spans="1:28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</row>
    <row r="16" spans="1:28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</row>
    <row r="17" spans="1:28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</row>
    <row r="18" spans="1:28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</row>
    <row r="19" spans="1:28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</row>
    <row r="20" spans="1:28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r="21" spans="1:28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</row>
    <row r="22" spans="1:28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 spans="1:28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 spans="1:28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 spans="1:28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</row>
    <row r="26" spans="1:28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</row>
    <row r="27" spans="1:28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</row>
    <row r="28" spans="1:28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</row>
    <row r="29" spans="1:28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</row>
    <row r="30" spans="1:28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</row>
    <row r="31" spans="1:28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</row>
    <row r="32" spans="1:28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</row>
    <row r="33" spans="1:28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</row>
    <row r="34" spans="1:28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</row>
    <row r="35" spans="1:28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 spans="1:28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</row>
    <row r="37" spans="1:28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</row>
    <row r="38" spans="1:2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 spans="1:28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 spans="1:28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 spans="1:28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 spans="1:28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</row>
    <row r="43" spans="1:28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</row>
    <row r="44" spans="1:28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54</vt:i4>
      </vt:variant>
    </vt:vector>
  </HeadingPairs>
  <TitlesOfParts>
    <vt:vector size="63" baseType="lpstr">
      <vt:lpstr>System Analysis</vt:lpstr>
      <vt:lpstr>Arm stress</vt:lpstr>
      <vt:lpstr>Motor Options</vt:lpstr>
      <vt:lpstr>Hex drive</vt:lpstr>
      <vt:lpstr>lung compliance notes</vt:lpstr>
      <vt:lpstr>refs</vt:lpstr>
      <vt:lpstr>Revisions</vt:lpstr>
      <vt:lpstr>Bag fixture by Vee</vt:lpstr>
      <vt:lpstr>Expected Tidal Volume</vt:lpstr>
      <vt:lpstr>Arcfing</vt:lpstr>
      <vt:lpstr>Areabag</vt:lpstr>
      <vt:lpstr>Bag1eD</vt:lpstr>
      <vt:lpstr>Bag2eD</vt:lpstr>
      <vt:lpstr>bpdavg</vt:lpstr>
      <vt:lpstr>Chexpres</vt:lpstr>
      <vt:lpstr>cmh2O</vt:lpstr>
      <vt:lpstr>Dbag</vt:lpstr>
      <vt:lpstr>Disphand</vt:lpstr>
      <vt:lpstr>Dolm</vt:lpstr>
      <vt:lpstr>etamech</vt:lpstr>
      <vt:lpstr>expr</vt:lpstr>
      <vt:lpstr>Fapply</vt:lpstr>
      <vt:lpstr>Fbag</vt:lpstr>
      <vt:lpstr>Ffinger</vt:lpstr>
      <vt:lpstr>Fradmaxm</vt:lpstr>
      <vt:lpstr>hcpf</vt:lpstr>
      <vt:lpstr>hsd</vt:lpstr>
      <vt:lpstr>ier</vt:lpstr>
      <vt:lpstr>insp</vt:lpstr>
      <vt:lpstr>Lbag</vt:lpstr>
      <vt:lpstr>Lma</vt:lpstr>
      <vt:lpstr>Nema34Tas</vt:lpstr>
      <vt:lpstr>NemaTas</vt:lpstr>
      <vt:lpstr>Nhftt</vt:lpstr>
      <vt:lpstr>NMsize</vt:lpstr>
      <vt:lpstr>ovszf</vt:lpstr>
      <vt:lpstr>pap</vt:lpstr>
      <vt:lpstr>papeta</vt:lpstr>
      <vt:lpstr>papmax</vt:lpstr>
      <vt:lpstr>Pbaginhale</vt:lpstr>
      <vt:lpstr>pbagmm</vt:lpstr>
      <vt:lpstr>Pbdc</vt:lpstr>
      <vt:lpstr>pcr</vt:lpstr>
      <vt:lpstr>R_1</vt:lpstr>
      <vt:lpstr>Resprate</vt:lpstr>
      <vt:lpstr>resprateavg</vt:lpstr>
      <vt:lpstr>Rpmfing</vt:lpstr>
      <vt:lpstr>scf</vt:lpstr>
      <vt:lpstr>spb</vt:lpstr>
      <vt:lpstr>tarm</vt:lpstr>
      <vt:lpstr>tgm</vt:lpstr>
      <vt:lpstr>tinsp</vt:lpstr>
      <vt:lpstr>tmcd</vt:lpstr>
      <vt:lpstr>tpb</vt:lpstr>
      <vt:lpstr>trtp</vt:lpstr>
      <vt:lpstr>Tstallsm</vt:lpstr>
      <vt:lpstr>Tstallsmm</vt:lpstr>
      <vt:lpstr>ttbt</vt:lpstr>
      <vt:lpstr>Vrbagsides</vt:lpstr>
      <vt:lpstr>warm</vt:lpstr>
      <vt:lpstr>wcf</vt:lpstr>
      <vt:lpstr>wfree34</vt:lpstr>
      <vt:lpstr>xpramp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2020-03-21T01:25:00Z</dcterms:created>
  <dcterms:modified xsi:type="dcterms:W3CDTF">2020-03-30T13:14:13Z</dcterms:modified>
</cp:coreProperties>
</file>