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locum/Dropbox (MIT)/Ventilator/2020.03.20 onward/"/>
    </mc:Choice>
  </mc:AlternateContent>
  <xr:revisionPtr revIDLastSave="0" documentId="13_ncr:1_{5522C709-F5E3-644E-88CF-86C38B00C9A8}" xr6:coauthVersionLast="45" xr6:coauthVersionMax="45" xr10:uidLastSave="{00000000-0000-0000-0000-000000000000}"/>
  <bookViews>
    <workbookView xWindow="2860" yWindow="3260" windowWidth="34420" windowHeight="21000" xr2:uid="{00000000-000D-0000-FFFF-FFFF00000000}"/>
  </bookViews>
  <sheets>
    <sheet name="System Analysis" sheetId="1" r:id="rId1"/>
    <sheet name="Motor Options" sheetId="6" r:id="rId2"/>
    <sheet name="Gears" sheetId="4" r:id="rId3"/>
    <sheet name="Hex drive" sheetId="9" r:id="rId4"/>
    <sheet name="Bearings" sheetId="3" r:id="rId5"/>
    <sheet name="lung compliance notes" sheetId="8" r:id="rId6"/>
    <sheet name="refs" sheetId="2" r:id="rId7"/>
    <sheet name="Revisions" sheetId="7" r:id="rId8"/>
    <sheet name="Bag fixture by V" sheetId="5" r:id="rId9"/>
  </sheets>
  <definedNames>
    <definedName name="Ac">Gears!$B$35</definedName>
    <definedName name="Arcfing">'System Analysis'!$C$10</definedName>
    <definedName name="Areabag">'System Analysis'!$C$34</definedName>
    <definedName name="b">Gears!$B$28</definedName>
    <definedName name="Bag1eD">'Bag fixture by V'!$A$4</definedName>
    <definedName name="Bag2eD">'Bag fixture by V'!$B$5</definedName>
    <definedName name="bpdavg">'System Analysis'!$C$39</definedName>
    <definedName name="cc">Gears!$B$38</definedName>
    <definedName name="Chexpres">'Hex drive'!$C$7</definedName>
    <definedName name="cmh2O">'System Analysis'!$C$31</definedName>
    <definedName name="cmH2Omax">'System Analysis'!$C$101</definedName>
    <definedName name="Ctol">Gears!$B$14</definedName>
    <definedName name="Dbag">'System Analysis'!$C$32</definedName>
    <definedName name="Dbear">'System Analysis'!$C$59</definedName>
    <definedName name="Dg">Gears!$B$24</definedName>
    <definedName name="Dgear">'System Analysis'!$C$56</definedName>
    <definedName name="Dgp">'System Analysis'!#REF!</definedName>
    <definedName name="Dolm">'System Analysis'!$C$40</definedName>
    <definedName name="Dp">Gears!$B$23</definedName>
    <definedName name="Dpinion">'System Analysis'!$C$77</definedName>
    <definedName name="etamech">'System Analysis'!$C$45</definedName>
    <definedName name="expr">'System Analysis'!$C$14</definedName>
    <definedName name="f">Gears!$C$10</definedName>
    <definedName name="Fbag">'System Analysis'!$C$35</definedName>
    <definedName name="Fbear">'System Analysis'!$C$71</definedName>
    <definedName name="Fbearing">Bearings!$C$3</definedName>
    <definedName name="Fbh">'System Analysis'!#REF!</definedName>
    <definedName name="Fbv">'System Analysis'!#REF!</definedName>
    <definedName name="Fbx">'System Analysis'!$C$69</definedName>
    <definedName name="Fby">'System Analysis'!$C$70</definedName>
    <definedName name="Ffinger">'System Analysis'!$C$62</definedName>
    <definedName name="Fgear">'System Analysis'!$C$64</definedName>
    <definedName name="Fgearunder">'System Analysis'!#REF!</definedName>
    <definedName name="Fgtg">'System Analysis'!$C$63</definedName>
    <definedName name="Fp">Gears!$B$30</definedName>
    <definedName name="Fperbear">'System Analysis'!$C$72</definedName>
    <definedName name="Fradmaxm">'System Analysis'!$C$91</definedName>
    <definedName name="Fsp">Gears!$B$32</definedName>
    <definedName name="gosn">'System Analysis'!$C$82</definedName>
    <definedName name="hcpf">'Hex drive'!$C$9</definedName>
    <definedName name="hsd">'Hex drive'!$C$2</definedName>
    <definedName name="I">Gears!$B$37</definedName>
    <definedName name="ier">'System Analysis'!$C$12</definedName>
    <definedName name="insp">'System Analysis'!$C$13</definedName>
    <definedName name="Lbag">'System Analysis'!$C$33</definedName>
    <definedName name="LCA">'System Analysis'!#REF!</definedName>
    <definedName name="LCNL">'System Analysis'!#REF!</definedName>
    <definedName name="LCNU">'System Analysis'!#REF!</definedName>
    <definedName name="mu">'System Analysis'!$C$61</definedName>
    <definedName name="Nema34Tas">'Motor Options'!$D$59</definedName>
    <definedName name="NemaTas">'System Analysis'!$C$93</definedName>
    <definedName name="Ng">Gears!$B$13</definedName>
    <definedName name="Nhftt">'Hex drive'!$C$8</definedName>
    <definedName name="NMr">'System Analysis'!$C$96</definedName>
    <definedName name="NMsize">'System Analysis'!$C$87</definedName>
    <definedName name="Np">Gears!$B$12</definedName>
    <definedName name="ovszf">'System Analysis'!$C$46</definedName>
    <definedName name="P">Gears!$B$11</definedName>
    <definedName name="pap">'System Analysis'!$C$24</definedName>
    <definedName name="papeta">'System Analysis'!$C$26</definedName>
    <definedName name="Pbaginhale">'System Analysis'!$C$44</definedName>
    <definedName name="pbagmm">'System Analysis'!$C$27</definedName>
    <definedName name="pcr">'System Analysis'!$C$18</definedName>
    <definedName name="pcri">'System Analysis'!#REF!</definedName>
    <definedName name="PFPL">'System Analysis'!$C$97</definedName>
    <definedName name="PFPLr">'System Analysis'!$C$103</definedName>
    <definedName name="Q">Gears!$B$36</definedName>
    <definedName name="R_1">'System Analysis'!$C$52</definedName>
    <definedName name="R_2">'System Analysis'!$C$54</definedName>
    <definedName name="R_2g">'System Analysis'!#REF!</definedName>
    <definedName name="Resprate">'System Analysis'!$C$8</definedName>
    <definedName name="resprateavg">'System Analysis'!$C$9</definedName>
    <definedName name="Rgear">'System Analysis'!$C$57</definedName>
    <definedName name="Rpmfing">'System Analysis'!$C$20</definedName>
    <definedName name="Rpmgmr">'System Analysis'!$C$22</definedName>
    <definedName name="scf">Gears!$B$20</definedName>
    <definedName name="sigg">Gears!$B$19</definedName>
    <definedName name="sigp">Gears!$B$17</definedName>
    <definedName name="spb">'System Analysis'!$C$11</definedName>
    <definedName name="T">Gears!$B$8</definedName>
    <definedName name="tgear">'System Analysis'!$C$66</definedName>
    <definedName name="tgm">'System Analysis'!$C$80</definedName>
    <definedName name="Thetapingear">'System Analysis'!$C$51</definedName>
    <definedName name="tinsp">'System Analysis'!$C$16</definedName>
    <definedName name="Tlsbf">'System Analysis'!$C$74</definedName>
    <definedName name="tmcd">'System Analysis'!$C$41</definedName>
    <definedName name="tpb">'System Analysis'!$C$15</definedName>
    <definedName name="trpf">'System Analysis'!$C$79</definedName>
    <definedName name="trtp">'System Analysis'!$C$19</definedName>
    <definedName name="Tstallsm">'System Analysis'!$C$88</definedName>
    <definedName name="Tstallsmm">'System Analysis'!$C$89</definedName>
    <definedName name="tt">Gears!$B$26</definedName>
    <definedName name="ttbt">'Hex drive'!$C$6</definedName>
    <definedName name="Vrbagsides">'System Analysis'!$C$43</definedName>
    <definedName name="w">Gears!$B$15</definedName>
    <definedName name="wcf">'Hex drive'!$C$4</definedName>
    <definedName name="wfree34">'System Analysis'!$C$90</definedName>
    <definedName name="xpramp">'System Analysis'!$C$84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" i="1" l="1"/>
  <c r="K91" i="1"/>
  <c r="J91" i="1"/>
  <c r="C91" i="1" s="1"/>
  <c r="I91" i="1"/>
  <c r="H91" i="1"/>
  <c r="G91" i="1"/>
  <c r="K90" i="1"/>
  <c r="J90" i="1"/>
  <c r="C90" i="1" s="1"/>
  <c r="I90" i="1"/>
  <c r="H90" i="1"/>
  <c r="G90" i="1"/>
  <c r="K88" i="1"/>
  <c r="J88" i="1"/>
  <c r="C88" i="1" s="1"/>
  <c r="I88" i="1"/>
  <c r="H88" i="1"/>
  <c r="F7" i="6"/>
  <c r="G88" i="1"/>
  <c r="D19" i="6"/>
  <c r="F18" i="6"/>
  <c r="F20" i="6" s="1"/>
  <c r="D17" i="6"/>
  <c r="F14" i="6"/>
  <c r="F9" i="6"/>
  <c r="D29" i="6"/>
  <c r="D24" i="6"/>
  <c r="F23" i="6"/>
  <c r="F22" i="6"/>
  <c r="F27" i="6"/>
  <c r="F28" i="6"/>
  <c r="D12" i="6"/>
  <c r="F13" i="6"/>
  <c r="F15" i="6" s="1"/>
  <c r="C56" i="1"/>
  <c r="C54" i="1"/>
  <c r="C89" i="1" l="1"/>
  <c r="F25" i="6"/>
  <c r="F30" i="6"/>
  <c r="C52" i="1"/>
  <c r="C53" i="1" s="1"/>
  <c r="C57" i="1"/>
  <c r="C58" i="1" s="1"/>
  <c r="C2" i="9"/>
  <c r="F8" i="6"/>
  <c r="D2" i="9"/>
  <c r="D3" i="9" s="1"/>
  <c r="C5" i="9"/>
  <c r="C3" i="9"/>
  <c r="D5" i="9"/>
  <c r="C7" i="9"/>
  <c r="B7" i="5"/>
  <c r="G52" i="1"/>
  <c r="C39" i="1"/>
  <c r="C41" i="1" s="1"/>
  <c r="C19" i="8"/>
  <c r="E10" i="8"/>
  <c r="F10" i="6" l="1"/>
  <c r="H34" i="4"/>
  <c r="G34" i="4"/>
  <c r="C15" i="1" l="1"/>
  <c r="B26" i="4" l="1"/>
  <c r="B36" i="4" s="1"/>
  <c r="B29" i="4"/>
  <c r="B28" i="4"/>
  <c r="B27" i="4"/>
  <c r="B22" i="4"/>
  <c r="B23" i="4"/>
  <c r="B24" i="4"/>
  <c r="B25" i="4" s="1"/>
  <c r="C22" i="4"/>
  <c r="C11" i="4"/>
  <c r="C23" i="4" s="1"/>
  <c r="B35" i="4" l="1"/>
  <c r="B38" i="4"/>
  <c r="C29" i="4"/>
  <c r="C26" i="4"/>
  <c r="B37" i="4"/>
  <c r="C24" i="4"/>
  <c r="C25" i="4" s="1"/>
  <c r="C28" i="4"/>
  <c r="C27" i="4"/>
  <c r="C38" i="4" l="1"/>
  <c r="C37" i="4"/>
  <c r="C36" i="4"/>
  <c r="C35" i="4"/>
  <c r="C11" i="1"/>
  <c r="C17" i="1" l="1"/>
  <c r="C16" i="1"/>
  <c r="C43" i="1" s="1"/>
  <c r="C19" i="1" l="1"/>
  <c r="C20" i="1"/>
  <c r="C25" i="1"/>
  <c r="C55" i="1" l="1"/>
  <c r="C10" i="4"/>
  <c r="C77" i="1" l="1"/>
  <c r="C79" i="1" s="1"/>
  <c r="C34" i="1"/>
  <c r="C27" i="1"/>
  <c r="C59" i="1"/>
  <c r="C5" i="3" s="1"/>
  <c r="C4" i="3" s="1"/>
  <c r="C22" i="1" l="1"/>
  <c r="C82" i="1"/>
  <c r="C85" i="1" s="1" a="1"/>
  <c r="C85" i="1" s="1"/>
  <c r="C21" i="1"/>
  <c r="C28" i="1"/>
  <c r="C29" i="1" s="1"/>
  <c r="C31" i="1"/>
  <c r="C93" i="1" l="1"/>
  <c r="C97" i="1" s="1"/>
  <c r="C92" i="1"/>
  <c r="C107" i="1"/>
  <c r="C106" i="1"/>
  <c r="C30" i="1"/>
  <c r="C35" i="1" s="1"/>
  <c r="C44" i="1" s="1"/>
  <c r="C100" i="1" l="1"/>
  <c r="C99" i="1"/>
  <c r="C98" i="1"/>
  <c r="C36" i="1"/>
  <c r="C47" i="1"/>
  <c r="C62" i="1"/>
  <c r="C64" i="1" l="1"/>
  <c r="C69" i="1" s="1"/>
  <c r="C63" i="1"/>
  <c r="C66" i="1" l="1"/>
  <c r="C67" i="1" s="1"/>
  <c r="C6" i="9" s="1"/>
  <c r="C70" i="1"/>
  <c r="C71" i="1" s="1"/>
  <c r="C72" i="1" s="1"/>
  <c r="C73" i="1" s="1"/>
  <c r="C65" i="1"/>
  <c r="C8" i="4"/>
  <c r="C30" i="4" s="1"/>
  <c r="C9" i="4"/>
  <c r="C80" i="1"/>
  <c r="C81" i="1" l="1"/>
  <c r="D9" i="9"/>
  <c r="D10" i="9" s="1"/>
  <c r="D6" i="9"/>
  <c r="C9" i="9"/>
  <c r="C10" i="9" s="1"/>
  <c r="F30" i="4"/>
  <c r="C31" i="4"/>
  <c r="C94" i="1"/>
  <c r="C95" i="1" s="1"/>
  <c r="C96" i="1"/>
  <c r="C103" i="1" s="1"/>
  <c r="C105" i="1" s="1"/>
  <c r="C101" i="1"/>
  <c r="C102" i="1" s="1"/>
  <c r="B8" i="4"/>
  <c r="B30" i="4" s="1"/>
  <c r="B9" i="4"/>
  <c r="C3" i="3"/>
  <c r="C6" i="3" s="1"/>
  <c r="C7" i="3" s="1"/>
  <c r="D41" i="4"/>
  <c r="D42" i="4"/>
  <c r="D43" i="4"/>
  <c r="C32" i="4"/>
  <c r="C33" i="4" s="1"/>
  <c r="C74" i="1"/>
  <c r="C75" i="1" s="1"/>
  <c r="C104" i="1" l="1"/>
  <c r="B43" i="4"/>
  <c r="C43" i="4" s="1"/>
  <c r="B31" i="4"/>
  <c r="B41" i="4"/>
  <c r="E41" i="4" s="1"/>
  <c r="B32" i="4"/>
  <c r="B33" i="4" s="1"/>
  <c r="B42" i="4"/>
  <c r="C42" i="4" s="1"/>
  <c r="D44" i="4"/>
  <c r="C41" i="4"/>
  <c r="E43" i="4"/>
  <c r="B44" i="4" l="1"/>
  <c r="B45" i="4" s="1"/>
  <c r="E42" i="4"/>
  <c r="E44" i="4" l="1"/>
  <c r="C4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<sst xmlns="http://schemas.openxmlformats.org/spreadsheetml/2006/main" count="485" uniqueCount="342">
  <si>
    <t>R_1</t>
  </si>
  <si>
    <t>distance finger center to finger contact point</t>
  </si>
  <si>
    <t>distance finger center to center plane</t>
  </si>
  <si>
    <t>R_2</t>
  </si>
  <si>
    <t>Dbear</t>
  </si>
  <si>
    <t>mu</t>
  </si>
  <si>
    <t>atm</t>
  </si>
  <si>
    <t>psi</t>
  </si>
  <si>
    <t>N/mm^2</t>
  </si>
  <si>
    <t>https://en.wikipedia.org/wiki/Mechanical_ventilation</t>
  </si>
  <si>
    <t>https://www.sciencedirect.com/topics/medicine-and-dentistry/mean-airway-pressure</t>
  </si>
  <si>
    <t>https://www.sciencedirect.com/topics/medicine-and-dentistry/airway-pressure</t>
  </si>
  <si>
    <t>peak airway pressure</t>
  </si>
  <si>
    <t>pap</t>
  </si>
  <si>
    <t>factor higher to force from bag through circuit</t>
  </si>
  <si>
    <t>papeta</t>
  </si>
  <si>
    <t>bag pressure</t>
  </si>
  <si>
    <t>pbagmm</t>
  </si>
  <si>
    <t>Bag diameter</t>
  </si>
  <si>
    <t>Dbag</t>
  </si>
  <si>
    <t>Lbag</t>
  </si>
  <si>
    <t>Areabag</t>
  </si>
  <si>
    <t>force on bag</t>
  </si>
  <si>
    <t>lbs</t>
  </si>
  <si>
    <t>N</t>
  </si>
  <si>
    <t>Fbag</t>
  </si>
  <si>
    <t>Ffinger</t>
  </si>
  <si>
    <t>Fbear</t>
  </si>
  <si>
    <t>Fgear</t>
  </si>
  <si>
    <t>Dgear</t>
  </si>
  <si>
    <t>diameter of driver gear</t>
  </si>
  <si>
    <t>Tgear</t>
  </si>
  <si>
    <t>N-mm</t>
  </si>
  <si>
    <t>% torque lost to shaft  bearing friction</t>
  </si>
  <si>
    <t>ptlsf</t>
  </si>
  <si>
    <t>Torque lost to shaft bearing friction</t>
  </si>
  <si>
    <t>Tlsbf</t>
  </si>
  <si>
    <t>mm</t>
  </si>
  <si>
    <t>Gearmotor</t>
  </si>
  <si>
    <t>Dpinion</t>
  </si>
  <si>
    <t>gearbox output torque needed</t>
  </si>
  <si>
    <t>Tgm</t>
  </si>
  <si>
    <t>lb-in</t>
  </si>
  <si>
    <t>mm^2</t>
  </si>
  <si>
    <t>Free speed</t>
  </si>
  <si>
    <t>Tstall</t>
  </si>
  <si>
    <t>wfree</t>
  </si>
  <si>
    <t>Stall torque</t>
  </si>
  <si>
    <t>rpm</t>
  </si>
  <si>
    <t>lb-ft</t>
  </si>
  <si>
    <t>Respiration rate</t>
  </si>
  <si>
    <t>resprate</t>
  </si>
  <si>
    <t>breaths per minute</t>
  </si>
  <si>
    <t>TRpf</t>
  </si>
  <si>
    <t>degrees</t>
  </si>
  <si>
    <t>arcfing</t>
  </si>
  <si>
    <t>rpmfing</t>
  </si>
  <si>
    <t>rpmgmr</t>
  </si>
  <si>
    <t>Respiration</t>
  </si>
  <si>
    <t>inch</t>
  </si>
  <si>
    <t>Spreadsheet to deterministically design ambu bag squeezer using pure rotary linkage with sontinuous rotary motion input.  COVID sadness can bring world together to work as a team, and then maybe next step fix climate change, hence one over sadness equals happiness 1/:-( = :-). see www.ooseh.com</t>
  </si>
  <si>
    <r>
      <t xml:space="preserve">Inputs in </t>
    </r>
    <r>
      <rPr>
        <b/>
        <sz val="12"/>
        <color theme="1"/>
        <rFont val="Calibri"/>
        <family val="2"/>
      </rPr>
      <t>BLACK</t>
    </r>
    <r>
      <rPr>
        <sz val="10"/>
        <color theme="1"/>
        <rFont val="Helvetica"/>
        <family val="2"/>
      </rPr>
      <t xml:space="preserve">, Outputs in </t>
    </r>
    <r>
      <rPr>
        <b/>
        <sz val="12"/>
        <color rgb="FFFF0000"/>
        <rFont val="Helvetica"/>
        <family val="2"/>
      </rPr>
      <t>RED</t>
    </r>
  </si>
  <si>
    <t>Radial force per bearing</t>
  </si>
  <si>
    <t>width of bearing</t>
  </si>
  <si>
    <t>diameter bearings</t>
  </si>
  <si>
    <t>dbearing</t>
  </si>
  <si>
    <t>Frbearing</t>
  </si>
  <si>
    <t>wbearing</t>
  </si>
  <si>
    <t>contact stress on bearings</t>
  </si>
  <si>
    <t>Spur_Gears.xls</t>
  </si>
  <si>
    <r>
      <t xml:space="preserve">Spreadsheet to </t>
    </r>
    <r>
      <rPr>
        <i/>
        <sz val="10"/>
        <rFont val="Times New Roman"/>
        <family val="1"/>
      </rPr>
      <t>estimate</t>
    </r>
    <r>
      <rPr>
        <sz val="10"/>
        <rFont val="Times New Roman"/>
        <family val="1"/>
      </rPr>
      <t xml:space="preserve"> gear tooth strength</t>
    </r>
  </si>
  <si>
    <t>Production gears must be designed using the Lewis Form Factor or FEA</t>
  </si>
  <si>
    <t>By Alex Slocum 1/18/01, last modified 9/28/2007 by Alex Slocum</t>
  </si>
  <si>
    <t>Inputs</t>
  </si>
  <si>
    <t>Pressure angle, f (deg, rad)</t>
  </si>
  <si>
    <t>Pitch, P</t>
  </si>
  <si>
    <t>Number of teeth on pinion, Np</t>
  </si>
  <si>
    <t>Number of teeth on gear, Ng</t>
  </si>
  <si>
    <t>Center distance tolerance, Ctol (inches)</t>
  </si>
  <si>
    <t>Pinion yeild stress, sigp (psi)</t>
  </si>
  <si>
    <t>Gear yield stress, sigg (psi)</t>
  </si>
  <si>
    <t>Stress concentration factor at tooth root, scf</t>
  </si>
  <si>
    <t>Outputs</t>
  </si>
  <si>
    <t>Gear ratio, mg</t>
  </si>
  <si>
    <t>Pinion pitch diameter, Dp (inches)</t>
  </si>
  <si>
    <t>Gear pich diameter, Dg (inches)</t>
  </si>
  <si>
    <t>Center distance, C (inches)</t>
  </si>
  <si>
    <t>Tooth thickness, tt (inches)</t>
  </si>
  <si>
    <t>Addendum, a (inches)</t>
  </si>
  <si>
    <t>Dedendum, b (inches)</t>
  </si>
  <si>
    <t>Clearance, cl (inches)</t>
  </si>
  <si>
    <t>Pinion tooth force (normal to radius), Fp (lbf)</t>
  </si>
  <si>
    <t>Gear tooth separation force (parallel to radius) Fsp (lbf)</t>
  </si>
  <si>
    <t>Tooth section parameters</t>
  </si>
  <si>
    <t>Chordal area, Ac (inches^2)</t>
  </si>
  <si>
    <t>First moment of area, Q (inches^3)</t>
  </si>
  <si>
    <t>2nd moment of area ("moment of inertia"), I (inches^4)</t>
  </si>
  <si>
    <t>Distance Nuetral axis to outer fiber, cc (inches)</t>
  </si>
  <si>
    <t>Shear stress of the tooth (F/A) (psi)</t>
  </si>
  <si>
    <t>Bending shear stress (FQ/wI) (psi)</t>
  </si>
  <si>
    <t>Bending stress (F*b*c/I) (psi)</t>
  </si>
  <si>
    <r>
      <t xml:space="preserve">Enters numbers in </t>
    </r>
    <r>
      <rPr>
        <b/>
        <sz val="10"/>
        <rFont val="Times New Roman"/>
        <family val="1"/>
      </rPr>
      <t>BOLD,</t>
    </r>
    <r>
      <rPr>
        <sz val="10"/>
        <rFont val="Times New Roman"/>
        <family val="1"/>
      </rPr>
      <t xml:space="preserve"> Results in </t>
    </r>
    <r>
      <rPr>
        <b/>
        <sz val="10"/>
        <color indexed="10"/>
        <rFont val="Times New Roman"/>
        <family val="1"/>
      </rPr>
      <t>RED</t>
    </r>
  </si>
  <si>
    <t>Face width (of drive pinion), w (inches)</t>
  </si>
  <si>
    <t xml:space="preserve">MIT-E VENT. TopDrive System Design spreadsheet </t>
  </si>
  <si>
    <t>Normal lung compliance, lower bound</t>
  </si>
  <si>
    <t>LCNL</t>
  </si>
  <si>
    <t>cmH2O</t>
  </si>
  <si>
    <t>Normal lung compliance, upper bound</t>
  </si>
  <si>
    <t>LCNU</t>
  </si>
  <si>
    <t>Resp rate lower bound</t>
  </si>
  <si>
    <t>Resp rate upper bound</t>
  </si>
  <si>
    <t>breaths</t>
  </si>
  <si>
    <t>PEEP</t>
  </si>
  <si>
    <t>Inspiratory pressure</t>
  </si>
  <si>
    <t>Pins</t>
  </si>
  <si>
    <t>Bad compliance, ARDS</t>
  </si>
  <si>
    <t>LCA</t>
  </si>
  <si>
    <t>Change from lower bound</t>
  </si>
  <si>
    <t>This exists everywhere in the breathing curcuit AFTER the valve; so inspiratory pressure of 30 is between bag &amp; valve</t>
  </si>
  <si>
    <t>Clinical scenario: 300-400 lb patient who has a lung compliance of 3? Also patient is bucking, having difficulty breathing.</t>
  </si>
  <si>
    <t>mmHg</t>
  </si>
  <si>
    <t>Driving pressure (at machine)</t>
  </si>
  <si>
    <t>Driving pressure (at mouth)</t>
  </si>
  <si>
    <t>Pmach</t>
  </si>
  <si>
    <t>Pmouth</t>
  </si>
  <si>
    <t>force on EACH finger</t>
  </si>
  <si>
    <t>Lung Compliance Update; Alexander Slocum, Jr, MD PhD; on 3/22/2020; sent to Albert Kwon and Christoph Nabzdyk 3/22/2020</t>
  </si>
  <si>
    <t>Preq</t>
  </si>
  <si>
    <t>Anticipated required airway pressure (need torque to generate this much press)</t>
  </si>
  <si>
    <t>Von Mises stress (psi)</t>
  </si>
  <si>
    <t>Force on finger support shaft (and bearings)</t>
  </si>
  <si>
    <t>radial load per bearing</t>
  </si>
  <si>
    <t>lb</t>
  </si>
  <si>
    <t>Nema 34 Stepper motor</t>
  </si>
  <si>
    <t>oz-in</t>
  </si>
  <si>
    <t>required speed for respiration cycle</t>
  </si>
  <si>
    <t>rsarc</t>
  </si>
  <si>
    <t>cm H2O this torque will provide</t>
  </si>
  <si>
    <t>cm H2O</t>
  </si>
  <si>
    <t>date</t>
  </si>
  <si>
    <t>who</t>
  </si>
  <si>
    <t>edit</t>
  </si>
  <si>
    <t>AHS Sr</t>
  </si>
  <si>
    <t>added NEMA 34 drve parameters and cm H2O equivelant</t>
  </si>
  <si>
    <t>wfree34</t>
  </si>
  <si>
    <t>Transmission ratio motor pinion-to-finger</t>
  </si>
  <si>
    <t>seconds per breath</t>
  </si>
  <si>
    <t>spb</t>
  </si>
  <si>
    <t>pcr</t>
  </si>
  <si>
    <t>time to ramp to pressure</t>
  </si>
  <si>
    <t>trtp</t>
  </si>
  <si>
    <t>added motor rpm for breathe cycle</t>
  </si>
  <si>
    <t>Version</t>
  </si>
  <si>
    <t>Nmsize</t>
  </si>
  <si>
    <t>Pinion diameter (NOTE cannot go smaller than 1" for 12 pitch gear)</t>
  </si>
  <si>
    <t>Total radial load on motor shaft (lbf)</t>
  </si>
  <si>
    <t>Pinion material</t>
  </si>
  <si>
    <t>Steel</t>
  </si>
  <si>
    <t>Gear Material</t>
  </si>
  <si>
    <t>Acetal (Delrin)</t>
  </si>
  <si>
    <t>Delrin (Acetal). http://www.sdplastics.com/delrin/delrin[1].pdf</t>
  </si>
  <si>
    <t>Torque, T (in-lb)</t>
  </si>
  <si>
    <t>Motor Pinion</t>
  </si>
  <si>
    <t>finger to finger</t>
  </si>
  <si>
    <t>The pinion must be able to drive BOTH fingers, hence the factor of "2"</t>
  </si>
  <si>
    <t>Comments</t>
  </si>
  <si>
    <t>: =0.5*PI()/P</t>
  </si>
  <si>
    <t>: =0.5*(Dp+Dg)+Ctol</t>
  </si>
  <si>
    <t>: =Ng/P</t>
  </si>
  <si>
    <t>: =Np/P</t>
  </si>
  <si>
    <t>: =Ng/Np</t>
  </si>
  <si>
    <t>: =1/P</t>
  </si>
  <si>
    <t>: =1.2/P+0.002</t>
  </si>
  <si>
    <t>:=0.2/P+0.002</t>
  </si>
  <si>
    <t>:=T/(Dp/2)</t>
  </si>
  <si>
    <t>Fgtg</t>
  </si>
  <si>
    <t>: =Fp*TAN(f)</t>
  </si>
  <si>
    <t>:=SQRT(Fsp^2+Fp^2)</t>
  </si>
  <si>
    <t>: =w*tt</t>
  </si>
  <si>
    <t>:=w*tt^3/12</t>
  </si>
  <si>
    <t>:=tt/2</t>
  </si>
  <si>
    <t>:=w*tt^2/6</t>
  </si>
  <si>
    <t>:=Fp/Ac</t>
  </si>
  <si>
    <t>:=Fp*Q/(w*I)</t>
  </si>
  <si>
    <t>:=Fp*b*cc/I*scf</t>
  </si>
  <si>
    <t>:=SQRT(3*B39^2+B41^2)</t>
  </si>
  <si>
    <t>Safety Factor</t>
  </si>
  <si>
    <t>Pinion tooth stresses</t>
  </si>
  <si>
    <t>Stress</t>
  </si>
  <si>
    <t>Finger-to-Finger gear stress</t>
  </si>
  <si>
    <t>Motor side gear tooth stress</t>
  </si>
  <si>
    <t>PFPL</t>
  </si>
  <si>
    <t>NemaTas</t>
  </si>
  <si>
    <t>Tstallsm</t>
  </si>
  <si>
    <t>Tstallsmm</t>
  </si>
  <si>
    <t>lbf</t>
  </si>
  <si>
    <t>torque available at required speed</t>
  </si>
  <si>
    <t>torque required for desired performance</t>
  </si>
  <si>
    <t>tgm</t>
  </si>
  <si>
    <t>Number of motors required to provide required torque</t>
  </si>
  <si>
    <t>nmr</t>
  </si>
  <si>
    <t>https://szbobet.en.alibaba.com/product/60516551996-803622807/BM_Brand_High_precision_4_Axis_8_5Nm_1204oz_in_Nema_34_Stepper_Motor_with_braker_Driver_Kit_For_CNC_Router.html</t>
  </si>
  <si>
    <t>https://hardware-cnc.nl/en/shop/stappenmotoren/stepper-motor-34/stepper-motor-nema-34-4,5nm-detail</t>
  </si>
  <si>
    <t>NEMA 23</t>
  </si>
  <si>
    <t>https://cnc1.lv/en/stepper-motors/48-nema-23-stepper-motor-23hs9430-with-280-nm.html</t>
  </si>
  <si>
    <t>max radial force 20mm from face</t>
  </si>
  <si>
    <t>Fradmaxm</t>
  </si>
  <si>
    <t>Is radial force on motor shaft too high?</t>
  </si>
  <si>
    <t>added select motors and do motor calcs, and added details on gear teeth for both pinion and finger to finger</t>
  </si>
  <si>
    <t>Inspiratory/expiratory ratio</t>
  </si>
  <si>
    <t>ier</t>
  </si>
  <si>
    <t>1:4</t>
  </si>
  <si>
    <t>Inspiration ratio</t>
  </si>
  <si>
    <t>insp</t>
  </si>
  <si>
    <t>portion of cycle</t>
  </si>
  <si>
    <t>Expiration ratio</t>
  </si>
  <si>
    <t>expr</t>
  </si>
  <si>
    <t>Total parts</t>
  </si>
  <si>
    <t>total portions</t>
  </si>
  <si>
    <t>Time to inhale</t>
  </si>
  <si>
    <t>tinsp</t>
  </si>
  <si>
    <t>seconds</t>
  </si>
  <si>
    <t>Time to exhale</t>
  </si>
  <si>
    <t>texh</t>
  </si>
  <si>
    <t>Portion of inhalation to ramp</t>
  </si>
  <si>
    <t>percentage</t>
  </si>
  <si>
    <t>tpb</t>
  </si>
  <si>
    <t>required instantaneous rpm of gearmotor shaft</t>
  </si>
  <si>
    <t>effective average rpm of finger</t>
  </si>
  <si>
    <t>add in Albert Kwin and Alex Jr breathing edits</t>
  </si>
  <si>
    <t>max</t>
  </si>
  <si>
    <t>arc of travel of finger to compress bag</t>
  </si>
  <si>
    <t>Pinion tooth force at pitch line at maximum motor torque at required speed</t>
  </si>
  <si>
    <t>Pinion tooth force at pitch line at motor torque at required speed for minimum cm H2O</t>
  </si>
  <si>
    <t>PFPLr</t>
  </si>
  <si>
    <t>cmH2Omax</t>
  </si>
  <si>
    <t xml:space="preserve">added radial load additional design info </t>
  </si>
  <si>
    <t>Face width assumed to be the molded thickness, force/finger (lbf)</t>
  </si>
  <si>
    <t>added motor references</t>
  </si>
  <si>
    <t>generalizing for any design</t>
  </si>
  <si>
    <t>Power that must be applied to compress bag during inhalation portion of breathing cycle</t>
  </si>
  <si>
    <t>Pbaginhale</t>
  </si>
  <si>
    <t>Watts</t>
  </si>
  <si>
    <t>Vrbagsides</t>
  </si>
  <si>
    <t>mm/sec</t>
  </si>
  <si>
    <t>mechanical system effieicny (gearmotor and connection to bag mechanism)</t>
  </si>
  <si>
    <t>etamech</t>
  </si>
  <si>
    <t>ovszf</t>
  </si>
  <si>
    <t>Pmotorest</t>
  </si>
  <si>
    <t xml:space="preserve">created by Prof. Alex Slocum March 21, 2020, see "Revisions" tab </t>
  </si>
  <si>
    <t>Forces on "Hands" from airway pressure in bag</t>
  </si>
  <si>
    <t>Radial velocity of bag sides during inhalation</t>
  </si>
  <si>
    <t>Estimated Motor Size Required for the System</t>
  </si>
  <si>
    <t>Oversize motor for 100% duty cycle</t>
  </si>
  <si>
    <t>Life cycle</t>
  </si>
  <si>
    <t>Peak for shorter periods</t>
  </si>
  <si>
    <t>Average for mechanism life calculations</t>
  </si>
  <si>
    <t>resprateavg</t>
  </si>
  <si>
    <t>bpdavg</t>
  </si>
  <si>
    <t>Days of life of machine before rebuild</t>
  </si>
  <si>
    <t>dolm</t>
  </si>
  <si>
    <t>Total machine cycles required</t>
  </si>
  <si>
    <t>tmcd</t>
  </si>
  <si>
    <t>Breaths per day</t>
  </si>
  <si>
    <t>Motor Power estimate to start design</t>
  </si>
  <si>
    <t>Bag2eD</t>
  </si>
  <si>
    <t>Bag1eD</t>
  </si>
  <si>
    <t>deltaCenter</t>
  </si>
  <si>
    <t>Veeangle</t>
  </si>
  <si>
    <t>distance center heigh shifts when supporting Bags of different end diameters in a Vee</t>
  </si>
  <si>
    <t>hex shaft diameter</t>
  </si>
  <si>
    <t>hsd</t>
  </si>
  <si>
    <t>in</t>
  </si>
  <si>
    <t>torque to be transmitted</t>
  </si>
  <si>
    <t>ttbt</t>
  </si>
  <si>
    <t>contact pressure on hex faces</t>
  </si>
  <si>
    <t>constant from the torque integral</t>
  </si>
  <si>
    <t>Chexpres</t>
  </si>
  <si>
    <t>Number of hex faces assumed to transmit the torque</t>
  </si>
  <si>
    <t>Nhftt</t>
  </si>
  <si>
    <t>Width of contact face</t>
  </si>
  <si>
    <t>wcf</t>
  </si>
  <si>
    <t>MPa</t>
  </si>
  <si>
    <t>Metal torque arm</t>
  </si>
  <si>
    <t>plastic fingers</t>
  </si>
  <si>
    <t>hcpf</t>
  </si>
  <si>
    <t>SKF: https://www.skf.com/binary/tcm:12-69175/457649.pdf</t>
  </si>
  <si>
    <t>Timken:  https://www.timken.com/wp-content/uploads/2018/04/Timken-Ball-Bearing-Catalog_10734.pdf</t>
  </si>
  <si>
    <t>W</t>
  </si>
  <si>
    <t>N-m</t>
  </si>
  <si>
    <t>rad/sec</t>
  </si>
  <si>
    <t>NOTE 1/2" hex yields plastic contact pressure of 8,649 psi which is ok for Nylon 6-6 30% glass filled but tie in with steel driver for security</t>
  </si>
  <si>
    <t>Geared Hands Design: MIT-E Vent</t>
  </si>
  <si>
    <t>: =trpf*Rpmfing</t>
  </si>
  <si>
    <t>: =2*Fbag*Vrbagsides/1000.  NOTE the factor of 2 is because one motor drives both fingers</t>
  </si>
  <si>
    <t>: =Dbag/2/tinsp</t>
  </si>
  <si>
    <t>: =tgm/(Dpinion/2)/NMr   NOTE that the radial force depends on how many motors being used</t>
  </si>
  <si>
    <t xml:space="preserve">at 35 mm HG load is </t>
  </si>
  <si>
    <t>Theta (angle at which the pinion force engages the finger drive gear)</t>
  </si>
  <si>
    <t>Orientation of the pinion-to-drive gear contact force mid-bag compression: for a "pure" top drive Theta = 0.  For a "pure" bottom drive drive Theta = 180.  For a "pure" side drive Theta = 90</t>
  </si>
  <si>
    <t>Thetapingear</t>
  </si>
  <si>
    <t>diameter of finger support shaft</t>
  </si>
  <si>
    <t>coefficient of friction of finger support bearing</t>
  </si>
  <si>
    <t>Radius of driver gear</t>
  </si>
  <si>
    <t>Rgear</t>
  </si>
  <si>
    <t>generalizing for any design and adding fixturing and hex drive calcs</t>
  </si>
  <si>
    <t>X direction</t>
  </si>
  <si>
    <t>Fbx</t>
  </si>
  <si>
    <t>Fby</t>
  </si>
  <si>
    <t>Y direction</t>
  </si>
  <si>
    <t>Fperbear</t>
  </si>
  <si>
    <t>Motor Selection and operating parameters</t>
  </si>
  <si>
    <t>gearbox output speed needed</t>
  </si>
  <si>
    <t>gosn</t>
  </si>
  <si>
    <t>Motor number referenced on "System Analysis" sheet</t>
  </si>
  <si>
    <t>Nema 23 Stepper motor</t>
  </si>
  <si>
    <t>est peak power (1/2 stall torque X 1/2 free speed)</t>
  </si>
  <si>
    <t>"Windsheild wiper motor" e.g., http://schmittongaromarine.com/site/1922schm/Technical_Specifications_for_Heavy_Duty_Wiper_Motors_309,319,_and_329_series.pdf.   https://www.oslv.com/Products/Gearmotor-for-windshield-wipers-MRT62-43/98-25-1-en.html</t>
  </si>
  <si>
    <t>estimated allowable side load on shaft</t>
  </si>
  <si>
    <t>? No spec found, so estimate</t>
  </si>
  <si>
    <t>Enter motor info</t>
  </si>
  <si>
    <r>
      <t xml:space="preserve">Enter numbers in </t>
    </r>
    <r>
      <rPr>
        <b/>
        <sz val="12"/>
        <color theme="1"/>
        <rFont val="Calibri"/>
        <family val="2"/>
        <scheme val="minor"/>
      </rPr>
      <t>BLACK</t>
    </r>
    <r>
      <rPr>
        <sz val="12"/>
        <color theme="1"/>
        <rFont val="Calibri"/>
        <family val="2"/>
        <scheme val="minor"/>
      </rPr>
      <t xml:space="preserve">, equivelants are calculated in </t>
    </r>
    <r>
      <rPr>
        <b/>
        <sz val="12"/>
        <color rgb="FFFF0000"/>
        <rFont val="Calibri (Body)"/>
      </rPr>
      <t>RED</t>
    </r>
    <r>
      <rPr>
        <sz val="12"/>
        <color theme="1"/>
        <rFont val="Calibri"/>
        <family val="2"/>
        <scheme val="minor"/>
      </rPr>
      <t>, and then these values are transferred to the "System Analysis" spreadsheet</t>
    </r>
  </si>
  <si>
    <t>Motor number</t>
  </si>
  <si>
    <t>allowable side load (N)</t>
  </si>
  <si>
    <t>no load speed (rpm)</t>
  </si>
  <si>
    <t>Motor Data from "Motor Options" workbook</t>
  </si>
  <si>
    <t>AndyMark PG71 gearmotor.  https://www.andymark.com/products/hex-pg-series-gearboxes-options</t>
  </si>
  <si>
    <t>Stall torque (N-m)</t>
  </si>
  <si>
    <t>N motor size (Nema 23, 34 or Gearmotor 1, 2,3. see workbook "Motor Options")</t>
  </si>
  <si>
    <t>Estimated total peak motor mechanical power to select candidate motors</t>
  </si>
  <si>
    <t>NOTE if during the inhale time tinhale (e.g. 0.4 seconds total) if assume x% for ramp up and x% for ramp down , then over total travel of Y degrees, the motor speed required (upper limit) is Y/(tinhale*(1-2x))</t>
  </si>
  <si>
    <t>Percent of inhale time for ramp up and ramp down</t>
  </si>
  <si>
    <t>xpramp</t>
  </si>
  <si>
    <t>Maximum desired gearbox speed needed to enable ramp up</t>
  </si>
  <si>
    <t>gosnact</t>
  </si>
  <si>
    <t>Force on a each "hand" as bag is compressed</t>
  </si>
  <si>
    <t xml:space="preserve">Force on gear teeth between fingers  to share torque from gearmotor </t>
  </si>
  <si>
    <t>Torque generated by driven gear which is then shared by both Hands</t>
  </si>
  <si>
    <t>Required motor pinion tooth force on driven gear to move both "Hands" together to compress bag</t>
  </si>
  <si>
    <t>Hand shaft support Bearing forces</t>
  </si>
  <si>
    <t>Drive transmission ratio (enter gear sizes below)</t>
  </si>
  <si>
    <t>Pinion tooth force/motor shaft allowable radial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</si>
</sst>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0.000"/>
    <numFmt numFmtId="165" formatCode="0.0"/>
    <numFmt numFmtId="166" formatCode="0.0%"/>
    <numFmt numFmtId="167" formatCode="_(* #,##0_);_(* \(#,##0\);_(* &quot;-&quot;??_);_(@_)"/>
    <numFmt numFmtId="168" formatCode="0.00000"/>
    <numFmt numFmtId="169" formatCode="0.0000"/>
    <numFmt numFmtId="170" formatCode="_(* #,##0.0_);_(* \(#,##0.0\);_(* &quot;-&quot;??_);_(@_)"/>
  </numFmts>
  <fonts count="2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Helvetica"/>
      <family val="2"/>
    </font>
    <font>
      <b/>
      <sz val="12"/>
      <color theme="1"/>
      <name val="Calibri"/>
      <family val="2"/>
    </font>
    <font>
      <b/>
      <sz val="12"/>
      <color rgb="FFFF0000"/>
      <name val="Helvetica"/>
      <family val="2"/>
    </font>
    <font>
      <b/>
      <sz val="10"/>
      <name val="Times New Roman"/>
      <family val="1"/>
    </font>
    <font>
      <sz val="10"/>
      <name val="Times New Roman"/>
      <family val="1"/>
    </font>
    <font>
      <i/>
      <sz val="10"/>
      <name val="Times New Roman"/>
      <family val="1"/>
    </font>
    <font>
      <b/>
      <sz val="10"/>
      <color indexed="10"/>
      <name val="Times New Roman"/>
      <family val="1"/>
    </font>
    <font>
      <b/>
      <sz val="12"/>
      <color rgb="FFFF0000"/>
      <name val="Calibri"/>
      <family val="2"/>
      <scheme val="minor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Helvetica"/>
      <family val="2"/>
    </font>
    <font>
      <b/>
      <sz val="12"/>
      <color theme="1"/>
      <name val="Helvetica"/>
      <family val="2"/>
    </font>
    <font>
      <b/>
      <sz val="12"/>
      <color rgb="FF000000"/>
      <name val="Calibri"/>
      <family val="2"/>
      <scheme val="minor"/>
    </font>
    <font>
      <b/>
      <sz val="12"/>
      <color rgb="FFFF0000"/>
      <name val="Calibri (Body)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88">
    <xf numFmtId="0" fontId="0" fillId="0" borderId="0" xfId="0"/>
    <xf numFmtId="0" fontId="4" fillId="0" borderId="0" xfId="3"/>
    <xf numFmtId="0" fontId="0" fillId="0" borderId="1" xfId="0" applyBorder="1"/>
    <xf numFmtId="43" fontId="2" fillId="0" borderId="1" xfId="0" applyNumberFormat="1" applyFont="1" applyBorder="1"/>
    <xf numFmtId="0" fontId="0" fillId="0" borderId="1" xfId="0" applyBorder="1" applyAlignment="1">
      <alignment horizontal="left" indent="1"/>
    </xf>
    <xf numFmtId="0" fontId="3" fillId="0" borderId="1" xfId="0" applyFont="1" applyBorder="1"/>
    <xf numFmtId="0" fontId="3" fillId="0" borderId="1" xfId="0" applyFont="1" applyBorder="1" applyAlignment="1">
      <alignment horizontal="left" indent="1"/>
    </xf>
    <xf numFmtId="0" fontId="0" fillId="0" borderId="1" xfId="0" applyBorder="1" applyAlignment="1">
      <alignment horizontal="left" indent="2"/>
    </xf>
    <xf numFmtId="1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9" fillId="0" borderId="0" xfId="0" applyFont="1"/>
    <xf numFmtId="0" fontId="8" fillId="0" borderId="1" xfId="0" applyFont="1" applyBorder="1"/>
    <xf numFmtId="0" fontId="9" fillId="0" borderId="1" xfId="0" applyFont="1" applyBorder="1"/>
    <xf numFmtId="0" fontId="11" fillId="0" borderId="1" xfId="0" applyFont="1" applyBorder="1"/>
    <xf numFmtId="1" fontId="11" fillId="0" borderId="1" xfId="0" applyNumberFormat="1" applyFont="1" applyBorder="1"/>
    <xf numFmtId="0" fontId="9" fillId="0" borderId="1" xfId="0" applyFont="1" applyBorder="1" applyAlignment="1">
      <alignment horizontal="left" indent="1"/>
    </xf>
    <xf numFmtId="0" fontId="8" fillId="2" borderId="1" xfId="0" applyFont="1" applyFill="1" applyBorder="1"/>
    <xf numFmtId="168" fontId="11" fillId="0" borderId="1" xfId="0" applyNumberFormat="1" applyFont="1" applyBorder="1"/>
    <xf numFmtId="164" fontId="11" fillId="0" borderId="1" xfId="0" applyNumberFormat="1" applyFont="1" applyBorder="1"/>
    <xf numFmtId="169" fontId="11" fillId="0" borderId="1" xfId="0" applyNumberFormat="1" applyFont="1" applyBorder="1"/>
    <xf numFmtId="11" fontId="11" fillId="0" borderId="1" xfId="0" applyNumberFormat="1" applyFont="1" applyBorder="1"/>
    <xf numFmtId="0" fontId="9" fillId="2" borderId="1" xfId="0" applyFont="1" applyFill="1" applyBorder="1" applyAlignment="1">
      <alignment horizontal="left" indent="1"/>
    </xf>
    <xf numFmtId="1" fontId="11" fillId="2" borderId="1" xfId="0" applyNumberFormat="1" applyFont="1" applyFill="1" applyBorder="1"/>
    <xf numFmtId="165" fontId="0" fillId="0" borderId="1" xfId="0" applyNumberFormat="1" applyBorder="1"/>
    <xf numFmtId="0" fontId="12" fillId="0" borderId="1" xfId="0" applyFont="1" applyBorder="1"/>
    <xf numFmtId="0" fontId="9" fillId="4" borderId="1" xfId="0" applyFont="1" applyFill="1" applyBorder="1" applyAlignment="1">
      <alignment horizontal="left" indent="1"/>
    </xf>
    <xf numFmtId="0" fontId="9" fillId="0" borderId="1" xfId="0" applyFont="1" applyFill="1" applyBorder="1" applyAlignment="1">
      <alignment horizontal="left" indent="1"/>
    </xf>
    <xf numFmtId="1" fontId="13" fillId="0" borderId="1" xfId="0" applyNumberFormat="1" applyFont="1" applyBorder="1"/>
    <xf numFmtId="0" fontId="3" fillId="0" borderId="1" xfId="0" applyFont="1" applyBorder="1" applyAlignment="1">
      <alignment horizontal="left"/>
    </xf>
    <xf numFmtId="14" fontId="0" fillId="0" borderId="0" xfId="0" applyNumberFormat="1"/>
    <xf numFmtId="0" fontId="5" fillId="0" borderId="1" xfId="0" applyFont="1" applyBorder="1"/>
    <xf numFmtId="0" fontId="0" fillId="4" borderId="1" xfId="0" applyFill="1" applyBorder="1" applyAlignment="1">
      <alignment horizontal="left" indent="1"/>
    </xf>
    <xf numFmtId="0" fontId="0" fillId="4" borderId="1" xfId="0" applyFill="1" applyBorder="1"/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/>
    <xf numFmtId="0" fontId="14" fillId="0" borderId="1" xfId="0" applyFont="1" applyBorder="1"/>
    <xf numFmtId="1" fontId="11" fillId="4" borderId="1" xfId="0" applyNumberFormat="1" applyFont="1" applyFill="1" applyBorder="1"/>
    <xf numFmtId="168" fontId="9" fillId="0" borderId="1" xfId="0" applyNumberFormat="1" applyFont="1" applyBorder="1"/>
    <xf numFmtId="1" fontId="14" fillId="0" borderId="1" xfId="0" applyNumberFormat="1" applyFont="1" applyBorder="1"/>
    <xf numFmtId="164" fontId="14" fillId="0" borderId="1" xfId="0" applyNumberFormat="1" applyFont="1" applyBorder="1"/>
    <xf numFmtId="165" fontId="11" fillId="0" borderId="1" xfId="0" applyNumberFormat="1" applyFont="1" applyBorder="1"/>
    <xf numFmtId="165" fontId="11" fillId="2" borderId="1" xfId="0" applyNumberFormat="1" applyFont="1" applyFill="1" applyBorder="1"/>
    <xf numFmtId="169" fontId="11" fillId="0" borderId="6" xfId="0" applyNumberFormat="1" applyFont="1" applyBorder="1"/>
    <xf numFmtId="168" fontId="9" fillId="0" borderId="6" xfId="0" applyNumberFormat="1" applyFont="1" applyBorder="1"/>
    <xf numFmtId="165" fontId="13" fillId="0" borderId="1" xfId="0" applyNumberFormat="1" applyFont="1" applyBorder="1"/>
    <xf numFmtId="0" fontId="16" fillId="0" borderId="0" xfId="0" applyFont="1"/>
    <xf numFmtId="0" fontId="9" fillId="0" borderId="1" xfId="0" applyFont="1" applyBorder="1" applyAlignment="1">
      <alignment horizontal="left" indent="2"/>
    </xf>
    <xf numFmtId="0" fontId="17" fillId="0" borderId="1" xfId="0" applyFont="1" applyBorder="1"/>
    <xf numFmtId="165" fontId="12" fillId="0" borderId="1" xfId="0" applyNumberFormat="1" applyFont="1" applyBorder="1"/>
    <xf numFmtId="1" fontId="12" fillId="0" borderId="1" xfId="0" applyNumberFormat="1" applyFont="1" applyBorder="1"/>
    <xf numFmtId="166" fontId="12" fillId="0" borderId="1" xfId="2" applyNumberFormat="1" applyFont="1" applyBorder="1"/>
    <xf numFmtId="0" fontId="12" fillId="4" borderId="1" xfId="0" applyFont="1" applyFill="1" applyBorder="1"/>
    <xf numFmtId="2" fontId="12" fillId="4" borderId="1" xfId="0" applyNumberFormat="1" applyFont="1" applyFill="1" applyBorder="1"/>
    <xf numFmtId="167" fontId="12" fillId="0" borderId="1" xfId="1" applyNumberFormat="1" applyFont="1" applyBorder="1"/>
    <xf numFmtId="43" fontId="12" fillId="0" borderId="1" xfId="0" applyNumberFormat="1" applyFont="1" applyBorder="1"/>
    <xf numFmtId="2" fontId="12" fillId="0" borderId="1" xfId="0" applyNumberFormat="1" applyFont="1" applyBorder="1"/>
    <xf numFmtId="164" fontId="12" fillId="0" borderId="1" xfId="0" applyNumberFormat="1" applyFont="1" applyBorder="1"/>
    <xf numFmtId="1" fontId="12" fillId="0" borderId="1" xfId="0" applyNumberFormat="1" applyFont="1" applyBorder="1" applyAlignment="1">
      <alignment horizontal="center"/>
    </xf>
    <xf numFmtId="49" fontId="12" fillId="0" borderId="1" xfId="0" applyNumberFormat="1" applyFont="1" applyBorder="1" applyAlignment="1">
      <alignment horizontal="right"/>
    </xf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1" xfId="0" applyFill="1" applyBorder="1"/>
    <xf numFmtId="167" fontId="12" fillId="0" borderId="1" xfId="0" applyNumberFormat="1" applyFont="1" applyFill="1" applyBorder="1"/>
    <xf numFmtId="1" fontId="12" fillId="0" borderId="1" xfId="0" applyNumberFormat="1" applyFont="1" applyFill="1" applyBorder="1"/>
    <xf numFmtId="0" fontId="0" fillId="0" borderId="4" xfId="0" applyBorder="1"/>
    <xf numFmtId="0" fontId="0" fillId="0" borderId="6" xfId="0" applyFill="1" applyBorder="1" applyAlignment="1">
      <alignment horizontal="left" indent="3"/>
    </xf>
    <xf numFmtId="0" fontId="0" fillId="0" borderId="6" xfId="0" applyFill="1" applyBorder="1"/>
    <xf numFmtId="165" fontId="12" fillId="0" borderId="6" xfId="0" applyNumberFormat="1" applyFont="1" applyFill="1" applyBorder="1"/>
    <xf numFmtId="0" fontId="3" fillId="0" borderId="15" xfId="0" applyFont="1" applyBorder="1"/>
    <xf numFmtId="0" fontId="0" fillId="0" borderId="15" xfId="0" applyBorder="1"/>
    <xf numFmtId="0" fontId="0" fillId="0" borderId="16" xfId="0" applyFill="1" applyBorder="1" applyAlignment="1">
      <alignment horizontal="left" indent="1"/>
    </xf>
    <xf numFmtId="0" fontId="0" fillId="0" borderId="17" xfId="0" applyFill="1" applyBorder="1"/>
    <xf numFmtId="167" fontId="12" fillId="0" borderId="17" xfId="0" applyNumberFormat="1" applyFont="1" applyFill="1" applyBorder="1"/>
    <xf numFmtId="0" fontId="0" fillId="0" borderId="18" xfId="0" applyFill="1" applyBorder="1" applyAlignment="1">
      <alignment horizontal="left" indent="1"/>
    </xf>
    <xf numFmtId="0" fontId="0" fillId="0" borderId="19" xfId="0" applyFill="1" applyBorder="1"/>
    <xf numFmtId="0" fontId="0" fillId="0" borderId="18" xfId="0" applyFill="1" applyBorder="1" applyAlignment="1">
      <alignment horizontal="left" indent="3"/>
    </xf>
    <xf numFmtId="0" fontId="0" fillId="0" borderId="20" xfId="0" applyFill="1" applyBorder="1" applyAlignment="1">
      <alignment horizontal="left" indent="1"/>
    </xf>
    <xf numFmtId="0" fontId="0" fillId="0" borderId="5" xfId="0" applyFill="1" applyBorder="1"/>
    <xf numFmtId="165" fontId="12" fillId="0" borderId="5" xfId="0" applyNumberFormat="1" applyFont="1" applyFill="1" applyBorder="1"/>
    <xf numFmtId="0" fontId="0" fillId="0" borderId="21" xfId="0" applyFill="1" applyBorder="1"/>
    <xf numFmtId="0" fontId="0" fillId="0" borderId="1" xfId="0" applyBorder="1" applyAlignment="1">
      <alignment horizontal="center"/>
    </xf>
    <xf numFmtId="1" fontId="13" fillId="4" borderId="1" xfId="0" applyNumberFormat="1" applyFont="1" applyFill="1" applyBorder="1"/>
    <xf numFmtId="0" fontId="0" fillId="0" borderId="1" xfId="0" applyFont="1" applyBorder="1" applyAlignment="1">
      <alignment horizontal="left" indent="1"/>
    </xf>
    <xf numFmtId="0" fontId="0" fillId="0" borderId="1" xfId="0" applyFont="1" applyBorder="1" applyAlignment="1">
      <alignment horizontal="left" indent="2"/>
    </xf>
    <xf numFmtId="0" fontId="18" fillId="0" borderId="1" xfId="0" applyFont="1" applyBorder="1"/>
    <xf numFmtId="0" fontId="19" fillId="0" borderId="1" xfId="0" applyFont="1" applyBorder="1"/>
    <xf numFmtId="0" fontId="19" fillId="0" borderId="15" xfId="0" applyFont="1" applyBorder="1"/>
    <xf numFmtId="2" fontId="12" fillId="0" borderId="15" xfId="0" applyNumberFormat="1" applyFont="1" applyBorder="1"/>
    <xf numFmtId="0" fontId="12" fillId="0" borderId="0" xfId="0" applyFont="1"/>
    <xf numFmtId="167" fontId="12" fillId="0" borderId="0" xfId="0" applyNumberFormat="1" applyFont="1"/>
    <xf numFmtId="1" fontId="12" fillId="0" borderId="0" xfId="0" applyNumberFormat="1" applyFont="1"/>
    <xf numFmtId="164" fontId="12" fillId="0" borderId="0" xfId="0" applyNumberFormat="1" applyFont="1"/>
    <xf numFmtId="167" fontId="12" fillId="0" borderId="0" xfId="1" applyNumberFormat="1" applyFont="1"/>
    <xf numFmtId="2" fontId="12" fillId="0" borderId="0" xfId="0" applyNumberFormat="1" applyFont="1"/>
    <xf numFmtId="164" fontId="3" fillId="0" borderId="0" xfId="0" applyNumberFormat="1" applyFont="1"/>
    <xf numFmtId="164" fontId="12" fillId="4" borderId="1" xfId="0" applyNumberFormat="1" applyFont="1" applyFill="1" applyBorder="1"/>
    <xf numFmtId="167" fontId="3" fillId="0" borderId="1" xfId="1" applyNumberFormat="1" applyFont="1" applyBorder="1"/>
    <xf numFmtId="1" fontId="12" fillId="4" borderId="1" xfId="0" applyNumberFormat="1" applyFont="1" applyFill="1" applyBorder="1"/>
    <xf numFmtId="0" fontId="0" fillId="0" borderId="1" xfId="0" applyBorder="1" applyAlignment="1">
      <alignment horizontal="left"/>
    </xf>
    <xf numFmtId="43" fontId="12" fillId="4" borderId="1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Border="1"/>
    <xf numFmtId="46" fontId="0" fillId="0" borderId="0" xfId="0" applyNumberFormat="1" applyBorder="1"/>
    <xf numFmtId="2" fontId="2" fillId="0" borderId="1" xfId="0" applyNumberFormat="1" applyFont="1" applyBorder="1"/>
    <xf numFmtId="165" fontId="2" fillId="0" borderId="1" xfId="0" applyNumberFormat="1" applyFont="1" applyBorder="1"/>
    <xf numFmtId="0" fontId="3" fillId="0" borderId="0" xfId="0" applyFont="1" applyBorder="1" applyAlignment="1">
      <alignment horizontal="left" indent="1"/>
    </xf>
    <xf numFmtId="0" fontId="0" fillId="0" borderId="4" xfId="0" applyBorder="1" applyAlignment="1">
      <alignment horizontal="left" indent="1"/>
    </xf>
    <xf numFmtId="0" fontId="3" fillId="0" borderId="4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1" fontId="2" fillId="0" borderId="1" xfId="0" applyNumberFormat="1" applyFont="1" applyBorder="1"/>
    <xf numFmtId="0" fontId="2" fillId="0" borderId="1" xfId="0" applyFont="1" applyBorder="1"/>
    <xf numFmtId="0" fontId="3" fillId="4" borderId="1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left" indent="1"/>
    </xf>
    <xf numFmtId="0" fontId="0" fillId="4" borderId="0" xfId="0" applyFill="1" applyBorder="1"/>
    <xf numFmtId="165" fontId="12" fillId="4" borderId="0" xfId="0" applyNumberFormat="1" applyFont="1" applyFill="1" applyBorder="1"/>
    <xf numFmtId="0" fontId="0" fillId="4" borderId="1" xfId="0" applyFill="1" applyBorder="1" applyAlignment="1">
      <alignment horizontal="center"/>
    </xf>
    <xf numFmtId="0" fontId="0" fillId="0" borderId="2" xfId="0" applyBorder="1"/>
    <xf numFmtId="165" fontId="12" fillId="4" borderId="1" xfId="0" applyNumberFormat="1" applyFont="1" applyFill="1" applyBorder="1"/>
    <xf numFmtId="0" fontId="3" fillId="4" borderId="0" xfId="0" applyFont="1" applyFill="1" applyBorder="1"/>
    <xf numFmtId="2" fontId="3" fillId="4" borderId="1" xfId="0" applyNumberFormat="1" applyFont="1" applyFill="1" applyBorder="1"/>
    <xf numFmtId="1" fontId="3" fillId="4" borderId="1" xfId="0" applyNumberFormat="1" applyFont="1" applyFill="1" applyBorder="1"/>
    <xf numFmtId="0" fontId="3" fillId="4" borderId="0" xfId="0" applyFont="1" applyFill="1"/>
    <xf numFmtId="0" fontId="0" fillId="4" borderId="4" xfId="0" applyFill="1" applyBorder="1" applyAlignment="1">
      <alignment horizontal="left" indent="1"/>
    </xf>
    <xf numFmtId="165" fontId="2" fillId="4" borderId="1" xfId="0" applyNumberFormat="1" applyFont="1" applyFill="1" applyBorder="1"/>
    <xf numFmtId="0" fontId="0" fillId="0" borderId="6" xfId="0" applyBorder="1"/>
    <xf numFmtId="0" fontId="0" fillId="4" borderId="6" xfId="0" applyFill="1" applyBorder="1"/>
    <xf numFmtId="0" fontId="0" fillId="4" borderId="18" xfId="0" applyFill="1" applyBorder="1"/>
    <xf numFmtId="0" fontId="0" fillId="0" borderId="19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2" fillId="4" borderId="1" xfId="0" applyFont="1" applyFill="1" applyBorder="1"/>
    <xf numFmtId="1" fontId="2" fillId="4" borderId="1" xfId="0" applyNumberFormat="1" applyFont="1" applyFill="1" applyBorder="1"/>
    <xf numFmtId="2" fontId="2" fillId="4" borderId="1" xfId="0" applyNumberFormat="1" applyFont="1" applyFill="1" applyBorder="1"/>
    <xf numFmtId="1" fontId="2" fillId="4" borderId="5" xfId="0" applyNumberFormat="1" applyFont="1" applyFill="1" applyBorder="1"/>
    <xf numFmtId="1" fontId="2" fillId="0" borderId="5" xfId="0" applyNumberFormat="1" applyFont="1" applyBorder="1"/>
    <xf numFmtId="0" fontId="0" fillId="4" borderId="0" xfId="0" applyFill="1" applyAlignment="1">
      <alignment horizontal="left" indent="1"/>
    </xf>
    <xf numFmtId="0" fontId="0" fillId="0" borderId="15" xfId="0" applyBorder="1" applyAlignment="1">
      <alignment horizontal="center"/>
    </xf>
    <xf numFmtId="0" fontId="0" fillId="0" borderId="5" xfId="0" applyBorder="1"/>
    <xf numFmtId="165" fontId="12" fillId="0" borderId="5" xfId="0" applyNumberFormat="1" applyFont="1" applyBorder="1"/>
    <xf numFmtId="0" fontId="5" fillId="0" borderId="5" xfId="0" applyFont="1" applyBorder="1"/>
    <xf numFmtId="0" fontId="17" fillId="0" borderId="5" xfId="0" applyFont="1" applyBorder="1"/>
    <xf numFmtId="0" fontId="5" fillId="0" borderId="15" xfId="0" applyFont="1" applyBorder="1"/>
    <xf numFmtId="0" fontId="17" fillId="0" borderId="15" xfId="0" applyFont="1" applyBorder="1"/>
    <xf numFmtId="0" fontId="0" fillId="4" borderId="5" xfId="0" applyFill="1" applyBorder="1" applyAlignment="1">
      <alignment horizontal="left" indent="2"/>
    </xf>
    <xf numFmtId="0" fontId="0" fillId="4" borderId="5" xfId="0" applyFill="1" applyBorder="1"/>
    <xf numFmtId="1" fontId="12" fillId="4" borderId="5" xfId="0" applyNumberFormat="1" applyFont="1" applyFill="1" applyBorder="1"/>
    <xf numFmtId="0" fontId="0" fillId="0" borderId="1" xfId="0" applyFont="1" applyBorder="1"/>
    <xf numFmtId="0" fontId="0" fillId="0" borderId="1" xfId="0" applyFill="1" applyBorder="1" applyAlignment="1">
      <alignment horizontal="left" indent="2"/>
    </xf>
    <xf numFmtId="9" fontId="3" fillId="0" borderId="1" xfId="2" applyFont="1" applyFill="1" applyBorder="1"/>
    <xf numFmtId="170" fontId="12" fillId="0" borderId="1" xfId="0" applyNumberFormat="1" applyFont="1" applyFill="1" applyBorder="1"/>
    <xf numFmtId="167" fontId="12" fillId="0" borderId="1" xfId="0" applyNumberFormat="1" applyFont="1" applyBorder="1"/>
    <xf numFmtId="167" fontId="12" fillId="4" borderId="1" xfId="0" applyNumberFormat="1" applyFont="1" applyFill="1" applyBorder="1"/>
    <xf numFmtId="2" fontId="3" fillId="0" borderId="1" xfId="0" applyNumberFormat="1" applyFont="1" applyBorder="1"/>
    <xf numFmtId="0" fontId="0" fillId="0" borderId="5" xfId="0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0" borderId="2" xfId="0" applyFont="1" applyBorder="1" applyAlignment="1">
      <alignment horizontal="left" wrapText="1"/>
    </xf>
    <xf numFmtId="0" fontId="0" fillId="0" borderId="3" xfId="0" applyFont="1" applyBorder="1" applyAlignment="1">
      <alignment horizontal="left" wrapText="1"/>
    </xf>
    <xf numFmtId="0" fontId="0" fillId="0" borderId="4" xfId="0" applyFont="1" applyBorder="1" applyAlignment="1">
      <alignment horizontal="left" wrapText="1"/>
    </xf>
    <xf numFmtId="169" fontId="15" fillId="0" borderId="1" xfId="0" applyNumberFormat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9" fillId="0" borderId="5" xfId="0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8" fillId="0" borderId="3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0" borderId="3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37</xdr:row>
      <xdr:rowOff>25400</xdr:rowOff>
    </xdr:from>
    <xdr:to>
      <xdr:col>5</xdr:col>
      <xdr:colOff>63500</xdr:colOff>
      <xdr:row>84</xdr:row>
      <xdr:rowOff>47579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E166C2-EF97-C34E-B6E2-5AE25A198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11800"/>
          <a:ext cx="7772400" cy="957258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37</xdr:row>
      <xdr:rowOff>76200</xdr:rowOff>
    </xdr:from>
    <xdr:to>
      <xdr:col>14</xdr:col>
      <xdr:colOff>723900</xdr:colOff>
      <xdr:row>81</xdr:row>
      <xdr:rowOff>29358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563163-4980-B640-8290-1AA89C4E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1900" y="5562600"/>
          <a:ext cx="7772400" cy="8893958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88</xdr:row>
      <xdr:rowOff>114300</xdr:rowOff>
    </xdr:from>
    <xdr:to>
      <xdr:col>7</xdr:col>
      <xdr:colOff>762000</xdr:colOff>
      <xdr:row>109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250D1D-15E8-2C41-AAD7-98B036A2A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00" y="16370300"/>
          <a:ext cx="9842500" cy="4191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0</xdr:row>
      <xdr:rowOff>0</xdr:rowOff>
    </xdr:from>
    <xdr:to>
      <xdr:col>26</xdr:col>
      <xdr:colOff>266700</xdr:colOff>
      <xdr:row>29</xdr:row>
      <xdr:rowOff>117880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E0CAEE-1B23-384A-9CE5-AF43CD3C4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14700" y="0"/>
          <a:ext cx="10058400" cy="5878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958980</xdr:colOff>
      <xdr:row>24</xdr:row>
      <xdr:rowOff>103673</xdr:rowOff>
    </xdr:from>
    <xdr:to>
      <xdr:col>8</xdr:col>
      <xdr:colOff>183502</xdr:colOff>
      <xdr:row>43</xdr:row>
      <xdr:rowOff>94116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A8CF38-27FF-3F4F-A2E1-46C09235C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980" y="5080000"/>
          <a:ext cx="10058400" cy="39300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cnc1.lv/en/stepper-motors/48-nema-23-stepper-motor-23hs9430-with-280-nm.html" TargetMode="External"/><Relationship Id="rId2" Type="http://schemas.openxmlformats.org/officeDocument/2006/relationships/hyperlink" Target="https://hardware-cnc.nl/en/shop/stappenmotoren/stepper-motor-34/stepper-motor-nema-34-4,5nm-detail" TargetMode="External"/><Relationship Id="rId1" Type="http://schemas.openxmlformats.org/officeDocument/2006/relationships/hyperlink" Target="https://szbobet.en.alibaba.com/product/60516551996-803622807/BM_Brand_High_precision_4_Axis_8_5Nm_1204oz_in_Nema_34_Stepper_Motor_with_braker_Driver_Kit_For_CNC_Router.html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ciencedirect.com/topics/medicine-and-dentistry/airway-pressure" TargetMode="External"/><Relationship Id="rId2" Type="http://schemas.openxmlformats.org/officeDocument/2006/relationships/hyperlink" Target="https://www.sciencedirect.com/topics/medicine-and-dentistry/mean-airway-pressure" TargetMode="External"/><Relationship Id="rId1" Type="http://schemas.openxmlformats.org/officeDocument/2006/relationships/hyperlink" Target="https://en.wikipedia.org/wiki/Mechanical_ventilat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8"/>
  <sheetViews>
    <sheetView tabSelected="1" topLeftCell="A49" zoomScale="121" zoomScaleNormal="100" workbookViewId="0">
      <selection activeCell="C64" sqref="C64"/>
    </sheetView>
  </sheetViews>
  <sheetFormatPr baseColWidth="10" defaultColWidth="10.83203125" defaultRowHeight="16"/>
  <cols>
    <col min="1" max="1" width="85.33203125" style="2" customWidth="1"/>
    <col min="2" max="2" width="24.33203125" style="2" customWidth="1"/>
    <col min="3" max="3" width="15.1640625" style="5" customWidth="1"/>
    <col min="4" max="4" width="20.5" style="2" customWidth="1"/>
    <col min="5" max="5" width="79.83203125" style="2" customWidth="1"/>
    <col min="6" max="6" width="18.83203125" style="2" customWidth="1"/>
    <col min="7" max="9" width="10.83203125" style="2"/>
    <col min="10" max="10" width="12.1640625" style="2" bestFit="1" customWidth="1"/>
    <col min="11" max="16384" width="10.83203125" style="2"/>
  </cols>
  <sheetData>
    <row r="1" spans="1:6">
      <c r="A1" s="5" t="s">
        <v>103</v>
      </c>
      <c r="B1" s="5"/>
      <c r="D1" s="5"/>
      <c r="E1" s="5"/>
      <c r="F1" s="5"/>
    </row>
    <row r="2" spans="1:6">
      <c r="A2" s="31" t="s">
        <v>60</v>
      </c>
    </row>
    <row r="3" spans="1:6">
      <c r="A3" s="31" t="s">
        <v>249</v>
      </c>
      <c r="B3" s="31"/>
      <c r="C3" s="49"/>
      <c r="D3" s="31"/>
    </row>
    <row r="4" spans="1:6">
      <c r="A4" s="31" t="s">
        <v>61</v>
      </c>
      <c r="B4" s="31"/>
      <c r="C4" s="49"/>
      <c r="D4" s="31"/>
      <c r="E4" s="31"/>
      <c r="F4" s="31"/>
    </row>
    <row r="5" spans="1:6" ht="17" thickBot="1">
      <c r="A5" s="142"/>
      <c r="B5" s="142"/>
      <c r="C5" s="143"/>
      <c r="D5" s="142"/>
      <c r="E5" s="142"/>
      <c r="F5" s="31"/>
    </row>
    <row r="6" spans="1:6">
      <c r="A6" s="70" t="s">
        <v>58</v>
      </c>
      <c r="B6" s="71"/>
      <c r="C6" s="70"/>
      <c r="D6" s="71"/>
      <c r="E6" s="71" t="s">
        <v>165</v>
      </c>
    </row>
    <row r="7" spans="1:6">
      <c r="A7" s="4" t="s">
        <v>50</v>
      </c>
      <c r="C7" s="2"/>
    </row>
    <row r="8" spans="1:6">
      <c r="A8" s="7" t="s">
        <v>255</v>
      </c>
      <c r="B8" s="2" t="s">
        <v>51</v>
      </c>
      <c r="C8" s="5">
        <v>35</v>
      </c>
      <c r="D8" s="2" t="s">
        <v>52</v>
      </c>
    </row>
    <row r="9" spans="1:6">
      <c r="A9" s="7" t="s">
        <v>256</v>
      </c>
      <c r="B9" s="2" t="s">
        <v>257</v>
      </c>
      <c r="C9" s="5">
        <v>30</v>
      </c>
      <c r="D9" s="2" t="s">
        <v>52</v>
      </c>
    </row>
    <row r="10" spans="1:6">
      <c r="A10" s="4" t="s">
        <v>231</v>
      </c>
      <c r="B10" s="2" t="s">
        <v>55</v>
      </c>
      <c r="C10" s="5">
        <v>25</v>
      </c>
      <c r="D10" s="2" t="s">
        <v>54</v>
      </c>
    </row>
    <row r="11" spans="1:6">
      <c r="A11" s="4" t="s">
        <v>146</v>
      </c>
      <c r="B11" s="2" t="s">
        <v>147</v>
      </c>
      <c r="C11" s="155">
        <f>60/Resprate</f>
        <v>1.7142857142857142</v>
      </c>
    </row>
    <row r="12" spans="1:6">
      <c r="A12" s="4" t="s">
        <v>209</v>
      </c>
      <c r="B12" s="2" t="s">
        <v>210</v>
      </c>
      <c r="C12" s="60" t="s">
        <v>211</v>
      </c>
    </row>
    <row r="13" spans="1:6">
      <c r="A13" s="4" t="s">
        <v>212</v>
      </c>
      <c r="B13" s="2" t="s">
        <v>213</v>
      </c>
      <c r="C13" s="25">
        <v>1</v>
      </c>
      <c r="D13" s="2" t="s">
        <v>214</v>
      </c>
    </row>
    <row r="14" spans="1:6">
      <c r="A14" s="4" t="s">
        <v>215</v>
      </c>
      <c r="B14" s="2" t="s">
        <v>216</v>
      </c>
      <c r="C14" s="25">
        <v>4</v>
      </c>
      <c r="D14" s="2" t="s">
        <v>214</v>
      </c>
    </row>
    <row r="15" spans="1:6">
      <c r="A15" s="4" t="s">
        <v>217</v>
      </c>
      <c r="B15" s="2" t="s">
        <v>226</v>
      </c>
      <c r="C15" s="25">
        <f>expr+insp</f>
        <v>5</v>
      </c>
      <c r="D15" s="2" t="s">
        <v>218</v>
      </c>
    </row>
    <row r="16" spans="1:6">
      <c r="A16" s="32" t="s">
        <v>219</v>
      </c>
      <c r="B16" s="33" t="s">
        <v>220</v>
      </c>
      <c r="C16" s="54">
        <f>(insp/tpb)*spb</f>
        <v>0.34285714285714286</v>
      </c>
      <c r="D16" s="2" t="s">
        <v>221</v>
      </c>
    </row>
    <row r="17" spans="1:5">
      <c r="A17" s="4" t="s">
        <v>222</v>
      </c>
      <c r="B17" s="2" t="s">
        <v>223</v>
      </c>
      <c r="C17" s="57">
        <f>(expr/tpb)*spb</f>
        <v>1.3714285714285714</v>
      </c>
      <c r="D17" s="2" t="s">
        <v>221</v>
      </c>
    </row>
    <row r="18" spans="1:5">
      <c r="A18" s="4" t="s">
        <v>224</v>
      </c>
      <c r="B18" s="2" t="s">
        <v>148</v>
      </c>
      <c r="C18" s="25">
        <v>0.1</v>
      </c>
      <c r="D18" s="2" t="s">
        <v>225</v>
      </c>
    </row>
    <row r="19" spans="1:5">
      <c r="A19" s="4" t="s">
        <v>149</v>
      </c>
      <c r="B19" s="2" t="s">
        <v>150</v>
      </c>
      <c r="C19" s="57">
        <f>pcr*tinsp</f>
        <v>3.4285714285714287E-2</v>
      </c>
      <c r="D19" s="2" t="s">
        <v>221</v>
      </c>
    </row>
    <row r="20" spans="1:5">
      <c r="A20" s="4" t="s">
        <v>228</v>
      </c>
      <c r="B20" s="2" t="s">
        <v>56</v>
      </c>
      <c r="C20" s="57">
        <f>Arcfing*60/(360*tinsp)</f>
        <v>12.152777777777777</v>
      </c>
      <c r="D20" s="2" t="s">
        <v>48</v>
      </c>
    </row>
    <row r="21" spans="1:5">
      <c r="A21" s="4" t="s">
        <v>340</v>
      </c>
      <c r="B21" s="2" t="s">
        <v>53</v>
      </c>
      <c r="C21" s="57">
        <f>trpf</f>
        <v>2.9999999999999996</v>
      </c>
    </row>
    <row r="22" spans="1:5">
      <c r="A22" s="4" t="s">
        <v>227</v>
      </c>
      <c r="B22" s="2" t="s">
        <v>57</v>
      </c>
      <c r="C22" s="57">
        <f>trpf*Rpmfing</f>
        <v>36.458333333333321</v>
      </c>
      <c r="D22" s="2" t="s">
        <v>48</v>
      </c>
      <c r="E22" s="2" t="s">
        <v>293</v>
      </c>
    </row>
    <row r="23" spans="1:5">
      <c r="A23" s="29" t="s">
        <v>250</v>
      </c>
    </row>
    <row r="24" spans="1:5">
      <c r="A24" s="4" t="s">
        <v>12</v>
      </c>
      <c r="B24" s="2" t="s">
        <v>13</v>
      </c>
      <c r="C24" s="5">
        <v>50</v>
      </c>
      <c r="D24" s="2" t="s">
        <v>120</v>
      </c>
    </row>
    <row r="25" spans="1:5">
      <c r="A25" s="4"/>
      <c r="C25" s="25">
        <f>pap*1.3</f>
        <v>65</v>
      </c>
      <c r="D25" s="2" t="s">
        <v>106</v>
      </c>
    </row>
    <row r="26" spans="1:5">
      <c r="A26" s="4" t="s">
        <v>14</v>
      </c>
      <c r="B26" s="2" t="s">
        <v>15</v>
      </c>
      <c r="C26" s="5">
        <v>0.9</v>
      </c>
    </row>
    <row r="27" spans="1:5">
      <c r="A27" s="4" t="s">
        <v>16</v>
      </c>
      <c r="B27" s="2" t="s">
        <v>17</v>
      </c>
      <c r="C27" s="50">
        <f>pap/papeta</f>
        <v>55.555555555555557</v>
      </c>
      <c r="D27" s="2" t="s">
        <v>120</v>
      </c>
    </row>
    <row r="28" spans="1:5">
      <c r="A28" s="4"/>
      <c r="C28" s="58">
        <f>pbagmm/760</f>
        <v>7.3099415204678359E-2</v>
      </c>
      <c r="D28" s="2" t="s">
        <v>6</v>
      </c>
    </row>
    <row r="29" spans="1:5">
      <c r="A29" s="4"/>
      <c r="C29" s="58">
        <f>14.7*C28</f>
        <v>1.0745614035087718</v>
      </c>
      <c r="D29" s="2" t="s">
        <v>7</v>
      </c>
    </row>
    <row r="30" spans="1:5">
      <c r="A30" s="32"/>
      <c r="B30" s="33"/>
      <c r="C30" s="97">
        <f>C29*4.45/25.4^2</f>
        <v>7.4118021043059635E-3</v>
      </c>
      <c r="D30" s="2" t="s">
        <v>8</v>
      </c>
    </row>
    <row r="31" spans="1:5">
      <c r="A31" s="4"/>
      <c r="B31" s="2" t="s">
        <v>106</v>
      </c>
      <c r="C31" s="50">
        <f>pbagmm*1.3</f>
        <v>72.222222222222229</v>
      </c>
      <c r="D31" s="2" t="s">
        <v>106</v>
      </c>
    </row>
    <row r="32" spans="1:5">
      <c r="A32" s="4" t="s">
        <v>18</v>
      </c>
      <c r="B32" s="2" t="s">
        <v>19</v>
      </c>
      <c r="C32" s="5">
        <v>125</v>
      </c>
      <c r="D32" s="2" t="s">
        <v>37</v>
      </c>
    </row>
    <row r="33" spans="1:10">
      <c r="A33" s="4"/>
      <c r="B33" s="2" t="s">
        <v>20</v>
      </c>
      <c r="C33" s="5">
        <v>125</v>
      </c>
      <c r="D33" s="2" t="s">
        <v>37</v>
      </c>
    </row>
    <row r="34" spans="1:10">
      <c r="A34" s="4"/>
      <c r="B34" s="2" t="s">
        <v>21</v>
      </c>
      <c r="C34" s="25">
        <f>Lbag*Dbag</f>
        <v>15625</v>
      </c>
      <c r="D34" s="2" t="s">
        <v>43</v>
      </c>
    </row>
    <row r="35" spans="1:10">
      <c r="A35" s="4" t="s">
        <v>22</v>
      </c>
      <c r="B35" s="2" t="s">
        <v>25</v>
      </c>
      <c r="C35" s="50">
        <f>Areabag*C30</f>
        <v>115.80940787978068</v>
      </c>
      <c r="D35" s="2" t="s">
        <v>24</v>
      </c>
    </row>
    <row r="36" spans="1:10" ht="17" thickBot="1">
      <c r="A36" s="140"/>
      <c r="B36" s="140"/>
      <c r="C36" s="141">
        <f>C35/4.45</f>
        <v>26.024586040400152</v>
      </c>
      <c r="D36" s="140" t="s">
        <v>23</v>
      </c>
      <c r="E36" s="156" t="s">
        <v>125</v>
      </c>
      <c r="F36" s="156"/>
      <c r="G36" s="156"/>
      <c r="H36" s="156"/>
      <c r="I36" s="156"/>
      <c r="J36" s="156"/>
    </row>
    <row r="37" spans="1:10">
      <c r="A37" s="70" t="s">
        <v>252</v>
      </c>
      <c r="B37" s="71"/>
      <c r="C37" s="71"/>
      <c r="D37" s="71"/>
      <c r="E37" s="139"/>
      <c r="F37" s="139"/>
      <c r="G37" s="139"/>
      <c r="H37" s="139"/>
      <c r="I37" s="139"/>
      <c r="J37" s="139"/>
    </row>
    <row r="38" spans="1:10">
      <c r="A38" s="6" t="s">
        <v>254</v>
      </c>
      <c r="C38" s="2"/>
      <c r="E38" s="62"/>
      <c r="F38" s="82"/>
      <c r="G38" s="62"/>
      <c r="H38" s="62"/>
      <c r="I38" s="62"/>
      <c r="J38" s="62"/>
    </row>
    <row r="39" spans="1:10">
      <c r="A39" s="85" t="s">
        <v>263</v>
      </c>
      <c r="B39" s="2" t="s">
        <v>258</v>
      </c>
      <c r="C39" s="98">
        <f>24*60*resprateavg</f>
        <v>43200</v>
      </c>
      <c r="E39" s="62"/>
      <c r="F39" s="82"/>
      <c r="G39" s="62"/>
      <c r="H39" s="62"/>
      <c r="I39" s="62"/>
      <c r="J39" s="62"/>
    </row>
    <row r="40" spans="1:10">
      <c r="A40" s="7" t="s">
        <v>259</v>
      </c>
      <c r="B40" s="2" t="s">
        <v>260</v>
      </c>
      <c r="C40" s="5">
        <v>180</v>
      </c>
      <c r="E40" s="62"/>
      <c r="F40" s="82"/>
      <c r="G40" s="62"/>
      <c r="H40" s="62"/>
      <c r="I40" s="62"/>
      <c r="J40" s="62"/>
    </row>
    <row r="41" spans="1:10">
      <c r="A41" s="85" t="s">
        <v>261</v>
      </c>
      <c r="B41" s="2" t="s">
        <v>262</v>
      </c>
      <c r="C41" s="55">
        <f>Dolm*bpdavg</f>
        <v>7776000</v>
      </c>
      <c r="E41" s="62"/>
      <c r="F41" s="82"/>
      <c r="G41" s="62"/>
      <c r="H41" s="62"/>
      <c r="I41" s="62"/>
      <c r="J41" s="62"/>
    </row>
    <row r="42" spans="1:10">
      <c r="A42" s="6" t="s">
        <v>264</v>
      </c>
      <c r="C42" s="2"/>
      <c r="E42" s="62"/>
      <c r="F42" s="82"/>
      <c r="G42" s="62"/>
      <c r="H42" s="62"/>
      <c r="I42" s="62"/>
      <c r="J42" s="62"/>
    </row>
    <row r="43" spans="1:10">
      <c r="A43" s="7" t="s">
        <v>251</v>
      </c>
      <c r="B43" s="2" t="s">
        <v>243</v>
      </c>
      <c r="C43" s="50">
        <f>Dbag/2/tinsp</f>
        <v>182.29166666666666</v>
      </c>
      <c r="D43" s="2" t="s">
        <v>244</v>
      </c>
      <c r="E43" s="100" t="s">
        <v>295</v>
      </c>
      <c r="F43" s="100"/>
      <c r="G43" s="62"/>
      <c r="H43" s="62"/>
      <c r="I43" s="62"/>
      <c r="J43" s="62"/>
    </row>
    <row r="44" spans="1:10">
      <c r="A44" s="7" t="s">
        <v>240</v>
      </c>
      <c r="B44" s="2" t="s">
        <v>241</v>
      </c>
      <c r="C44" s="50">
        <f>2*Fbag*Vrbagsides/1000</f>
        <v>42.222179956170038</v>
      </c>
      <c r="D44" s="2" t="s">
        <v>242</v>
      </c>
      <c r="E44" s="100" t="s">
        <v>294</v>
      </c>
      <c r="F44" s="100"/>
      <c r="G44" s="35"/>
      <c r="H44" s="35"/>
      <c r="I44" s="35"/>
      <c r="J44" s="35"/>
    </row>
    <row r="45" spans="1:10">
      <c r="A45" s="7" t="s">
        <v>245</v>
      </c>
      <c r="B45" s="2" t="s">
        <v>246</v>
      </c>
      <c r="C45" s="5">
        <v>0.8</v>
      </c>
    </row>
    <row r="46" spans="1:10">
      <c r="A46" s="7" t="s">
        <v>253</v>
      </c>
      <c r="B46" s="2" t="s">
        <v>247</v>
      </c>
      <c r="C46" s="5">
        <v>1</v>
      </c>
    </row>
    <row r="47" spans="1:10" ht="17" thickBot="1">
      <c r="A47" s="146" t="s">
        <v>329</v>
      </c>
      <c r="B47" s="147" t="s">
        <v>248</v>
      </c>
      <c r="C47" s="148">
        <f>Pbaginhale/etamech*ovszf</f>
        <v>52.777724945212547</v>
      </c>
      <c r="D47" s="140" t="s">
        <v>242</v>
      </c>
      <c r="E47" s="140"/>
    </row>
    <row r="48" spans="1:10">
      <c r="A48" s="144"/>
      <c r="B48" s="144"/>
      <c r="C48" s="145"/>
      <c r="D48" s="144"/>
      <c r="E48" s="144"/>
      <c r="F48" s="31"/>
    </row>
    <row r="49" spans="1:7" ht="23" customHeight="1">
      <c r="A49" s="86" t="s">
        <v>292</v>
      </c>
      <c r="B49" s="31"/>
      <c r="C49" s="49"/>
      <c r="D49" s="31"/>
      <c r="E49" s="31"/>
      <c r="F49" s="31"/>
      <c r="G49" s="2">
        <v>2</v>
      </c>
    </row>
    <row r="50" spans="1:7" s="149" customFormat="1" ht="33" customHeight="1">
      <c r="A50" s="160" t="s">
        <v>299</v>
      </c>
      <c r="B50" s="161"/>
      <c r="C50" s="162"/>
    </row>
    <row r="51" spans="1:7" s="149" customFormat="1">
      <c r="A51" s="84" t="s">
        <v>298</v>
      </c>
      <c r="B51" s="149" t="s">
        <v>300</v>
      </c>
      <c r="C51" s="5">
        <v>180</v>
      </c>
    </row>
    <row r="52" spans="1:7">
      <c r="A52" s="4" t="s">
        <v>1</v>
      </c>
      <c r="B52" s="2" t="s">
        <v>0</v>
      </c>
      <c r="C52" s="5">
        <f>5.5*25.4</f>
        <v>139.69999999999999</v>
      </c>
      <c r="D52" s="2" t="s">
        <v>37</v>
      </c>
      <c r="G52" s="2" t="e">
        <f>0.5*(G49-#REF!)/SIN(#REF!*PI()/180)</f>
        <v>#REF!</v>
      </c>
    </row>
    <row r="53" spans="1:7">
      <c r="A53" s="4"/>
      <c r="C53" s="25">
        <f>R_1/25.4</f>
        <v>5.5</v>
      </c>
      <c r="D53" s="2" t="s">
        <v>59</v>
      </c>
    </row>
    <row r="54" spans="1:7">
      <c r="A54" s="4" t="s">
        <v>2</v>
      </c>
      <c r="B54" s="2" t="s">
        <v>3</v>
      </c>
      <c r="C54" s="5">
        <f>1.5*25.4</f>
        <v>38.099999999999994</v>
      </c>
      <c r="D54" s="2" t="s">
        <v>37</v>
      </c>
    </row>
    <row r="55" spans="1:7">
      <c r="A55" s="4"/>
      <c r="C55" s="25">
        <f>R_2/25.4</f>
        <v>1.4999999999999998</v>
      </c>
      <c r="D55" s="2" t="s">
        <v>59</v>
      </c>
    </row>
    <row r="56" spans="1:7">
      <c r="A56" s="4" t="s">
        <v>30</v>
      </c>
      <c r="B56" s="2" t="s">
        <v>29</v>
      </c>
      <c r="C56" s="5">
        <f>3*25.4</f>
        <v>76.199999999999989</v>
      </c>
      <c r="D56" s="2" t="s">
        <v>37</v>
      </c>
    </row>
    <row r="57" spans="1:7">
      <c r="A57" s="7" t="s">
        <v>303</v>
      </c>
      <c r="B57" s="2" t="s">
        <v>304</v>
      </c>
      <c r="C57" s="25">
        <f>Dgear/2</f>
        <v>38.099999999999994</v>
      </c>
      <c r="D57" s="2" t="s">
        <v>37</v>
      </c>
    </row>
    <row r="58" spans="1:7">
      <c r="A58" s="7"/>
      <c r="C58" s="25">
        <f>Rgear/25.4</f>
        <v>1.4999999999999998</v>
      </c>
      <c r="D58" s="2" t="s">
        <v>59</v>
      </c>
    </row>
    <row r="59" spans="1:7">
      <c r="A59" s="4" t="s">
        <v>301</v>
      </c>
      <c r="B59" s="2" t="s">
        <v>4</v>
      </c>
      <c r="C59" s="25">
        <f>C60*25.4</f>
        <v>9.5249999999999986</v>
      </c>
      <c r="D59" s="2" t="s">
        <v>37</v>
      </c>
    </row>
    <row r="60" spans="1:7">
      <c r="A60" s="4"/>
      <c r="C60" s="5">
        <v>0.375</v>
      </c>
      <c r="D60" s="2" t="s">
        <v>59</v>
      </c>
    </row>
    <row r="61" spans="1:7">
      <c r="A61" s="4" t="s">
        <v>302</v>
      </c>
      <c r="B61" s="2" t="s">
        <v>5</v>
      </c>
      <c r="C61" s="5">
        <v>0.1</v>
      </c>
    </row>
    <row r="62" spans="1:7">
      <c r="A62" s="4" t="s">
        <v>335</v>
      </c>
      <c r="B62" s="2" t="s">
        <v>26</v>
      </c>
      <c r="C62" s="50">
        <f>Fbag</f>
        <v>115.80940787978068</v>
      </c>
      <c r="D62" s="2" t="s">
        <v>24</v>
      </c>
    </row>
    <row r="63" spans="1:7">
      <c r="A63" s="4" t="s">
        <v>336</v>
      </c>
      <c r="B63" s="2" t="s">
        <v>175</v>
      </c>
      <c r="C63" s="50">
        <f>Ffinger*R_1/R_2</f>
        <v>424.63449555919584</v>
      </c>
      <c r="D63" s="2" t="s">
        <v>24</v>
      </c>
    </row>
    <row r="64" spans="1:7">
      <c r="A64" s="4" t="s">
        <v>338</v>
      </c>
      <c r="B64" s="2" t="s">
        <v>28</v>
      </c>
      <c r="C64" s="51">
        <f>2*Ffinger*R_1/Rgear</f>
        <v>849.26899111839168</v>
      </c>
      <c r="D64" s="2" t="s">
        <v>24</v>
      </c>
      <c r="E64" s="2" t="s">
        <v>164</v>
      </c>
    </row>
    <row r="65" spans="1:6">
      <c r="A65" s="4"/>
      <c r="C65" s="51">
        <f>Fgear/4.45</f>
        <v>190.8469642962678</v>
      </c>
      <c r="D65" s="2" t="s">
        <v>195</v>
      </c>
    </row>
    <row r="66" spans="1:6">
      <c r="A66" s="4" t="s">
        <v>337</v>
      </c>
      <c r="B66" s="2" t="s">
        <v>31</v>
      </c>
      <c r="C66" s="55">
        <f>Fgear*Rgear</f>
        <v>32357.148561610717</v>
      </c>
      <c r="D66" s="2" t="s">
        <v>32</v>
      </c>
    </row>
    <row r="67" spans="1:6">
      <c r="A67" s="4"/>
      <c r="C67" s="51">
        <f>tgear/4.45/25.4</f>
        <v>286.27044644440161</v>
      </c>
      <c r="D67" s="2" t="s">
        <v>42</v>
      </c>
    </row>
    <row r="68" spans="1:6">
      <c r="A68" s="6" t="s">
        <v>339</v>
      </c>
      <c r="C68" s="51"/>
    </row>
    <row r="69" spans="1:6">
      <c r="A69" s="7" t="s">
        <v>309</v>
      </c>
      <c r="B69" s="2" t="s">
        <v>307</v>
      </c>
      <c r="C69" s="51">
        <f>-Ffinger+Fgear*COS(Thetapingear*PI()/180)</f>
        <v>-965.07839899817236</v>
      </c>
    </row>
    <row r="70" spans="1:6">
      <c r="A70" s="7" t="s">
        <v>306</v>
      </c>
      <c r="B70" s="2" t="s">
        <v>308</v>
      </c>
      <c r="C70" s="51">
        <f>Fgear*SIN(Thetapingear*PI()/180)+Fgtg</f>
        <v>424.63449555919595</v>
      </c>
    </row>
    <row r="71" spans="1:6">
      <c r="A71" s="7" t="s">
        <v>130</v>
      </c>
      <c r="B71" s="2" t="s">
        <v>27</v>
      </c>
      <c r="C71" s="51">
        <f>SQRT(Fbx^2+Fby^2)</f>
        <v>1054.3674743805825</v>
      </c>
      <c r="D71" s="2" t="s">
        <v>24</v>
      </c>
    </row>
    <row r="72" spans="1:6">
      <c r="A72" s="7" t="s">
        <v>131</v>
      </c>
      <c r="B72" s="2" t="s">
        <v>310</v>
      </c>
      <c r="C72" s="51">
        <f>Fbear/2</f>
        <v>527.18373719029125</v>
      </c>
      <c r="D72" s="2" t="s">
        <v>24</v>
      </c>
    </row>
    <row r="73" spans="1:6">
      <c r="A73" s="4"/>
      <c r="C73" s="51">
        <f>C72/4.45</f>
        <v>118.46825554838006</v>
      </c>
      <c r="D73" s="2" t="s">
        <v>132</v>
      </c>
    </row>
    <row r="74" spans="1:6">
      <c r="A74" s="4" t="s">
        <v>35</v>
      </c>
      <c r="B74" s="2" t="s">
        <v>36</v>
      </c>
      <c r="C74" s="51">
        <f>Fbear*mu*Dbear/2</f>
        <v>502.14250967375239</v>
      </c>
      <c r="D74" s="2" t="s">
        <v>32</v>
      </c>
    </row>
    <row r="75" spans="1:6">
      <c r="A75" s="4" t="s">
        <v>33</v>
      </c>
      <c r="B75" s="2" t="s">
        <v>34</v>
      </c>
      <c r="C75" s="52">
        <f>Tlsbf/C66</f>
        <v>1.5518750322440529E-2</v>
      </c>
      <c r="F75" s="2">
        <f>J89</f>
        <v>0</v>
      </c>
    </row>
    <row r="76" spans="1:6">
      <c r="A76" s="5" t="s">
        <v>38</v>
      </c>
    </row>
    <row r="77" spans="1:6">
      <c r="A77" s="32" t="s">
        <v>154</v>
      </c>
      <c r="B77" s="33" t="s">
        <v>39</v>
      </c>
      <c r="C77" s="53">
        <f>25.4*C78</f>
        <v>25.4</v>
      </c>
      <c r="D77" s="2" t="s">
        <v>37</v>
      </c>
    </row>
    <row r="78" spans="1:6">
      <c r="A78" s="4"/>
      <c r="C78" s="5">
        <v>1</v>
      </c>
      <c r="D78" s="2" t="s">
        <v>59</v>
      </c>
    </row>
    <row r="79" spans="1:6">
      <c r="A79" s="32" t="s">
        <v>145</v>
      </c>
      <c r="B79" s="33" t="s">
        <v>53</v>
      </c>
      <c r="C79" s="54">
        <f>Dgear/Dpinion</f>
        <v>2.9999999999999996</v>
      </c>
      <c r="D79" s="33"/>
    </row>
    <row r="80" spans="1:6">
      <c r="A80" s="4" t="s">
        <v>40</v>
      </c>
      <c r="B80" s="2" t="s">
        <v>41</v>
      </c>
      <c r="C80" s="55">
        <f>ABS(Fgear)*Dpinion/2</f>
        <v>10785.716187203574</v>
      </c>
      <c r="D80" s="2" t="s">
        <v>32</v>
      </c>
    </row>
    <row r="81" spans="1:13">
      <c r="C81" s="153">
        <f>tgm/4.45/25.4</f>
        <v>95.4234821481339</v>
      </c>
      <c r="D81" s="2" t="s">
        <v>42</v>
      </c>
    </row>
    <row r="82" spans="1:13">
      <c r="A82" s="32" t="s">
        <v>312</v>
      </c>
      <c r="B82" s="33" t="s">
        <v>313</v>
      </c>
      <c r="C82" s="154">
        <f>trpf*Rpmfing</f>
        <v>36.458333333333321</v>
      </c>
      <c r="D82" s="33" t="s">
        <v>48</v>
      </c>
      <c r="F82" s="126"/>
      <c r="G82" s="127"/>
      <c r="H82" s="126"/>
      <c r="I82" s="126"/>
      <c r="J82" s="126"/>
      <c r="K82" s="126"/>
      <c r="L82" s="126"/>
    </row>
    <row r="83" spans="1:13">
      <c r="A83" s="138" t="s">
        <v>330</v>
      </c>
      <c r="B83" s="33"/>
      <c r="C83" s="101"/>
      <c r="D83" s="33"/>
      <c r="E83" s="118"/>
      <c r="F83" s="103"/>
      <c r="G83" s="115"/>
      <c r="H83" s="103"/>
      <c r="I83" s="103"/>
      <c r="J83" s="103"/>
      <c r="K83" s="103"/>
      <c r="L83" s="103"/>
      <c r="M83" s="66"/>
    </row>
    <row r="84" spans="1:13">
      <c r="A84" s="150" t="s">
        <v>331</v>
      </c>
      <c r="B84" s="63" t="s">
        <v>332</v>
      </c>
      <c r="C84" s="151">
        <v>0.1</v>
      </c>
      <c r="D84" s="63"/>
      <c r="E84" s="118"/>
      <c r="F84" s="103"/>
      <c r="G84" s="115"/>
      <c r="H84" s="103"/>
      <c r="I84" s="103"/>
      <c r="J84" s="103"/>
      <c r="K84" s="103"/>
      <c r="L84" s="103"/>
      <c r="M84" s="66"/>
    </row>
    <row r="85" spans="1:13" ht="17" thickBot="1">
      <c r="A85" s="150" t="s">
        <v>333</v>
      </c>
      <c r="B85" s="63" t="s">
        <v>334</v>
      </c>
      <c r="C85" s="152" cm="1">
        <f t="array" ref="C85">gosn/(1-2*xpramp)</f>
        <v>45.57291666666665</v>
      </c>
      <c r="D85" s="63" t="s">
        <v>48</v>
      </c>
      <c r="E85" s="118"/>
      <c r="F85" s="103"/>
      <c r="G85" s="115"/>
      <c r="H85" s="103"/>
      <c r="I85" s="103"/>
      <c r="J85" s="103"/>
      <c r="K85" s="103"/>
      <c r="L85" s="103"/>
      <c r="M85" s="66"/>
    </row>
    <row r="86" spans="1:13">
      <c r="A86" s="5" t="s">
        <v>311</v>
      </c>
      <c r="C86" s="56"/>
      <c r="E86" s="118"/>
      <c r="F86" s="157" t="s">
        <v>325</v>
      </c>
      <c r="G86" s="158"/>
      <c r="H86" s="158"/>
      <c r="I86" s="158"/>
      <c r="J86" s="158"/>
      <c r="K86" s="158"/>
      <c r="L86" s="159"/>
      <c r="M86" s="66"/>
    </row>
    <row r="87" spans="1:13">
      <c r="A87" s="84" t="s">
        <v>328</v>
      </c>
      <c r="B87" s="2" t="s">
        <v>153</v>
      </c>
      <c r="C87" s="5">
        <v>1</v>
      </c>
      <c r="E87" s="118"/>
      <c r="F87" s="128" t="s">
        <v>322</v>
      </c>
      <c r="G87" s="133">
        <v>23</v>
      </c>
      <c r="H87" s="133">
        <v>34</v>
      </c>
      <c r="I87" s="112">
        <v>1</v>
      </c>
      <c r="J87" s="112">
        <v>2</v>
      </c>
      <c r="K87" s="112">
        <v>3</v>
      </c>
      <c r="L87" s="129"/>
      <c r="M87" s="66"/>
    </row>
    <row r="88" spans="1:13">
      <c r="A88" s="4" t="s">
        <v>47</v>
      </c>
      <c r="B88" s="2" t="s">
        <v>193</v>
      </c>
      <c r="C88" s="50">
        <f>IF(NMsize=23,G88,IF(NMsize=34,H88,IF(NMsize=1,I88,IF(NMsize=2,J88,K88))))</f>
        <v>22.515621031242066</v>
      </c>
      <c r="D88" s="2" t="s">
        <v>32</v>
      </c>
      <c r="E88" s="118"/>
      <c r="F88" s="130" t="s">
        <v>327</v>
      </c>
      <c r="G88" s="134">
        <f>'Motor Options'!F22</f>
        <v>1.801415625</v>
      </c>
      <c r="H88" s="125">
        <f>'Motor Options'!F27</f>
        <v>4.2033031249999997</v>
      </c>
      <c r="I88" s="111">
        <f>'Motor Options'!F7</f>
        <v>22.515621031242066</v>
      </c>
      <c r="J88" s="105">
        <f>'Motor Options'!F12</f>
        <v>15.6</v>
      </c>
      <c r="K88" s="105">
        <f>'Motor Options'!F17</f>
        <v>10</v>
      </c>
      <c r="L88" s="129"/>
      <c r="M88" s="66"/>
    </row>
    <row r="89" spans="1:13">
      <c r="B89" s="2" t="s">
        <v>194</v>
      </c>
      <c r="C89" s="51">
        <f>Tstallsm*1000</f>
        <v>22515.621031242066</v>
      </c>
      <c r="D89" s="2" t="s">
        <v>32</v>
      </c>
      <c r="E89" s="118"/>
      <c r="F89" s="130"/>
      <c r="G89" s="133"/>
      <c r="H89" s="133"/>
      <c r="I89" s="112"/>
      <c r="J89" s="112"/>
      <c r="K89" s="112"/>
      <c r="L89" s="129"/>
      <c r="M89" s="66"/>
    </row>
    <row r="90" spans="1:13">
      <c r="A90" s="4" t="s">
        <v>44</v>
      </c>
      <c r="B90" s="2" t="s">
        <v>144</v>
      </c>
      <c r="C90" s="25">
        <f>IF(NMsize=23,G90,IF(NMsize=34,H90,IF(NMsize=1,I90,IF(NMsize=2,J90,K90))))</f>
        <v>75</v>
      </c>
      <c r="D90" s="2" t="s">
        <v>48</v>
      </c>
      <c r="E90" s="118"/>
      <c r="F90" s="130" t="s">
        <v>324</v>
      </c>
      <c r="G90" s="135">
        <f>'Motor Options'!D23</f>
        <v>900</v>
      </c>
      <c r="H90" s="133">
        <f>'Motor Options'!D28</f>
        <v>720</v>
      </c>
      <c r="I90" s="112">
        <f>'Motor Options'!D8</f>
        <v>75</v>
      </c>
      <c r="J90" s="112">
        <f>'Motor Options'!D13</f>
        <v>59</v>
      </c>
      <c r="K90" s="112">
        <f>'Motor Options'!D18</f>
        <v>59</v>
      </c>
      <c r="L90" s="129"/>
      <c r="M90" s="66"/>
    </row>
    <row r="91" spans="1:13" ht="17" thickBot="1">
      <c r="A91" s="4" t="s">
        <v>205</v>
      </c>
      <c r="B91" s="2" t="s">
        <v>206</v>
      </c>
      <c r="C91" s="25">
        <f>IF(NMsize=23,G91,IF(NMsize=34,H91,IF(NMsize=1,I91,IF(NMsize=2,J91,K91))))</f>
        <v>89</v>
      </c>
      <c r="D91" s="2" t="s">
        <v>24</v>
      </c>
      <c r="E91" s="118"/>
      <c r="F91" s="131" t="s">
        <v>323</v>
      </c>
      <c r="G91" s="136">
        <f>'Motor Options'!F24</f>
        <v>75</v>
      </c>
      <c r="H91" s="136">
        <f>'Motor Options'!F29</f>
        <v>220</v>
      </c>
      <c r="I91" s="137">
        <f>'Motor Options'!F9</f>
        <v>89</v>
      </c>
      <c r="J91" s="137">
        <f>'Motor Options'!F14</f>
        <v>89</v>
      </c>
      <c r="K91" s="137">
        <f>'Motor Options'!F19</f>
        <v>100</v>
      </c>
      <c r="L91" s="132"/>
      <c r="M91" s="66"/>
    </row>
    <row r="92" spans="1:13">
      <c r="A92" s="4" t="s">
        <v>135</v>
      </c>
      <c r="B92" s="2" t="s">
        <v>136</v>
      </c>
      <c r="C92" s="51">
        <f>Rpmgmr</f>
        <v>36.458333333333321</v>
      </c>
      <c r="D92" s="2" t="s">
        <v>48</v>
      </c>
      <c r="F92" s="71"/>
      <c r="G92" s="71"/>
      <c r="H92" s="71"/>
      <c r="I92" s="71"/>
      <c r="J92" s="71"/>
      <c r="K92" s="71"/>
      <c r="L92" s="71"/>
    </row>
    <row r="93" spans="1:13">
      <c r="A93" s="4" t="s">
        <v>196</v>
      </c>
      <c r="B93" s="2" t="s">
        <v>192</v>
      </c>
      <c r="C93" s="51">
        <f>Tstallsmm*(wfree34-Rpmgmr)/wfree34</f>
        <v>11570.527474388287</v>
      </c>
      <c r="D93" s="2" t="s">
        <v>32</v>
      </c>
    </row>
    <row r="94" spans="1:13">
      <c r="A94" s="4" t="s">
        <v>197</v>
      </c>
      <c r="B94" s="2" t="s">
        <v>198</v>
      </c>
      <c r="C94" s="51">
        <f>tgm</f>
        <v>10785.716187203574</v>
      </c>
      <c r="D94" s="2" t="s">
        <v>32</v>
      </c>
    </row>
    <row r="95" spans="1:13">
      <c r="A95" s="4"/>
      <c r="C95" s="51">
        <f>C94/4.45/25.4</f>
        <v>95.4234821481339</v>
      </c>
      <c r="D95" s="2" t="s">
        <v>42</v>
      </c>
    </row>
    <row r="96" spans="1:13">
      <c r="A96" s="32" t="s">
        <v>199</v>
      </c>
      <c r="B96" s="33" t="s">
        <v>200</v>
      </c>
      <c r="C96" s="99">
        <f>ROUNDUP(tgm/NemaTas,0)</f>
        <v>1</v>
      </c>
    </row>
    <row r="97" spans="1:6">
      <c r="A97" s="4" t="s">
        <v>232</v>
      </c>
      <c r="B97" s="2" t="s">
        <v>191</v>
      </c>
      <c r="C97" s="51">
        <f>NemaTas/(Dpinion/2)</f>
        <v>911.06515546364471</v>
      </c>
      <c r="D97" s="2" t="s">
        <v>24</v>
      </c>
    </row>
    <row r="98" spans="1:6">
      <c r="A98" s="4"/>
      <c r="C98" s="51">
        <f>PFPL/4.45</f>
        <v>204.73374280081902</v>
      </c>
      <c r="D98" s="2" t="s">
        <v>195</v>
      </c>
    </row>
    <row r="99" spans="1:6">
      <c r="A99" s="7" t="s">
        <v>341</v>
      </c>
      <c r="C99" s="51">
        <f>PFPL/Fradmaxm</f>
        <v>10.236687140040951</v>
      </c>
    </row>
    <row r="100" spans="1:6">
      <c r="A100" s="7" t="s">
        <v>207</v>
      </c>
      <c r="C100" s="59" t="str">
        <f>IF(C97&gt;Fradmaxm,"force too high?","force OK")</f>
        <v>force too high?</v>
      </c>
    </row>
    <row r="101" spans="1:6">
      <c r="A101" s="150" t="s">
        <v>137</v>
      </c>
      <c r="B101" s="63" t="s">
        <v>235</v>
      </c>
      <c r="C101" s="64">
        <f>cmh2O*Tstallsmm/tgm</f>
        <v>150.76682506433662</v>
      </c>
      <c r="D101" s="63" t="s">
        <v>138</v>
      </c>
    </row>
    <row r="102" spans="1:6" ht="17" thickBot="1">
      <c r="A102" s="67"/>
      <c r="B102" s="68"/>
      <c r="C102" s="69">
        <f>cmH2Omax/1.3</f>
        <v>115.97448081872047</v>
      </c>
      <c r="D102" s="68" t="s">
        <v>120</v>
      </c>
    </row>
    <row r="103" spans="1:6">
      <c r="A103" s="72" t="s">
        <v>233</v>
      </c>
      <c r="B103" s="73" t="s">
        <v>234</v>
      </c>
      <c r="C103" s="74">
        <f>tgm/(Dpinion/2)/NMr</f>
        <v>849.26899111839168</v>
      </c>
      <c r="D103" s="2" t="s">
        <v>24</v>
      </c>
      <c r="E103" s="66" t="s">
        <v>296</v>
      </c>
      <c r="F103" s="66"/>
    </row>
    <row r="104" spans="1:6">
      <c r="A104" s="75"/>
      <c r="B104" s="63"/>
      <c r="C104" s="65">
        <f>PFPLr/4.45</f>
        <v>190.8469642962678</v>
      </c>
      <c r="D104" s="2" t="s">
        <v>195</v>
      </c>
      <c r="E104" s="66"/>
      <c r="F104" s="66"/>
    </row>
    <row r="105" spans="1:6">
      <c r="A105" s="77" t="s">
        <v>207</v>
      </c>
      <c r="B105" s="63"/>
      <c r="C105" s="59" t="str">
        <f>IF(C103&gt;Fradmaxm,"force too high?","force OK")</f>
        <v>force too high?</v>
      </c>
      <c r="D105" s="76"/>
      <c r="E105" s="66" t="s">
        <v>297</v>
      </c>
      <c r="F105" s="66"/>
    </row>
    <row r="106" spans="1:6">
      <c r="A106" s="77" t="s">
        <v>137</v>
      </c>
      <c r="B106" s="63" t="s">
        <v>106</v>
      </c>
      <c r="C106" s="64">
        <f>cmh2O</f>
        <v>72.222222222222229</v>
      </c>
      <c r="D106" s="76" t="s">
        <v>138</v>
      </c>
      <c r="E106" s="66"/>
      <c r="F106" s="66"/>
    </row>
    <row r="107" spans="1:6" ht="17" thickBot="1">
      <c r="A107" s="78"/>
      <c r="B107" s="79"/>
      <c r="C107" s="80">
        <f>cmh2O/1.3</f>
        <v>55.555555555555557</v>
      </c>
      <c r="D107" s="81" t="s">
        <v>120</v>
      </c>
      <c r="E107" s="66"/>
      <c r="F107" s="66"/>
    </row>
    <row r="144" spans="3:3">
      <c r="C144" s="50"/>
    </row>
    <row r="157" spans="3:3" customFormat="1">
      <c r="C157" s="61"/>
    </row>
    <row r="158" spans="3:3" customFormat="1">
      <c r="C158" s="61"/>
    </row>
    <row r="159" spans="3:3" customFormat="1">
      <c r="C159" s="61"/>
    </row>
    <row r="160" spans="3:3" customFormat="1">
      <c r="C160" s="61"/>
    </row>
    <row r="161" spans="3:3" customFormat="1">
      <c r="C161" s="61"/>
    </row>
    <row r="162" spans="3:3" customFormat="1">
      <c r="C162" s="61"/>
    </row>
    <row r="163" spans="3:3" customFormat="1">
      <c r="C163" s="61"/>
    </row>
    <row r="164" spans="3:3" customFormat="1">
      <c r="C164" s="61"/>
    </row>
    <row r="165" spans="3:3" customFormat="1">
      <c r="C165" s="61"/>
    </row>
    <row r="166" spans="3:3" customFormat="1">
      <c r="C166" s="61"/>
    </row>
    <row r="167" spans="3:3" customFormat="1">
      <c r="C167" s="61"/>
    </row>
    <row r="168" spans="3:3" customFormat="1">
      <c r="C168" s="61"/>
    </row>
    <row r="169" spans="3:3" customFormat="1">
      <c r="C169" s="61"/>
    </row>
    <row r="170" spans="3:3" customFormat="1">
      <c r="C170" s="61"/>
    </row>
    <row r="171" spans="3:3" customFormat="1">
      <c r="C171" s="61"/>
    </row>
    <row r="172" spans="3:3" customFormat="1">
      <c r="C172" s="61"/>
    </row>
    <row r="173" spans="3:3" customFormat="1">
      <c r="C173" s="61"/>
    </row>
    <row r="174" spans="3:3" customFormat="1">
      <c r="C174" s="61"/>
    </row>
    <row r="175" spans="3:3" customFormat="1">
      <c r="C175" s="61"/>
    </row>
    <row r="176" spans="3:3" customFormat="1">
      <c r="C176" s="61"/>
    </row>
    <row r="177" spans="3:3" customFormat="1">
      <c r="C177" s="61"/>
    </row>
    <row r="178" spans="3:3" customFormat="1">
      <c r="C178" s="61"/>
    </row>
    <row r="179" spans="3:3" customFormat="1">
      <c r="C179" s="61"/>
    </row>
    <row r="180" spans="3:3" customFormat="1">
      <c r="C180" s="61"/>
    </row>
    <row r="181" spans="3:3" customFormat="1">
      <c r="C181" s="61"/>
    </row>
    <row r="182" spans="3:3" customFormat="1">
      <c r="C182" s="61"/>
    </row>
    <row r="183" spans="3:3" customFormat="1">
      <c r="C183" s="61"/>
    </row>
    <row r="184" spans="3:3" customFormat="1">
      <c r="C184" s="61"/>
    </row>
    <row r="185" spans="3:3" customFormat="1">
      <c r="C185" s="61"/>
    </row>
    <row r="186" spans="3:3" customFormat="1">
      <c r="C186" s="61"/>
    </row>
    <row r="187" spans="3:3" customFormat="1">
      <c r="C187" s="61"/>
    </row>
    <row r="188" spans="3:3" customFormat="1">
      <c r="C188" s="61"/>
    </row>
    <row r="189" spans="3:3" customFormat="1">
      <c r="C189" s="61"/>
    </row>
    <row r="190" spans="3:3" customFormat="1">
      <c r="C190" s="61"/>
    </row>
    <row r="191" spans="3:3" customFormat="1">
      <c r="C191" s="61"/>
    </row>
    <row r="192" spans="3:3" customFormat="1">
      <c r="C192" s="61"/>
    </row>
    <row r="193" spans="3:3" customFormat="1">
      <c r="C193" s="61"/>
    </row>
    <row r="194" spans="3:3" customFormat="1">
      <c r="C194" s="61"/>
    </row>
    <row r="195" spans="3:3" customFormat="1">
      <c r="C195" s="61"/>
    </row>
    <row r="196" spans="3:3" customFormat="1">
      <c r="C196" s="61"/>
    </row>
    <row r="197" spans="3:3" customFormat="1">
      <c r="C197" s="61"/>
    </row>
    <row r="198" spans="3:3" customFormat="1">
      <c r="C198" s="61"/>
    </row>
    <row r="199" spans="3:3" customFormat="1">
      <c r="C199" s="61"/>
    </row>
    <row r="200" spans="3:3" customFormat="1">
      <c r="C200" s="61"/>
    </row>
    <row r="201" spans="3:3" customFormat="1">
      <c r="C201" s="61"/>
    </row>
    <row r="202" spans="3:3" customFormat="1">
      <c r="C202" s="61"/>
    </row>
    <row r="203" spans="3:3" customFormat="1">
      <c r="C203" s="61"/>
    </row>
    <row r="204" spans="3:3" customFormat="1">
      <c r="C204" s="61"/>
    </row>
    <row r="205" spans="3:3" customFormat="1">
      <c r="C205" s="61"/>
    </row>
    <row r="206" spans="3:3" customFormat="1">
      <c r="C206" s="61"/>
    </row>
    <row r="207" spans="3:3" customFormat="1">
      <c r="C207" s="61"/>
    </row>
    <row r="208" spans="3:3" customFormat="1">
      <c r="C208" s="61"/>
    </row>
    <row r="209" spans="3:3" customFormat="1">
      <c r="C209" s="61"/>
    </row>
    <row r="210" spans="3:3" customFormat="1">
      <c r="C210" s="61"/>
    </row>
    <row r="211" spans="3:3" customFormat="1">
      <c r="C211" s="61"/>
    </row>
    <row r="212" spans="3:3" customFormat="1">
      <c r="C212" s="61"/>
    </row>
    <row r="213" spans="3:3" customFormat="1">
      <c r="C213" s="61"/>
    </row>
    <row r="214" spans="3:3" customFormat="1">
      <c r="C214" s="61"/>
    </row>
    <row r="215" spans="3:3" customFormat="1">
      <c r="C215" s="61"/>
    </row>
    <row r="216" spans="3:3" customFormat="1">
      <c r="C216" s="61"/>
    </row>
    <row r="217" spans="3:3" customFormat="1">
      <c r="C217" s="61"/>
    </row>
    <row r="218" spans="3:3" customFormat="1">
      <c r="C218" s="61"/>
    </row>
    <row r="219" spans="3:3" customFormat="1">
      <c r="C219" s="61"/>
    </row>
    <row r="220" spans="3:3" customFormat="1">
      <c r="C220" s="61"/>
    </row>
    <row r="221" spans="3:3" customFormat="1">
      <c r="C221" s="61"/>
    </row>
    <row r="222" spans="3:3" customFormat="1">
      <c r="C222" s="61"/>
    </row>
    <row r="223" spans="3:3" customFormat="1">
      <c r="C223" s="61"/>
    </row>
    <row r="224" spans="3:3" customFormat="1">
      <c r="C224" s="61"/>
    </row>
    <row r="225" spans="3:3" customFormat="1">
      <c r="C225" s="61"/>
    </row>
    <row r="226" spans="3:3" customFormat="1">
      <c r="C226" s="61"/>
    </row>
    <row r="227" spans="3:3" customFormat="1">
      <c r="C227" s="61"/>
    </row>
    <row r="228" spans="3:3" customFormat="1">
      <c r="C228" s="61"/>
    </row>
    <row r="229" spans="3:3" customFormat="1">
      <c r="C229" s="61"/>
    </row>
    <row r="230" spans="3:3" customFormat="1">
      <c r="C230" s="61"/>
    </row>
    <row r="231" spans="3:3" customFormat="1">
      <c r="C231" s="61"/>
    </row>
    <row r="232" spans="3:3" customFormat="1">
      <c r="C232" s="61"/>
    </row>
    <row r="233" spans="3:3" customFormat="1">
      <c r="C233" s="61"/>
    </row>
    <row r="234" spans="3:3" customFormat="1">
      <c r="C234" s="61"/>
    </row>
    <row r="235" spans="3:3" customFormat="1">
      <c r="C235" s="61"/>
    </row>
    <row r="236" spans="3:3" customFormat="1">
      <c r="C236" s="61"/>
    </row>
    <row r="237" spans="3:3" customFormat="1">
      <c r="C237" s="61"/>
    </row>
    <row r="238" spans="3:3" customFormat="1">
      <c r="C238" s="61"/>
    </row>
    <row r="239" spans="3:3" customFormat="1">
      <c r="C239" s="61"/>
    </row>
    <row r="240" spans="3:3" customFormat="1">
      <c r="C240" s="61"/>
    </row>
    <row r="241" spans="3:3" customFormat="1">
      <c r="C241" s="61"/>
    </row>
    <row r="242" spans="3:3" customFormat="1">
      <c r="C242" s="61"/>
    </row>
    <row r="243" spans="3:3" customFormat="1">
      <c r="C243" s="61"/>
    </row>
    <row r="244" spans="3:3" customFormat="1">
      <c r="C244" s="61"/>
    </row>
    <row r="245" spans="3:3" customFormat="1">
      <c r="C245" s="61"/>
    </row>
    <row r="246" spans="3:3" customFormat="1">
      <c r="C246" s="61"/>
    </row>
    <row r="247" spans="3:3" customFormat="1">
      <c r="C247" s="61"/>
    </row>
    <row r="248" spans="3:3" customFormat="1">
      <c r="C248" s="61"/>
    </row>
    <row r="249" spans="3:3" customFormat="1">
      <c r="C249" s="61"/>
    </row>
    <row r="250" spans="3:3" customFormat="1">
      <c r="C250" s="61"/>
    </row>
    <row r="251" spans="3:3" customFormat="1">
      <c r="C251" s="61"/>
    </row>
    <row r="252" spans="3:3" customFormat="1">
      <c r="C252" s="61"/>
    </row>
    <row r="253" spans="3:3" customFormat="1">
      <c r="C253" s="61"/>
    </row>
    <row r="254" spans="3:3" customFormat="1">
      <c r="C254" s="61"/>
    </row>
    <row r="255" spans="3:3" customFormat="1">
      <c r="C255" s="61"/>
    </row>
    <row r="256" spans="3:3" customFormat="1">
      <c r="C256" s="61"/>
    </row>
    <row r="257" spans="3:3" customFormat="1">
      <c r="C257" s="61"/>
    </row>
    <row r="258" spans="3:3" customFormat="1">
      <c r="C258" s="61"/>
    </row>
    <row r="259" spans="3:3" customFormat="1">
      <c r="C259" s="61"/>
    </row>
    <row r="260" spans="3:3" customFormat="1">
      <c r="C260" s="61"/>
    </row>
    <row r="261" spans="3:3" customFormat="1">
      <c r="C261" s="61"/>
    </row>
    <row r="262" spans="3:3" customFormat="1">
      <c r="C262" s="61"/>
    </row>
    <row r="263" spans="3:3" customFormat="1">
      <c r="C263" s="61"/>
    </row>
    <row r="264" spans="3:3" customFormat="1">
      <c r="C264" s="61"/>
    </row>
    <row r="265" spans="3:3" customFormat="1">
      <c r="C265" s="61"/>
    </row>
    <row r="266" spans="3:3" customFormat="1">
      <c r="C266" s="61"/>
    </row>
    <row r="267" spans="3:3" customFormat="1">
      <c r="C267" s="61"/>
    </row>
    <row r="268" spans="3:3" customFormat="1">
      <c r="C268" s="61"/>
    </row>
    <row r="269" spans="3:3" customFormat="1">
      <c r="C269" s="61"/>
    </row>
    <row r="270" spans="3:3" customFormat="1">
      <c r="C270" s="61"/>
    </row>
    <row r="271" spans="3:3" customFormat="1">
      <c r="C271" s="61"/>
    </row>
    <row r="272" spans="3:3" customFormat="1">
      <c r="C272" s="61"/>
    </row>
    <row r="273" spans="3:3" customFormat="1">
      <c r="C273" s="61"/>
    </row>
    <row r="274" spans="3:3" customFormat="1">
      <c r="C274" s="61"/>
    </row>
    <row r="275" spans="3:3" customFormat="1">
      <c r="C275" s="61"/>
    </row>
    <row r="276" spans="3:3" customFormat="1">
      <c r="C276" s="61"/>
    </row>
    <row r="277" spans="3:3" customFormat="1">
      <c r="C277" s="61"/>
    </row>
    <row r="278" spans="3:3" customFormat="1">
      <c r="C278" s="61"/>
    </row>
    <row r="279" spans="3:3" customFormat="1">
      <c r="C279" s="61"/>
    </row>
    <row r="280" spans="3:3" customFormat="1">
      <c r="C280" s="61"/>
    </row>
    <row r="281" spans="3:3" customFormat="1">
      <c r="C281" s="61"/>
    </row>
    <row r="282" spans="3:3" customFormat="1">
      <c r="C282" s="61"/>
    </row>
    <row r="283" spans="3:3" customFormat="1">
      <c r="C283" s="61"/>
    </row>
    <row r="284" spans="3:3" customFormat="1">
      <c r="C284" s="61"/>
    </row>
    <row r="285" spans="3:3" customFormat="1">
      <c r="C285" s="61"/>
    </row>
    <row r="286" spans="3:3" customFormat="1">
      <c r="C286" s="61"/>
    </row>
    <row r="287" spans="3:3" customFormat="1">
      <c r="C287" s="61"/>
    </row>
    <row r="288" spans="3:3" customFormat="1">
      <c r="C288" s="61"/>
    </row>
  </sheetData>
  <mergeCells count="3">
    <mergeCell ref="E36:J36"/>
    <mergeCell ref="F86:L86"/>
    <mergeCell ref="A50:C50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B462D-57ED-2E46-A586-8E59B566F067}">
  <dimension ref="A3:G87"/>
  <sheetViews>
    <sheetView topLeftCell="A2" zoomScale="113" workbookViewId="0">
      <selection activeCell="F6" sqref="F6"/>
    </sheetView>
  </sheetViews>
  <sheetFormatPr baseColWidth="10" defaultRowHeight="16"/>
  <cols>
    <col min="2" max="2" width="48.5" customWidth="1"/>
    <col min="3" max="3" width="30.1640625" customWidth="1"/>
  </cols>
  <sheetData>
    <row r="3" spans="1:7">
      <c r="B3" t="s">
        <v>321</v>
      </c>
    </row>
    <row r="5" spans="1:7">
      <c r="A5" t="s">
        <v>314</v>
      </c>
    </row>
    <row r="6" spans="1:7" s="2" customFormat="1">
      <c r="A6" s="110">
        <v>1</v>
      </c>
      <c r="B6" s="5" t="s">
        <v>326</v>
      </c>
      <c r="D6" s="3"/>
      <c r="F6" s="33"/>
    </row>
    <row r="7" spans="1:7" s="2" customFormat="1">
      <c r="A7" s="110"/>
      <c r="B7" s="4" t="s">
        <v>47</v>
      </c>
      <c r="C7" s="2" t="s">
        <v>45</v>
      </c>
      <c r="D7" s="2">
        <v>16.600000000000001</v>
      </c>
      <c r="E7" s="2" t="s">
        <v>49</v>
      </c>
      <c r="F7" s="54">
        <f>D7*4.45*12/39.37</f>
        <v>22.515621031242066</v>
      </c>
      <c r="G7" s="2" t="s">
        <v>289</v>
      </c>
    </row>
    <row r="8" spans="1:7" s="2" customFormat="1">
      <c r="A8" s="110"/>
      <c r="B8" s="4" t="s">
        <v>44</v>
      </c>
      <c r="C8" s="2" t="s">
        <v>46</v>
      </c>
      <c r="D8" s="2">
        <v>75</v>
      </c>
      <c r="E8" s="2" t="s">
        <v>48</v>
      </c>
      <c r="F8" s="54">
        <f>D8*PI()/180</f>
        <v>1.3089969389957472</v>
      </c>
      <c r="G8" s="2" t="s">
        <v>290</v>
      </c>
    </row>
    <row r="9" spans="1:7" s="2" customFormat="1">
      <c r="A9" s="110"/>
      <c r="B9" s="108" t="s">
        <v>318</v>
      </c>
      <c r="C9" s="82" t="s">
        <v>319</v>
      </c>
      <c r="D9" s="2">
        <v>20</v>
      </c>
      <c r="E9" s="2" t="s">
        <v>132</v>
      </c>
      <c r="F9" s="99">
        <f>D9*4.45</f>
        <v>89</v>
      </c>
      <c r="G9" s="2" t="s">
        <v>24</v>
      </c>
    </row>
    <row r="10" spans="1:7" s="2" customFormat="1">
      <c r="A10" s="110"/>
      <c r="B10" s="4" t="s">
        <v>316</v>
      </c>
      <c r="F10" s="119">
        <f>F7*F8/4</f>
        <v>7.3682197523710338</v>
      </c>
      <c r="G10" s="2" t="s">
        <v>288</v>
      </c>
    </row>
    <row r="11" spans="1:7" s="103" customFormat="1">
      <c r="A11" s="110">
        <v>2</v>
      </c>
      <c r="B11" s="107" t="s">
        <v>317</v>
      </c>
      <c r="D11" s="104"/>
      <c r="F11" s="120"/>
    </row>
    <row r="12" spans="1:7" s="103" customFormat="1">
      <c r="A12" s="110"/>
      <c r="B12" s="108" t="s">
        <v>47</v>
      </c>
      <c r="C12" s="2" t="s">
        <v>45</v>
      </c>
      <c r="D12" s="106">
        <f>F12/4.45*39.37/12</f>
        <v>11.501348314606739</v>
      </c>
      <c r="E12" s="2" t="s">
        <v>49</v>
      </c>
      <c r="F12" s="121">
        <v>15.6</v>
      </c>
      <c r="G12" s="2" t="s">
        <v>289</v>
      </c>
    </row>
    <row r="13" spans="1:7" s="103" customFormat="1">
      <c r="A13" s="110"/>
      <c r="B13" s="108" t="s">
        <v>44</v>
      </c>
      <c r="C13" s="2" t="s">
        <v>46</v>
      </c>
      <c r="D13" s="2">
        <v>59</v>
      </c>
      <c r="E13" s="2" t="s">
        <v>48</v>
      </c>
      <c r="F13" s="121">
        <f>D13*PI()/180</f>
        <v>1.0297442586766543</v>
      </c>
      <c r="G13" s="2" t="s">
        <v>290</v>
      </c>
    </row>
    <row r="14" spans="1:7" s="103" customFormat="1">
      <c r="A14" s="110"/>
      <c r="B14" s="108" t="s">
        <v>318</v>
      </c>
      <c r="C14" s="82" t="s">
        <v>319</v>
      </c>
      <c r="D14" s="2">
        <v>20</v>
      </c>
      <c r="E14" s="2" t="s">
        <v>132</v>
      </c>
      <c r="F14" s="99">
        <f>D14*4.45</f>
        <v>89</v>
      </c>
      <c r="G14" s="2" t="s">
        <v>24</v>
      </c>
    </row>
    <row r="15" spans="1:7" s="103" customFormat="1" ht="15" customHeight="1">
      <c r="A15" s="110"/>
      <c r="B15" s="4" t="s">
        <v>316</v>
      </c>
      <c r="C15" s="2"/>
      <c r="D15" s="2"/>
      <c r="E15" s="2"/>
      <c r="F15" s="119">
        <f>F12*F13/4</f>
        <v>4.016002608838952</v>
      </c>
      <c r="G15" s="2" t="s">
        <v>288</v>
      </c>
    </row>
    <row r="16" spans="1:7" s="115" customFormat="1" ht="15" customHeight="1">
      <c r="A16" s="113">
        <v>3</v>
      </c>
      <c r="B16" s="114" t="s">
        <v>320</v>
      </c>
      <c r="C16" s="33"/>
      <c r="D16" s="33"/>
      <c r="E16" s="33"/>
      <c r="F16" s="116"/>
    </row>
    <row r="17" spans="1:7" s="103" customFormat="1" ht="15" customHeight="1">
      <c r="A17" s="113"/>
      <c r="B17" s="124" t="s">
        <v>47</v>
      </c>
      <c r="C17" s="33" t="s">
        <v>45</v>
      </c>
      <c r="D17" s="125">
        <f>F17/4.45*39.37/12</f>
        <v>7.3726591760299618</v>
      </c>
      <c r="E17" s="33" t="s">
        <v>49</v>
      </c>
      <c r="F17" s="121">
        <v>10</v>
      </c>
      <c r="G17" s="33" t="s">
        <v>289</v>
      </c>
    </row>
    <row r="18" spans="1:7" s="103" customFormat="1" ht="15" customHeight="1">
      <c r="A18" s="113"/>
      <c r="B18" s="124" t="s">
        <v>44</v>
      </c>
      <c r="C18" s="33" t="s">
        <v>46</v>
      </c>
      <c r="D18" s="33">
        <v>59</v>
      </c>
      <c r="E18" s="33" t="s">
        <v>48</v>
      </c>
      <c r="F18" s="54">
        <f>D18*PI()/180</f>
        <v>1.0297442586766543</v>
      </c>
      <c r="G18" s="33" t="s">
        <v>290</v>
      </c>
    </row>
    <row r="19" spans="1:7" s="103" customFormat="1" ht="15" customHeight="1">
      <c r="A19" s="113"/>
      <c r="B19" s="124" t="s">
        <v>318</v>
      </c>
      <c r="C19" s="117" t="s">
        <v>319</v>
      </c>
      <c r="D19" s="33">
        <f>F19/4.45</f>
        <v>22.471910112359549</v>
      </c>
      <c r="E19" s="33" t="s">
        <v>132</v>
      </c>
      <c r="F19" s="122">
        <v>100</v>
      </c>
      <c r="G19" s="33" t="s">
        <v>24</v>
      </c>
    </row>
    <row r="20" spans="1:7" s="103" customFormat="1" ht="15" customHeight="1">
      <c r="A20" s="113"/>
      <c r="B20" s="32" t="s">
        <v>316</v>
      </c>
      <c r="C20" s="33"/>
      <c r="D20" s="33"/>
      <c r="E20" s="33"/>
      <c r="F20" s="119">
        <f>F17*F18/4</f>
        <v>2.5743606466916358</v>
      </c>
      <c r="G20" s="33" t="s">
        <v>288</v>
      </c>
    </row>
    <row r="21" spans="1:7" s="103" customFormat="1" ht="15" customHeight="1">
      <c r="A21" s="110">
        <v>23</v>
      </c>
      <c r="B21" s="109" t="s">
        <v>315</v>
      </c>
      <c r="C21" s="2"/>
      <c r="D21" s="2"/>
      <c r="E21" s="2"/>
      <c r="F21" s="123"/>
      <c r="G21"/>
    </row>
    <row r="22" spans="1:7" s="103" customFormat="1" ht="15" customHeight="1">
      <c r="A22" s="110"/>
      <c r="B22" s="108" t="s">
        <v>47</v>
      </c>
      <c r="C22" s="2" t="s">
        <v>45</v>
      </c>
      <c r="D22" s="2">
        <v>255</v>
      </c>
      <c r="E22" s="2" t="s">
        <v>134</v>
      </c>
      <c r="F22" s="99">
        <f>D22/16*4.45*25.4/1000</f>
        <v>1.801415625</v>
      </c>
      <c r="G22" s="2" t="s">
        <v>32</v>
      </c>
    </row>
    <row r="23" spans="1:7" s="103" customFormat="1" ht="15" customHeight="1">
      <c r="A23" s="110"/>
      <c r="B23" s="108" t="s">
        <v>44</v>
      </c>
      <c r="C23" s="2" t="s">
        <v>46</v>
      </c>
      <c r="D23" s="2">
        <v>900</v>
      </c>
      <c r="E23" s="2" t="s">
        <v>48</v>
      </c>
      <c r="F23" s="54">
        <f>D23*PI()/180</f>
        <v>15.707963267948966</v>
      </c>
      <c r="G23" s="2" t="s">
        <v>290</v>
      </c>
    </row>
    <row r="24" spans="1:7" s="103" customFormat="1" ht="15" customHeight="1">
      <c r="A24" s="110"/>
      <c r="B24" s="108" t="s">
        <v>318</v>
      </c>
      <c r="C24" s="2"/>
      <c r="D24" s="111">
        <f>F24/4.45</f>
        <v>16.853932584269661</v>
      </c>
      <c r="E24" s="2" t="s">
        <v>132</v>
      </c>
      <c r="F24" s="122">
        <v>75</v>
      </c>
      <c r="G24" s="2" t="s">
        <v>24</v>
      </c>
    </row>
    <row r="25" spans="1:7" s="103" customFormat="1" ht="15" customHeight="1">
      <c r="A25" s="110"/>
      <c r="B25" s="4" t="s">
        <v>316</v>
      </c>
      <c r="C25" s="2"/>
      <c r="D25" s="2"/>
      <c r="E25" s="2"/>
      <c r="F25" s="119">
        <f>F22*F23/4</f>
        <v>7.074142616952332</v>
      </c>
      <c r="G25" s="2" t="s">
        <v>288</v>
      </c>
    </row>
    <row r="26" spans="1:7">
      <c r="A26" s="110">
        <v>34</v>
      </c>
      <c r="B26" s="109" t="s">
        <v>133</v>
      </c>
      <c r="C26" s="2"/>
      <c r="D26" s="2"/>
      <c r="E26" s="2"/>
      <c r="F26" s="123"/>
    </row>
    <row r="27" spans="1:7">
      <c r="A27" s="110"/>
      <c r="B27" s="108" t="s">
        <v>47</v>
      </c>
      <c r="C27" s="2" t="s">
        <v>45</v>
      </c>
      <c r="D27" s="2">
        <v>595</v>
      </c>
      <c r="E27" s="2" t="s">
        <v>134</v>
      </c>
      <c r="F27" s="119">
        <f>D27/16*4.45*25.4/1000</f>
        <v>4.2033031249999997</v>
      </c>
      <c r="G27" s="2" t="s">
        <v>289</v>
      </c>
    </row>
    <row r="28" spans="1:7">
      <c r="A28" s="110"/>
      <c r="B28" s="108" t="s">
        <v>44</v>
      </c>
      <c r="C28" s="2" t="s">
        <v>46</v>
      </c>
      <c r="D28" s="2">
        <v>720</v>
      </c>
      <c r="E28" s="2" t="s">
        <v>48</v>
      </c>
      <c r="F28" s="54">
        <f>D28*PI()/180</f>
        <v>12.566370614359172</v>
      </c>
      <c r="G28" s="2" t="s">
        <v>290</v>
      </c>
    </row>
    <row r="29" spans="1:7">
      <c r="A29" s="110"/>
      <c r="B29" s="108" t="s">
        <v>318</v>
      </c>
      <c r="C29" s="2"/>
      <c r="D29" s="111">
        <f>F29/4.45</f>
        <v>49.438202247191008</v>
      </c>
      <c r="E29" s="2" t="s">
        <v>132</v>
      </c>
      <c r="F29" s="122">
        <v>220</v>
      </c>
      <c r="G29" s="2" t="s">
        <v>24</v>
      </c>
    </row>
    <row r="30" spans="1:7">
      <c r="A30" s="110"/>
      <c r="B30" s="4" t="s">
        <v>316</v>
      </c>
      <c r="C30" s="2"/>
      <c r="D30" s="2"/>
      <c r="E30" s="2"/>
      <c r="F30" s="119">
        <f>F27*F28/4</f>
        <v>13.205066218311019</v>
      </c>
      <c r="G30" s="2" t="s">
        <v>288</v>
      </c>
    </row>
    <row r="31" spans="1:7">
      <c r="A31" s="110"/>
    </row>
    <row r="32" spans="1:7">
      <c r="A32" s="82"/>
    </row>
    <row r="33" spans="1:1">
      <c r="A33" s="82"/>
    </row>
    <row r="34" spans="1:1">
      <c r="A34" s="102"/>
    </row>
    <row r="79" spans="2:2">
      <c r="B79" s="1" t="s">
        <v>201</v>
      </c>
    </row>
    <row r="81" spans="2:2">
      <c r="B81" s="1" t="s">
        <v>202</v>
      </c>
    </row>
    <row r="84" spans="2:2">
      <c r="B84" t="s">
        <v>203</v>
      </c>
    </row>
    <row r="87" spans="2:2">
      <c r="B87" s="1" t="s">
        <v>204</v>
      </c>
    </row>
  </sheetData>
  <hyperlinks>
    <hyperlink ref="B79" r:id="rId1" xr:uid="{2C1EFF51-010A-4948-A75C-A3E6619A39CF}"/>
    <hyperlink ref="B81" r:id="rId2" xr:uid="{DA499FC6-D276-D64F-BCAC-A80B1A9C76AD}"/>
    <hyperlink ref="B87" r:id="rId3" xr:uid="{C3F007CB-A58B-6946-A53D-058270362923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5"/>
  <sheetViews>
    <sheetView topLeftCell="A24" zoomScale="191" zoomScaleNormal="179" workbookViewId="0">
      <selection activeCell="H35" sqref="H35"/>
    </sheetView>
  </sheetViews>
  <sheetFormatPr baseColWidth="10" defaultColWidth="11" defaultRowHeight="16"/>
  <cols>
    <col min="1" max="1" width="48.33203125" customWidth="1"/>
    <col min="2" max="2" width="11.5" customWidth="1"/>
    <col min="3" max="3" width="11.33203125" customWidth="1"/>
  </cols>
  <sheetData>
    <row r="1" spans="1:9">
      <c r="A1" s="166" t="s">
        <v>69</v>
      </c>
      <c r="B1" s="167"/>
      <c r="C1" s="168"/>
      <c r="D1" s="11"/>
      <c r="E1" s="11"/>
      <c r="F1" s="11"/>
      <c r="G1" s="11"/>
      <c r="H1" s="11"/>
      <c r="I1" s="11"/>
    </row>
    <row r="2" spans="1:9">
      <c r="A2" s="169" t="s">
        <v>70</v>
      </c>
      <c r="B2" s="170"/>
      <c r="C2" s="171"/>
      <c r="D2" s="11"/>
      <c r="E2" s="11"/>
      <c r="F2" s="11"/>
      <c r="G2" s="11"/>
      <c r="H2" s="11"/>
      <c r="I2" s="11"/>
    </row>
    <row r="3" spans="1:9">
      <c r="A3" s="169" t="s">
        <v>71</v>
      </c>
      <c r="B3" s="170"/>
      <c r="C3" s="171"/>
      <c r="D3" s="11"/>
    </row>
    <row r="4" spans="1:9">
      <c r="A4" s="172" t="s">
        <v>72</v>
      </c>
      <c r="B4" s="172"/>
      <c r="C4" s="172"/>
      <c r="D4" s="11"/>
    </row>
    <row r="5" spans="1:9" ht="17" thickBot="1">
      <c r="A5" s="165" t="s">
        <v>101</v>
      </c>
      <c r="B5" s="165"/>
      <c r="C5" s="165"/>
      <c r="D5" s="11"/>
    </row>
    <row r="6" spans="1:9">
      <c r="A6" s="12" t="s">
        <v>73</v>
      </c>
      <c r="B6" s="13"/>
      <c r="C6" s="13"/>
      <c r="D6" s="11"/>
    </row>
    <row r="7" spans="1:9">
      <c r="A7" s="12"/>
      <c r="B7" s="13" t="s">
        <v>162</v>
      </c>
      <c r="C7" s="13" t="s">
        <v>163</v>
      </c>
      <c r="D7" s="11"/>
    </row>
    <row r="8" spans="1:9">
      <c r="A8" s="16" t="s">
        <v>161</v>
      </c>
      <c r="B8" s="15">
        <f>tgm/4.45/25.4</f>
        <v>95.4234821481339</v>
      </c>
      <c r="C8" s="28">
        <f>Fgtg*R_2/4.45/25.4</f>
        <v>143.13522322220081</v>
      </c>
      <c r="D8" s="11"/>
    </row>
    <row r="9" spans="1:9">
      <c r="A9" s="48" t="s">
        <v>32</v>
      </c>
      <c r="B9" s="15">
        <f>tgm</f>
        <v>10785.716187203574</v>
      </c>
      <c r="C9" s="28">
        <f>Fgtg*R_2</f>
        <v>16178.574280805358</v>
      </c>
      <c r="D9" s="11"/>
    </row>
    <row r="10" spans="1:9">
      <c r="A10" s="16" t="s">
        <v>74</v>
      </c>
      <c r="B10" s="17">
        <v>14.5</v>
      </c>
      <c r="C10" s="18">
        <f>B10*PI()/180</f>
        <v>0.2530727415391778</v>
      </c>
      <c r="D10" s="11"/>
    </row>
    <row r="11" spans="1:9">
      <c r="A11" s="16" t="s">
        <v>75</v>
      </c>
      <c r="B11" s="17">
        <v>12</v>
      </c>
      <c r="C11" s="37">
        <f>P</f>
        <v>12</v>
      </c>
      <c r="D11" s="11"/>
    </row>
    <row r="12" spans="1:9">
      <c r="A12" s="16" t="s">
        <v>76</v>
      </c>
      <c r="B12" s="17">
        <v>12</v>
      </c>
      <c r="C12" s="12">
        <v>30</v>
      </c>
      <c r="D12" s="11"/>
    </row>
    <row r="13" spans="1:9">
      <c r="A13" s="16" t="s">
        <v>77</v>
      </c>
      <c r="B13" s="17">
        <v>96</v>
      </c>
      <c r="C13" s="12">
        <v>30</v>
      </c>
      <c r="D13" s="11"/>
    </row>
    <row r="14" spans="1:9">
      <c r="A14" s="16" t="s">
        <v>78</v>
      </c>
      <c r="B14" s="17">
        <v>5.0000000000000001E-3</v>
      </c>
      <c r="C14" s="12">
        <v>5.0000000000000001E-3</v>
      </c>
      <c r="D14" s="11"/>
    </row>
    <row r="15" spans="1:9">
      <c r="A15" s="16" t="s">
        <v>102</v>
      </c>
      <c r="B15" s="17">
        <v>0.75</v>
      </c>
      <c r="C15" s="12">
        <v>3</v>
      </c>
      <c r="D15" s="11"/>
    </row>
    <row r="16" spans="1:9">
      <c r="A16" s="16" t="s">
        <v>156</v>
      </c>
      <c r="B16" s="17" t="s">
        <v>157</v>
      </c>
      <c r="C16" s="17" t="s">
        <v>159</v>
      </c>
      <c r="D16" s="11"/>
    </row>
    <row r="17" spans="1:9">
      <c r="A17" s="16" t="s">
        <v>79</v>
      </c>
      <c r="B17" s="17">
        <v>40000</v>
      </c>
      <c r="C17" s="12">
        <v>11500</v>
      </c>
      <c r="D17" s="11"/>
    </row>
    <row r="18" spans="1:9">
      <c r="A18" s="16" t="s">
        <v>158</v>
      </c>
      <c r="B18" s="17" t="s">
        <v>159</v>
      </c>
      <c r="C18" s="13"/>
    </row>
    <row r="19" spans="1:9">
      <c r="A19" s="16" t="s">
        <v>80</v>
      </c>
      <c r="B19" s="17">
        <v>11500</v>
      </c>
      <c r="C19" s="12">
        <v>11500</v>
      </c>
      <c r="D19" s="36" t="s">
        <v>160</v>
      </c>
    </row>
    <row r="20" spans="1:9">
      <c r="A20" s="16" t="s">
        <v>81</v>
      </c>
      <c r="B20" s="17">
        <v>1.5</v>
      </c>
      <c r="C20" s="12">
        <v>1.5</v>
      </c>
      <c r="D20" s="11"/>
    </row>
    <row r="21" spans="1:9">
      <c r="A21" s="12" t="s">
        <v>82</v>
      </c>
      <c r="B21" s="13"/>
      <c r="C21" s="13"/>
      <c r="D21" s="11"/>
    </row>
    <row r="22" spans="1:9">
      <c r="A22" s="16" t="s">
        <v>83</v>
      </c>
      <c r="B22" s="14">
        <f>Ng/Np</f>
        <v>8</v>
      </c>
      <c r="C22" s="37">
        <f>C13/C12</f>
        <v>1</v>
      </c>
      <c r="D22" t="s">
        <v>170</v>
      </c>
    </row>
    <row r="23" spans="1:9">
      <c r="A23" s="16" t="s">
        <v>84</v>
      </c>
      <c r="B23" s="19">
        <f>Np/P</f>
        <v>1</v>
      </c>
      <c r="C23" s="37">
        <f>C12/C$11</f>
        <v>2.5</v>
      </c>
      <c r="D23" t="s">
        <v>169</v>
      </c>
    </row>
    <row r="24" spans="1:9">
      <c r="A24" s="16" t="s">
        <v>85</v>
      </c>
      <c r="B24" s="19">
        <f>Ng/P</f>
        <v>8</v>
      </c>
      <c r="C24" s="37">
        <f>C13/C$11</f>
        <v>2.5</v>
      </c>
      <c r="D24" t="s">
        <v>168</v>
      </c>
    </row>
    <row r="25" spans="1:9">
      <c r="A25" s="16" t="s">
        <v>86</v>
      </c>
      <c r="B25" s="14">
        <f>0.5*(Dp+Dg)+Ctol</f>
        <v>4.5049999999999999</v>
      </c>
      <c r="C25" s="37">
        <f>0.5*(C24+C23)+C14</f>
        <v>2.5049999999999999</v>
      </c>
      <c r="D25" t="s">
        <v>167</v>
      </c>
    </row>
    <row r="26" spans="1:9">
      <c r="A26" s="16" t="s">
        <v>87</v>
      </c>
      <c r="B26" s="20">
        <f>0.5*PI()/P</f>
        <v>0.1308996938995747</v>
      </c>
      <c r="C26" s="41">
        <f>0.5*PI()/C11</f>
        <v>0.1308996938995747</v>
      </c>
      <c r="D26" t="s">
        <v>166</v>
      </c>
      <c r="F26" s="11"/>
      <c r="G26" s="11"/>
      <c r="H26" s="11"/>
      <c r="I26" s="11"/>
    </row>
    <row r="27" spans="1:9">
      <c r="A27" s="16" t="s">
        <v>88</v>
      </c>
      <c r="B27" s="20">
        <f>1/P</f>
        <v>8.3333333333333329E-2</v>
      </c>
      <c r="C27" s="41">
        <f>1/C11</f>
        <v>8.3333333333333329E-2</v>
      </c>
      <c r="D27" t="s">
        <v>171</v>
      </c>
      <c r="F27" s="11"/>
      <c r="G27" s="11"/>
      <c r="H27" s="11"/>
      <c r="I27" s="11"/>
    </row>
    <row r="28" spans="1:9">
      <c r="A28" s="16" t="s">
        <v>89</v>
      </c>
      <c r="B28" s="20">
        <f>1.2/P+0.002</f>
        <v>0.10199999999999999</v>
      </c>
      <c r="C28" s="37">
        <f>1.2/C11+0.002</f>
        <v>0.10199999999999999</v>
      </c>
      <c r="D28" t="s">
        <v>172</v>
      </c>
      <c r="F28" s="11"/>
      <c r="G28" s="11"/>
      <c r="H28" s="11"/>
      <c r="I28" s="11"/>
    </row>
    <row r="29" spans="1:9">
      <c r="A29" s="16" t="s">
        <v>90</v>
      </c>
      <c r="B29" s="20">
        <f>0.2/P+0.002</f>
        <v>1.8666666666666665E-2</v>
      </c>
      <c r="C29" s="41">
        <f>0.2/C11+0.002</f>
        <v>1.8666666666666665E-2</v>
      </c>
      <c r="D29" t="s">
        <v>173</v>
      </c>
      <c r="E29" s="11"/>
      <c r="F29" s="11"/>
      <c r="G29" s="11"/>
      <c r="H29" s="11"/>
      <c r="I29" s="11"/>
    </row>
    <row r="30" spans="1:9">
      <c r="A30" s="26" t="s">
        <v>91</v>
      </c>
      <c r="B30" s="38">
        <f>T/(Dp/2)</f>
        <v>190.8469642962678</v>
      </c>
      <c r="C30" s="40">
        <f>C8/(C23/2)</f>
        <v>114.50817857776065</v>
      </c>
      <c r="D30" t="s">
        <v>174</v>
      </c>
      <c r="E30" s="11"/>
      <c r="F30" s="11">
        <f>4.45*C30</f>
        <v>509.56139467103492</v>
      </c>
      <c r="G30" s="11"/>
      <c r="H30" s="11"/>
      <c r="I30" s="11"/>
    </row>
    <row r="31" spans="1:9">
      <c r="A31" s="26" t="s">
        <v>237</v>
      </c>
      <c r="B31" s="83">
        <f>Fp*w/w</f>
        <v>190.84696429626783</v>
      </c>
      <c r="C31" s="28">
        <f>C30*w/C15</f>
        <v>28.627044644440161</v>
      </c>
      <c r="E31" s="11"/>
      <c r="F31" s="11"/>
      <c r="G31" s="11"/>
      <c r="H31" s="11"/>
      <c r="I31" s="11"/>
    </row>
    <row r="32" spans="1:9">
      <c r="A32" s="26" t="s">
        <v>92</v>
      </c>
      <c r="B32" s="38">
        <f>Fp*TAN(f)</f>
        <v>49.356380887955616</v>
      </c>
      <c r="C32" s="40">
        <f>C30*TAN(f)</f>
        <v>29.613828532773361</v>
      </c>
      <c r="D32" t="s">
        <v>176</v>
      </c>
      <c r="E32" s="11"/>
      <c r="F32" s="11"/>
      <c r="G32" s="11"/>
      <c r="H32" s="11"/>
      <c r="I32" s="11"/>
    </row>
    <row r="33" spans="1:9">
      <c r="A33" s="26" t="s">
        <v>155</v>
      </c>
      <c r="B33" s="38">
        <f>SQRT(Fsp^2+Fp^2)</f>
        <v>197.12588900359555</v>
      </c>
      <c r="C33" s="40">
        <f>SQRT(C32^2+C30^2)</f>
        <v>118.27553340215729</v>
      </c>
      <c r="D33" t="s">
        <v>177</v>
      </c>
      <c r="E33" s="11"/>
      <c r="F33" s="11"/>
      <c r="G33" s="11"/>
      <c r="H33" s="11"/>
      <c r="I33" s="11"/>
    </row>
    <row r="34" spans="1:9">
      <c r="A34" s="12" t="s">
        <v>93</v>
      </c>
      <c r="B34" s="13"/>
      <c r="C34" s="13"/>
      <c r="D34" s="11"/>
      <c r="E34" s="11"/>
      <c r="F34" s="11"/>
      <c r="G34" s="11">
        <f>6/9.6</f>
        <v>0.625</v>
      </c>
      <c r="H34" s="11">
        <f>462/740</f>
        <v>0.62432432432432428</v>
      </c>
      <c r="I34" s="11"/>
    </row>
    <row r="35" spans="1:9">
      <c r="A35" s="16" t="s">
        <v>94</v>
      </c>
      <c r="B35" s="20">
        <f>w*tt</f>
        <v>9.8174770424681035E-2</v>
      </c>
      <c r="C35" s="39">
        <f>C15*C26</f>
        <v>0.39269908169872414</v>
      </c>
      <c r="D35" s="11" t="s">
        <v>178</v>
      </c>
      <c r="E35" s="11"/>
      <c r="F35" s="11"/>
      <c r="G35" s="11"/>
      <c r="H35" s="11"/>
      <c r="I35" s="11"/>
    </row>
    <row r="36" spans="1:9">
      <c r="A36" s="16" t="s">
        <v>95</v>
      </c>
      <c r="B36" s="21">
        <f>w*tt^2/6</f>
        <v>2.1418412328752944E-3</v>
      </c>
      <c r="C36" s="39">
        <f>C15*C26^2/6</f>
        <v>8.5673649315011775E-3</v>
      </c>
      <c r="D36" s="11" t="s">
        <v>181</v>
      </c>
      <c r="E36" s="11"/>
      <c r="F36" s="11"/>
      <c r="G36" s="11"/>
      <c r="H36" s="11"/>
      <c r="I36" s="11"/>
    </row>
    <row r="37" spans="1:9">
      <c r="A37" s="16" t="s">
        <v>96</v>
      </c>
      <c r="B37" s="21">
        <f>w*tt^3/12</f>
        <v>1.4018318088243186E-4</v>
      </c>
      <c r="C37" s="39">
        <f>C15*C26^3/12</f>
        <v>5.6073272352972743E-4</v>
      </c>
      <c r="D37" s="11" t="s">
        <v>179</v>
      </c>
      <c r="E37" s="11"/>
      <c r="F37" s="11"/>
      <c r="G37" s="11"/>
      <c r="H37" s="11"/>
      <c r="I37" s="11"/>
    </row>
    <row r="38" spans="1:9">
      <c r="A38" s="16" t="s">
        <v>97</v>
      </c>
      <c r="B38" s="44">
        <f>tt/2</f>
        <v>6.5449846949787352E-2</v>
      </c>
      <c r="C38" s="45">
        <f>C26/2</f>
        <v>6.5449846949787352E-2</v>
      </c>
      <c r="D38" s="11" t="s">
        <v>180</v>
      </c>
      <c r="E38" s="11"/>
      <c r="F38" s="11"/>
      <c r="G38" s="11"/>
      <c r="H38" s="11"/>
      <c r="I38" s="11"/>
    </row>
    <row r="39" spans="1:9">
      <c r="A39" s="16"/>
      <c r="B39" s="163" t="s">
        <v>190</v>
      </c>
      <c r="C39" s="163"/>
      <c r="D39" s="164" t="s">
        <v>189</v>
      </c>
      <c r="E39" s="164"/>
      <c r="F39" s="11"/>
      <c r="G39" s="11"/>
      <c r="H39" s="11"/>
      <c r="I39" s="11"/>
    </row>
    <row r="40" spans="1:9">
      <c r="A40" s="12" t="s">
        <v>187</v>
      </c>
      <c r="B40" s="34" t="s">
        <v>188</v>
      </c>
      <c r="C40" s="34" t="s">
        <v>186</v>
      </c>
      <c r="D40" s="34" t="s">
        <v>188</v>
      </c>
      <c r="E40" s="34" t="s">
        <v>186</v>
      </c>
      <c r="F40" s="11"/>
      <c r="G40" s="11"/>
      <c r="H40" s="11"/>
      <c r="I40" s="11"/>
    </row>
    <row r="41" spans="1:9">
      <c r="A41" s="16" t="s">
        <v>98</v>
      </c>
      <c r="B41" s="15">
        <f>Fp/Ac</f>
        <v>1943.9512154773429</v>
      </c>
      <c r="C41" s="42">
        <f>(sigg/SQRT(3))/B41</f>
        <v>3.4154808221616513</v>
      </c>
      <c r="D41" s="28">
        <f>C30/C35</f>
        <v>291.59268232160133</v>
      </c>
      <c r="E41" s="46">
        <f>(C$17/SQRT(3))/B41</f>
        <v>3.4154808221616513</v>
      </c>
      <c r="F41" s="11" t="s">
        <v>182</v>
      </c>
      <c r="G41" s="11"/>
      <c r="H41" s="11"/>
      <c r="I41" s="11"/>
    </row>
    <row r="42" spans="1:9">
      <c r="A42" s="16" t="s">
        <v>99</v>
      </c>
      <c r="B42" s="15">
        <f>Fp*Q/(w*I)</f>
        <v>3887.9024309546862</v>
      </c>
      <c r="C42" s="42">
        <f>sigg/SQRT(3)/B42</f>
        <v>1.7077404110808254</v>
      </c>
      <c r="D42" s="28">
        <f>C30*C36/(C15*C37)</f>
        <v>583.18536464320277</v>
      </c>
      <c r="E42" s="46">
        <f t="shared" ref="E42:E44" si="0">(C$17/SQRT(3))/B42</f>
        <v>1.7077404110808254</v>
      </c>
      <c r="F42" s="11" t="s">
        <v>183</v>
      </c>
      <c r="G42" s="11"/>
      <c r="H42" s="11"/>
      <c r="I42" s="11"/>
    </row>
    <row r="43" spans="1:9">
      <c r="A43" s="22" t="s">
        <v>100</v>
      </c>
      <c r="B43" s="23">
        <f>Fp*b*cc/I*scf</f>
        <v>13632.936507684215</v>
      </c>
      <c r="C43" s="43">
        <f>sigg/B43</f>
        <v>0.8435453354835194</v>
      </c>
      <c r="D43" s="28">
        <f>C30*C28*C38/C37*C20</f>
        <v>2044.9404761526318</v>
      </c>
      <c r="E43" s="46">
        <f t="shared" si="0"/>
        <v>0.48702112651506307</v>
      </c>
      <c r="F43" s="11" t="s">
        <v>184</v>
      </c>
      <c r="G43" s="11"/>
      <c r="H43" s="11"/>
      <c r="I43" s="11"/>
    </row>
    <row r="44" spans="1:9">
      <c r="A44" s="27" t="s">
        <v>129</v>
      </c>
      <c r="B44" s="28">
        <f>SQRT(3*B41^2+B43^2)</f>
        <v>14042.570875983378</v>
      </c>
      <c r="C44" s="43">
        <f>sigg/B44</f>
        <v>0.81893836260909558</v>
      </c>
      <c r="D44" s="28">
        <f>SQRT(3*D41^2+D43^2)</f>
        <v>2106.3856313975066</v>
      </c>
      <c r="E44" s="46">
        <f t="shared" si="0"/>
        <v>0.47281428410207266</v>
      </c>
      <c r="F44" s="47" t="s">
        <v>185</v>
      </c>
    </row>
    <row r="45" spans="1:9">
      <c r="B45">
        <f>6.9*B44/1000</f>
        <v>96.893739044285311</v>
      </c>
    </row>
  </sheetData>
  <mergeCells count="7">
    <mergeCell ref="B39:C39"/>
    <mergeCell ref="D39:E39"/>
    <mergeCell ref="A5:C5"/>
    <mergeCell ref="A1:C1"/>
    <mergeCell ref="A2:C2"/>
    <mergeCell ref="A3:C3"/>
    <mergeCell ref="A4:C4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13941-F3BA-9C46-BA5B-91BEDB86DB16}">
  <dimension ref="A1:E46"/>
  <sheetViews>
    <sheetView zoomScale="98" workbookViewId="0">
      <selection activeCell="F48" sqref="F48"/>
    </sheetView>
  </sheetViews>
  <sheetFormatPr baseColWidth="10" defaultRowHeight="16"/>
  <cols>
    <col min="1" max="1" width="46.6640625" customWidth="1"/>
    <col min="2" max="2" width="18.33203125" customWidth="1"/>
    <col min="3" max="3" width="18.6640625" customWidth="1"/>
    <col min="4" max="4" width="15" customWidth="1"/>
  </cols>
  <sheetData>
    <row r="1" spans="1:5">
      <c r="C1" t="s">
        <v>283</v>
      </c>
      <c r="D1" t="s">
        <v>284</v>
      </c>
    </row>
    <row r="2" spans="1:5">
      <c r="A2" t="s">
        <v>270</v>
      </c>
      <c r="B2" t="s">
        <v>271</v>
      </c>
      <c r="C2" s="96">
        <f>15/25.4</f>
        <v>0.59055118110236227</v>
      </c>
      <c r="D2" s="90">
        <f>hsd</f>
        <v>0.59055118110236227</v>
      </c>
      <c r="E2" t="s">
        <v>272</v>
      </c>
    </row>
    <row r="3" spans="1:5">
      <c r="C3" s="90">
        <f>25.4*hsd</f>
        <v>15</v>
      </c>
      <c r="D3" s="90">
        <f>25.4*D2</f>
        <v>15</v>
      </c>
      <c r="E3" t="s">
        <v>37</v>
      </c>
    </row>
    <row r="4" spans="1:5">
      <c r="A4" t="s">
        <v>280</v>
      </c>
      <c r="B4" t="s">
        <v>281</v>
      </c>
      <c r="C4" s="61">
        <v>0.75</v>
      </c>
      <c r="D4" s="61">
        <v>3</v>
      </c>
      <c r="E4" t="s">
        <v>272</v>
      </c>
    </row>
    <row r="5" spans="1:5">
      <c r="C5" s="90">
        <f>25.4*wcf</f>
        <v>19.049999999999997</v>
      </c>
      <c r="D5" s="90">
        <f>25.4*D4</f>
        <v>76.199999999999989</v>
      </c>
      <c r="E5" t="s">
        <v>37</v>
      </c>
    </row>
    <row r="6" spans="1:5">
      <c r="A6" t="s">
        <v>273</v>
      </c>
      <c r="B6" t="s">
        <v>274</v>
      </c>
      <c r="C6" s="91">
        <f>'System Analysis'!C67</f>
        <v>286.27044644440161</v>
      </c>
      <c r="D6" s="92">
        <f>ttbt</f>
        <v>286.27044644440161</v>
      </c>
      <c r="E6" t="s">
        <v>42</v>
      </c>
    </row>
    <row r="7" spans="1:5">
      <c r="A7" t="s">
        <v>276</v>
      </c>
      <c r="B7" t="s">
        <v>277</v>
      </c>
      <c r="C7" s="93">
        <f>3*(1-COS(PI()/6))/(2*PI())</f>
        <v>6.3968157709341944E-2</v>
      </c>
      <c r="D7" s="61"/>
    </row>
    <row r="8" spans="1:5">
      <c r="A8" t="s">
        <v>278</v>
      </c>
      <c r="B8" t="s">
        <v>279</v>
      </c>
      <c r="C8" s="61">
        <v>3</v>
      </c>
      <c r="D8" s="61"/>
    </row>
    <row r="9" spans="1:5">
      <c r="A9" t="s">
        <v>275</v>
      </c>
      <c r="B9" t="s">
        <v>285</v>
      </c>
      <c r="C9" s="94">
        <f>ttbt/(Chexpres*Nhftt*wcf*(hsd/2)^2)</f>
        <v>22812.614441327441</v>
      </c>
      <c r="D9" s="94">
        <f>ttbt/(Chexpres*Nhftt*D4*(hsd/2)^2)</f>
        <v>5703.1536103318604</v>
      </c>
      <c r="E9" t="s">
        <v>7</v>
      </c>
    </row>
    <row r="10" spans="1:5">
      <c r="C10" s="95">
        <f>hcpf*4.45/25.4^2</f>
        <v>157.35032280970168</v>
      </c>
      <c r="D10" s="95">
        <f>D9*4.45/25.4^2</f>
        <v>39.33758070242542</v>
      </c>
      <c r="E10" t="s">
        <v>282</v>
      </c>
    </row>
    <row r="13" spans="1:5">
      <c r="A13" t="s">
        <v>291</v>
      </c>
    </row>
    <row r="23" spans="1:1">
      <c r="A23" t="s">
        <v>286</v>
      </c>
    </row>
    <row r="46" spans="1:1">
      <c r="A46" t="s">
        <v>287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D7"/>
  <sheetViews>
    <sheetView workbookViewId="0">
      <selection activeCell="C6" sqref="C6"/>
    </sheetView>
  </sheetViews>
  <sheetFormatPr baseColWidth="10" defaultColWidth="11" defaultRowHeight="16"/>
  <cols>
    <col min="1" max="1" width="28" customWidth="1"/>
  </cols>
  <sheetData>
    <row r="3" spans="1:4">
      <c r="A3" t="s">
        <v>62</v>
      </c>
      <c r="B3" t="s">
        <v>66</v>
      </c>
      <c r="C3" s="8">
        <f>Fbear/2</f>
        <v>527.18373719029125</v>
      </c>
      <c r="D3" t="s">
        <v>24</v>
      </c>
    </row>
    <row r="4" spans="1:4">
      <c r="A4" t="s">
        <v>63</v>
      </c>
      <c r="B4" t="s">
        <v>67</v>
      </c>
      <c r="C4" s="9">
        <f>C5</f>
        <v>9.5249999999999986</v>
      </c>
      <c r="D4" t="s">
        <v>37</v>
      </c>
    </row>
    <row r="5" spans="1:4">
      <c r="A5" t="s">
        <v>64</v>
      </c>
      <c r="B5" t="s">
        <v>65</v>
      </c>
      <c r="C5" s="9">
        <f>Dbear</f>
        <v>9.5249999999999986</v>
      </c>
      <c r="D5" t="s">
        <v>37</v>
      </c>
    </row>
    <row r="6" spans="1:4">
      <c r="A6" t="s">
        <v>68</v>
      </c>
      <c r="C6" s="10">
        <f>Fbearing/(C4*C5)</f>
        <v>5.8107479247488385</v>
      </c>
      <c r="D6" t="s">
        <v>8</v>
      </c>
    </row>
    <row r="7" spans="1:4">
      <c r="C7" s="10">
        <f>C6/4.45*25.4^2</f>
        <v>842.44092834403602</v>
      </c>
      <c r="D7" t="s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09F48-5ECC-6342-BF67-63C322871CCD}">
  <dimension ref="A5:N21"/>
  <sheetViews>
    <sheetView workbookViewId="0">
      <selection activeCell="B28" sqref="B28"/>
    </sheetView>
  </sheetViews>
  <sheetFormatPr baseColWidth="10" defaultRowHeight="16"/>
  <cols>
    <col min="1" max="1" width="82.5" customWidth="1"/>
  </cols>
  <sheetData>
    <row r="5" spans="1:14" s="2" customFormat="1">
      <c r="A5" s="176" t="s">
        <v>126</v>
      </c>
      <c r="B5" s="177"/>
      <c r="C5" s="177"/>
      <c r="D5" s="177"/>
      <c r="E5" s="177"/>
      <c r="F5" s="177"/>
      <c r="G5" s="177"/>
      <c r="H5" s="177"/>
      <c r="I5" s="177"/>
      <c r="J5" s="177"/>
      <c r="K5" s="177"/>
      <c r="L5" s="177"/>
      <c r="M5" s="177"/>
      <c r="N5" s="178"/>
    </row>
    <row r="6" spans="1:14" s="2" customFormat="1">
      <c r="C6" s="5"/>
      <c r="I6" s="179" t="s">
        <v>119</v>
      </c>
      <c r="J6" s="180"/>
      <c r="K6" s="180"/>
      <c r="L6" s="180"/>
      <c r="M6" s="180"/>
      <c r="N6" s="181"/>
    </row>
    <row r="7" spans="1:14" s="2" customFormat="1">
      <c r="A7" s="2" t="s">
        <v>104</v>
      </c>
      <c r="B7" s="2" t="s">
        <v>105</v>
      </c>
      <c r="C7" s="5">
        <v>50</v>
      </c>
      <c r="D7" s="2" t="s">
        <v>106</v>
      </c>
      <c r="I7" s="182"/>
      <c r="J7" s="183"/>
      <c r="K7" s="183"/>
      <c r="L7" s="183"/>
      <c r="M7" s="183"/>
      <c r="N7" s="184"/>
    </row>
    <row r="8" spans="1:14" s="2" customFormat="1">
      <c r="A8" s="2" t="s">
        <v>107</v>
      </c>
      <c r="B8" s="2" t="s">
        <v>108</v>
      </c>
      <c r="C8" s="5">
        <v>100</v>
      </c>
      <c r="D8" s="2" t="s">
        <v>106</v>
      </c>
      <c r="I8" s="182"/>
      <c r="J8" s="183"/>
      <c r="K8" s="183"/>
      <c r="L8" s="183"/>
      <c r="M8" s="183"/>
      <c r="N8" s="184"/>
    </row>
    <row r="9" spans="1:14" s="2" customFormat="1">
      <c r="C9" s="5"/>
      <c r="E9" s="2" t="s">
        <v>117</v>
      </c>
      <c r="I9" s="182"/>
      <c r="J9" s="183"/>
      <c r="K9" s="183"/>
      <c r="L9" s="183"/>
      <c r="M9" s="183"/>
      <c r="N9" s="184"/>
    </row>
    <row r="10" spans="1:14" s="2" customFormat="1">
      <c r="A10" s="2" t="s">
        <v>115</v>
      </c>
      <c r="B10" s="2" t="s">
        <v>116</v>
      </c>
      <c r="C10" s="5">
        <v>3</v>
      </c>
      <c r="D10" s="2" t="s">
        <v>106</v>
      </c>
      <c r="E10" s="24">
        <f>C7/C10</f>
        <v>16.666666666666668</v>
      </c>
      <c r="I10" s="185"/>
      <c r="J10" s="186"/>
      <c r="K10" s="186"/>
      <c r="L10" s="186"/>
      <c r="M10" s="186"/>
      <c r="N10" s="187"/>
    </row>
    <row r="11" spans="1:14" s="2" customFormat="1">
      <c r="C11" s="5"/>
    </row>
    <row r="12" spans="1:14" s="2" customFormat="1">
      <c r="A12" s="2" t="s">
        <v>109</v>
      </c>
      <c r="C12" s="5">
        <v>8</v>
      </c>
      <c r="D12" s="2" t="s">
        <v>111</v>
      </c>
    </row>
    <row r="13" spans="1:14" s="2" customFormat="1">
      <c r="A13" s="2" t="s">
        <v>110</v>
      </c>
      <c r="C13" s="5">
        <v>40</v>
      </c>
      <c r="D13" s="2" t="s">
        <v>111</v>
      </c>
    </row>
    <row r="14" spans="1:14" s="2" customFormat="1">
      <c r="C14" s="5"/>
    </row>
    <row r="15" spans="1:14" s="2" customFormat="1">
      <c r="A15" s="2" t="s">
        <v>112</v>
      </c>
      <c r="B15" s="2" t="s">
        <v>112</v>
      </c>
      <c r="C15" s="5">
        <v>15</v>
      </c>
      <c r="D15" s="2" t="s">
        <v>106</v>
      </c>
      <c r="E15" s="173" t="s">
        <v>118</v>
      </c>
      <c r="F15" s="174"/>
      <c r="G15" s="174"/>
      <c r="H15" s="174"/>
      <c r="I15" s="174"/>
      <c r="J15" s="174"/>
      <c r="K15" s="174"/>
      <c r="L15" s="174"/>
      <c r="M15" s="175"/>
    </row>
    <row r="16" spans="1:14" s="2" customFormat="1">
      <c r="A16" s="2" t="s">
        <v>113</v>
      </c>
      <c r="B16" s="2" t="s">
        <v>114</v>
      </c>
      <c r="C16" s="5">
        <v>30</v>
      </c>
      <c r="D16" s="2" t="s">
        <v>106</v>
      </c>
    </row>
    <row r="17" spans="1:9" s="2" customFormat="1">
      <c r="A17" s="2" t="s">
        <v>121</v>
      </c>
      <c r="B17" s="2" t="s">
        <v>123</v>
      </c>
      <c r="C17" s="5">
        <v>15</v>
      </c>
      <c r="D17" s="2" t="s">
        <v>106</v>
      </c>
    </row>
    <row r="18" spans="1:9" s="2" customFormat="1">
      <c r="C18" s="5"/>
    </row>
    <row r="19" spans="1:9" s="2" customFormat="1">
      <c r="A19" s="2" t="s">
        <v>122</v>
      </c>
      <c r="B19" s="2" t="s">
        <v>124</v>
      </c>
      <c r="C19" s="5">
        <f>C17</f>
        <v>15</v>
      </c>
      <c r="D19" s="2" t="s">
        <v>106</v>
      </c>
    </row>
    <row r="20" spans="1:9" s="2" customFormat="1">
      <c r="A20" s="2" t="s">
        <v>128</v>
      </c>
      <c r="B20" s="2" t="s">
        <v>127</v>
      </c>
      <c r="C20" s="5">
        <v>30</v>
      </c>
      <c r="D20" s="2" t="s">
        <v>230</v>
      </c>
      <c r="E20" s="173"/>
      <c r="F20" s="174"/>
      <c r="G20" s="174"/>
      <c r="H20" s="174"/>
      <c r="I20" s="175"/>
    </row>
    <row r="21" spans="1:9" s="2" customFormat="1">
      <c r="C21" s="5"/>
    </row>
  </sheetData>
  <mergeCells count="4">
    <mergeCell ref="E20:I20"/>
    <mergeCell ref="A5:N5"/>
    <mergeCell ref="I6:N10"/>
    <mergeCell ref="E15:M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6"/>
  <sheetViews>
    <sheetView workbookViewId="0">
      <selection activeCell="B10" sqref="B10"/>
    </sheetView>
  </sheetViews>
  <sheetFormatPr baseColWidth="10" defaultColWidth="11" defaultRowHeight="16"/>
  <sheetData>
    <row r="2" spans="1:1">
      <c r="A2" s="1" t="s">
        <v>9</v>
      </c>
    </row>
    <row r="4" spans="1:1">
      <c r="A4" s="1" t="s">
        <v>10</v>
      </c>
    </row>
    <row r="6" spans="1:1">
      <c r="A6" s="1" t="s">
        <v>11</v>
      </c>
    </row>
  </sheetData>
  <hyperlinks>
    <hyperlink ref="A2" r:id="rId1" xr:uid="{00000000-0004-0000-0300-000000000000}"/>
    <hyperlink ref="A4" r:id="rId2" xr:uid="{00000000-0004-0000-0300-000001000000}"/>
    <hyperlink ref="A6" r:id="rId3" xr:uid="{00000000-0004-0000-0300-000002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09FE-BDA6-754D-8F9F-80B658E9D33A}">
  <dimension ref="A1:D10"/>
  <sheetViews>
    <sheetView workbookViewId="0">
      <selection activeCell="C28" sqref="C28"/>
    </sheetView>
  </sheetViews>
  <sheetFormatPr baseColWidth="10" defaultRowHeight="16"/>
  <sheetData>
    <row r="1" spans="1:4">
      <c r="A1" t="s">
        <v>152</v>
      </c>
      <c r="B1" t="s">
        <v>139</v>
      </c>
      <c r="C1" t="s">
        <v>140</v>
      </c>
      <c r="D1" t="s">
        <v>141</v>
      </c>
    </row>
    <row r="2" spans="1:4">
      <c r="A2">
        <v>1</v>
      </c>
      <c r="B2" s="30">
        <v>43914</v>
      </c>
      <c r="C2" t="s">
        <v>142</v>
      </c>
      <c r="D2" t="s">
        <v>143</v>
      </c>
    </row>
    <row r="3" spans="1:4">
      <c r="A3">
        <v>2</v>
      </c>
      <c r="B3" s="30">
        <v>43914</v>
      </c>
      <c r="C3" t="s">
        <v>142</v>
      </c>
      <c r="D3" t="s">
        <v>151</v>
      </c>
    </row>
    <row r="4" spans="1:4">
      <c r="A4">
        <v>3</v>
      </c>
      <c r="B4" s="30">
        <v>43914</v>
      </c>
      <c r="C4" t="s">
        <v>142</v>
      </c>
      <c r="D4" t="s">
        <v>208</v>
      </c>
    </row>
    <row r="5" spans="1:4">
      <c r="A5">
        <v>4</v>
      </c>
      <c r="B5" s="30">
        <v>43914</v>
      </c>
      <c r="C5" t="s">
        <v>142</v>
      </c>
      <c r="D5" t="s">
        <v>229</v>
      </c>
    </row>
    <row r="6" spans="1:4">
      <c r="A6">
        <v>5</v>
      </c>
      <c r="B6" s="30">
        <v>43915</v>
      </c>
      <c r="C6" t="s">
        <v>142</v>
      </c>
      <c r="D6" t="s">
        <v>236</v>
      </c>
    </row>
    <row r="7" spans="1:4">
      <c r="A7">
        <v>6</v>
      </c>
      <c r="B7" s="30">
        <v>43916</v>
      </c>
      <c r="C7" t="s">
        <v>142</v>
      </c>
      <c r="D7" t="s">
        <v>238</v>
      </c>
    </row>
    <row r="8" spans="1:4">
      <c r="A8">
        <v>7</v>
      </c>
      <c r="B8" s="30">
        <v>43917</v>
      </c>
      <c r="C8" t="s">
        <v>142</v>
      </c>
      <c r="D8" t="s">
        <v>239</v>
      </c>
    </row>
    <row r="9" spans="1:4">
      <c r="A9">
        <v>8</v>
      </c>
      <c r="B9" s="30">
        <v>43918</v>
      </c>
      <c r="C9" t="s">
        <v>142</v>
      </c>
      <c r="D9" t="s">
        <v>305</v>
      </c>
    </row>
    <row r="10" spans="1:4">
      <c r="A10">
        <v>8</v>
      </c>
      <c r="B10" s="30">
        <v>43919</v>
      </c>
      <c r="C10" t="s">
        <v>142</v>
      </c>
      <c r="D10" t="s">
        <v>305</v>
      </c>
    </row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29F1A-0DFF-2640-8E50-101721C15B8A}">
  <dimension ref="A4:E7"/>
  <sheetViews>
    <sheetView workbookViewId="0">
      <selection activeCell="A47" sqref="A47"/>
    </sheetView>
  </sheetViews>
  <sheetFormatPr baseColWidth="10" defaultRowHeight="16"/>
  <cols>
    <col min="1" max="1" width="33.6640625" customWidth="1"/>
  </cols>
  <sheetData>
    <row r="4" spans="1:5">
      <c r="A4" t="s">
        <v>266</v>
      </c>
      <c r="B4" s="87">
        <v>50</v>
      </c>
      <c r="C4" t="s">
        <v>37</v>
      </c>
    </row>
    <row r="5" spans="1:5">
      <c r="A5" t="s">
        <v>265</v>
      </c>
      <c r="B5" s="88">
        <v>40</v>
      </c>
      <c r="C5" t="s">
        <v>37</v>
      </c>
    </row>
    <row r="6" spans="1:5">
      <c r="A6" t="s">
        <v>268</v>
      </c>
      <c r="B6" s="88">
        <v>45</v>
      </c>
      <c r="C6" t="s">
        <v>54</v>
      </c>
    </row>
    <row r="7" spans="1:5">
      <c r="A7" t="s">
        <v>267</v>
      </c>
      <c r="B7" s="89">
        <f>0.5*(B4-Bag2eD)*SIN(B6*PI()/180)</f>
        <v>3.5355339059327373</v>
      </c>
      <c r="C7" t="s">
        <v>37</v>
      </c>
      <c r="E7" t="s">
        <v>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89</vt:i4>
      </vt:variant>
    </vt:vector>
  </HeadingPairs>
  <TitlesOfParts>
    <vt:vector size="98" baseType="lpstr">
      <vt:lpstr>System Analysis</vt:lpstr>
      <vt:lpstr>Motor Options</vt:lpstr>
      <vt:lpstr>Gears</vt:lpstr>
      <vt:lpstr>Hex drive</vt:lpstr>
      <vt:lpstr>Bearings</vt:lpstr>
      <vt:lpstr>lung compliance notes</vt:lpstr>
      <vt:lpstr>refs</vt:lpstr>
      <vt:lpstr>Revisions</vt:lpstr>
      <vt:lpstr>Bag fixture by V</vt:lpstr>
      <vt:lpstr>Ac</vt:lpstr>
      <vt:lpstr>Arcfing</vt:lpstr>
      <vt:lpstr>Areabag</vt:lpstr>
      <vt:lpstr>b</vt:lpstr>
      <vt:lpstr>Bag1eD</vt:lpstr>
      <vt:lpstr>Bag2eD</vt:lpstr>
      <vt:lpstr>bpdavg</vt:lpstr>
      <vt:lpstr>cc</vt:lpstr>
      <vt:lpstr>Chexpres</vt:lpstr>
      <vt:lpstr>cmh2O</vt:lpstr>
      <vt:lpstr>cmH2Omax</vt:lpstr>
      <vt:lpstr>Ctol</vt:lpstr>
      <vt:lpstr>Dbag</vt:lpstr>
      <vt:lpstr>Dbear</vt:lpstr>
      <vt:lpstr>Dg</vt:lpstr>
      <vt:lpstr>Dgear</vt:lpstr>
      <vt:lpstr>Dolm</vt:lpstr>
      <vt:lpstr>Dp</vt:lpstr>
      <vt:lpstr>Dpinion</vt:lpstr>
      <vt:lpstr>etamech</vt:lpstr>
      <vt:lpstr>expr</vt:lpstr>
      <vt:lpstr>f</vt:lpstr>
      <vt:lpstr>Fbag</vt:lpstr>
      <vt:lpstr>Fbear</vt:lpstr>
      <vt:lpstr>Fbearing</vt:lpstr>
      <vt:lpstr>Fbx</vt:lpstr>
      <vt:lpstr>Fby</vt:lpstr>
      <vt:lpstr>Ffinger</vt:lpstr>
      <vt:lpstr>Fgear</vt:lpstr>
      <vt:lpstr>Fgtg</vt:lpstr>
      <vt:lpstr>Fp</vt:lpstr>
      <vt:lpstr>Fperbear</vt:lpstr>
      <vt:lpstr>Fradmaxm</vt:lpstr>
      <vt:lpstr>Fsp</vt:lpstr>
      <vt:lpstr>gosn</vt:lpstr>
      <vt:lpstr>hcpf</vt:lpstr>
      <vt:lpstr>hsd</vt:lpstr>
      <vt:lpstr>I</vt:lpstr>
      <vt:lpstr>ier</vt:lpstr>
      <vt:lpstr>insp</vt:lpstr>
      <vt:lpstr>Lbag</vt:lpstr>
      <vt:lpstr>mu</vt:lpstr>
      <vt:lpstr>Nema34Tas</vt:lpstr>
      <vt:lpstr>NemaTas</vt:lpstr>
      <vt:lpstr>Ng</vt:lpstr>
      <vt:lpstr>Nhftt</vt:lpstr>
      <vt:lpstr>NMr</vt:lpstr>
      <vt:lpstr>NMsize</vt:lpstr>
      <vt:lpstr>Np</vt:lpstr>
      <vt:lpstr>ovszf</vt:lpstr>
      <vt:lpstr>P</vt:lpstr>
      <vt:lpstr>pap</vt:lpstr>
      <vt:lpstr>papeta</vt:lpstr>
      <vt:lpstr>Pbaginhale</vt:lpstr>
      <vt:lpstr>pbagmm</vt:lpstr>
      <vt:lpstr>pcr</vt:lpstr>
      <vt:lpstr>PFPL</vt:lpstr>
      <vt:lpstr>PFPLr</vt:lpstr>
      <vt:lpstr>Q</vt:lpstr>
      <vt:lpstr>R_1</vt:lpstr>
      <vt:lpstr>R_2</vt:lpstr>
      <vt:lpstr>Resprate</vt:lpstr>
      <vt:lpstr>resprateavg</vt:lpstr>
      <vt:lpstr>Rgear</vt:lpstr>
      <vt:lpstr>Rpmfing</vt:lpstr>
      <vt:lpstr>Rpmgmr</vt:lpstr>
      <vt:lpstr>scf</vt:lpstr>
      <vt:lpstr>sigg</vt:lpstr>
      <vt:lpstr>sigp</vt:lpstr>
      <vt:lpstr>spb</vt:lpstr>
      <vt:lpstr>T</vt:lpstr>
      <vt:lpstr>tgear</vt:lpstr>
      <vt:lpstr>tgm</vt:lpstr>
      <vt:lpstr>Thetapingear</vt:lpstr>
      <vt:lpstr>tinsp</vt:lpstr>
      <vt:lpstr>Tlsbf</vt:lpstr>
      <vt:lpstr>tmcd</vt:lpstr>
      <vt:lpstr>tpb</vt:lpstr>
      <vt:lpstr>trpf</vt:lpstr>
      <vt:lpstr>trtp</vt:lpstr>
      <vt:lpstr>Tstallsm</vt:lpstr>
      <vt:lpstr>Tstallsmm</vt:lpstr>
      <vt:lpstr>tt</vt:lpstr>
      <vt:lpstr>ttbt</vt:lpstr>
      <vt:lpstr>Vrbagsides</vt:lpstr>
      <vt:lpstr>w</vt:lpstr>
      <vt:lpstr>wcf</vt:lpstr>
      <vt:lpstr>wfree34</vt:lpstr>
      <vt:lpstr>xpramp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2020-03-21T01:25:00Z</dcterms:created>
  <dcterms:modified xsi:type="dcterms:W3CDTF">2020-03-28T14:42:32Z</dcterms:modified>
</cp:coreProperties>
</file>