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블로그\"/>
    </mc:Choice>
  </mc:AlternateContent>
  <xr:revisionPtr revIDLastSave="0" documentId="13_ncr:1_{064A085E-75A3-418A-B513-E9D915A058E3}" xr6:coauthVersionLast="45" xr6:coauthVersionMax="45" xr10:uidLastSave="{00000000-0000-0000-0000-000000000000}"/>
  <bookViews>
    <workbookView xWindow="28680" yWindow="-120" windowWidth="29040" windowHeight="17640" tabRatio="601" firstSheet="6" activeTab="10" xr2:uid="{AE85016A-7A95-4B70-96EE-21E6EEA7C4DC}"/>
  </bookViews>
  <sheets>
    <sheet name="초보자용" sheetId="11" r:id="rId1"/>
    <sheet name="중,고급자용" sheetId="12" r:id="rId2"/>
    <sheet name="보충제_추천제품_우선순위" sheetId="14" r:id="rId3"/>
    <sheet name="다이어트_기간_계산기" sheetId="17" r:id="rId4"/>
    <sheet name="식단계산기" sheetId="3" r:id="rId5"/>
    <sheet name="식단계산기(확장판)" sheetId="16" r:id="rId6"/>
    <sheet name="닭가슴살 도우미" sheetId="9" r:id="rId7"/>
    <sheet name="체중변화_도우미(다이어트, 벌크업)" sheetId="10" r:id="rId8"/>
    <sheet name="체중변화_도우미(벌크업, 예시)" sheetId="15" r:id="rId9"/>
    <sheet name="치팅데이_도우미" sheetId="18" r:id="rId10"/>
    <sheet name="단백질 보충제 만능활용 도우미" sheetId="20" r:id="rId11"/>
  </sheets>
  <externalReferences>
    <externalReference r:id="rId12"/>
    <externalReference r:id="rId13"/>
  </externalReferences>
  <definedNames>
    <definedName name="_xlnm._FilterDatabase" localSheetId="6" hidden="1">'닭가슴살 도우미'!$B$1:$S$1</definedName>
    <definedName name="_xlnm._FilterDatabase" localSheetId="4" hidden="1">식단계산기!$A$3:$BG$23</definedName>
    <definedName name="_xlnm._FilterDatabase" localSheetId="5" hidden="1">'식단계산기(확장판)'!$A$3:$BG$23</definedName>
    <definedName name="_xlnm._FilterDatabase" localSheetId="1" hidden="1">'중,고급자용'!$A$89:$E$89</definedName>
    <definedName name="_xlnm._FilterDatabase" localSheetId="0" hidden="1">초보자용!$A$94:$E$94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20" l="1"/>
  <c r="D21" i="20" s="1"/>
  <c r="G20" i="20"/>
  <c r="F20" i="20"/>
  <c r="E20" i="20"/>
  <c r="D20" i="20"/>
  <c r="G19" i="20"/>
  <c r="F19" i="20"/>
  <c r="E19" i="20"/>
  <c r="D19" i="20"/>
  <c r="G18" i="20"/>
  <c r="F18" i="20"/>
  <c r="E18" i="20"/>
  <c r="D18" i="20"/>
  <c r="G17" i="20"/>
  <c r="F17" i="20"/>
  <c r="E17" i="20"/>
  <c r="D17" i="20"/>
  <c r="G16" i="20"/>
  <c r="G23" i="20" s="1"/>
  <c r="F16" i="20"/>
  <c r="F23" i="20" s="1"/>
  <c r="E16" i="20"/>
  <c r="E23" i="20" s="1"/>
  <c r="D16" i="20"/>
  <c r="D23" i="20" s="1"/>
  <c r="G6" i="20"/>
  <c r="F6" i="20"/>
  <c r="E6" i="20"/>
  <c r="D6" i="20"/>
  <c r="G5" i="20"/>
  <c r="F5" i="20"/>
  <c r="E5" i="20"/>
  <c r="D5" i="20"/>
  <c r="G4" i="20"/>
  <c r="G8" i="20" s="1"/>
  <c r="F4" i="20"/>
  <c r="F8" i="20" s="1"/>
  <c r="E4" i="20"/>
  <c r="E8" i="20" s="1"/>
  <c r="D4" i="20"/>
  <c r="D8" i="20" s="1"/>
  <c r="E24" i="20" l="1"/>
  <c r="F9" i="20"/>
  <c r="G24" i="20"/>
  <c r="F24" i="20"/>
  <c r="E9" i="20"/>
  <c r="G9" i="20"/>
  <c r="D42" i="18"/>
  <c r="D41" i="18"/>
  <c r="D40" i="18"/>
  <c r="D39" i="18"/>
  <c r="D38" i="18"/>
  <c r="D37" i="18"/>
  <c r="D33" i="18"/>
  <c r="D32" i="18"/>
  <c r="D31" i="18"/>
  <c r="D30" i="18"/>
  <c r="C20" i="18"/>
  <c r="B30" i="18" s="1"/>
  <c r="B40" i="17"/>
  <c r="C38" i="17"/>
  <c r="C35" i="17"/>
  <c r="D25" i="17"/>
  <c r="C22" i="17"/>
  <c r="C24" i="17" s="1"/>
  <c r="E21" i="17" s="1"/>
  <c r="D86" i="16"/>
  <c r="D85" i="16"/>
  <c r="D84" i="16"/>
  <c r="D83" i="16"/>
  <c r="G77" i="16"/>
  <c r="F77" i="16"/>
  <c r="E77" i="16"/>
  <c r="D77" i="16"/>
  <c r="G76" i="16"/>
  <c r="F76" i="16"/>
  <c r="E76" i="16"/>
  <c r="D76" i="16"/>
  <c r="G75" i="16"/>
  <c r="F75" i="16"/>
  <c r="E75" i="16"/>
  <c r="D75" i="16"/>
  <c r="G74" i="16"/>
  <c r="F74" i="16"/>
  <c r="E74" i="16"/>
  <c r="D74" i="16"/>
  <c r="G73" i="16"/>
  <c r="F73" i="16"/>
  <c r="E73" i="16"/>
  <c r="D73" i="16"/>
  <c r="I70" i="16" s="1"/>
  <c r="G72" i="16"/>
  <c r="F72" i="16"/>
  <c r="E72" i="16"/>
  <c r="D72" i="16"/>
  <c r="G71" i="16"/>
  <c r="F71" i="16"/>
  <c r="E71" i="16"/>
  <c r="D71" i="16"/>
  <c r="G70" i="16"/>
  <c r="I76" i="16" s="1"/>
  <c r="J76" i="16" s="1"/>
  <c r="F70" i="16"/>
  <c r="I74" i="16" s="1"/>
  <c r="J74" i="16" s="1"/>
  <c r="E70" i="16"/>
  <c r="I72" i="16" s="1"/>
  <c r="J72" i="16" s="1"/>
  <c r="D70" i="16"/>
  <c r="G69" i="16"/>
  <c r="F69" i="16"/>
  <c r="E69" i="16"/>
  <c r="D69" i="16"/>
  <c r="G68" i="16"/>
  <c r="F68" i="16"/>
  <c r="E68" i="16"/>
  <c r="D68" i="16"/>
  <c r="G67" i="16"/>
  <c r="F67" i="16"/>
  <c r="E67" i="16"/>
  <c r="D67" i="16"/>
  <c r="G66" i="16"/>
  <c r="F66" i="16"/>
  <c r="E66" i="16"/>
  <c r="D66" i="16"/>
  <c r="G65" i="16"/>
  <c r="F65" i="16"/>
  <c r="E65" i="16"/>
  <c r="D65" i="16"/>
  <c r="G64" i="16"/>
  <c r="F64" i="16"/>
  <c r="E64" i="16"/>
  <c r="D64" i="16"/>
  <c r="G63" i="16"/>
  <c r="F63" i="16"/>
  <c r="E63" i="16"/>
  <c r="D63" i="16"/>
  <c r="G62" i="16"/>
  <c r="I68" i="16" s="1"/>
  <c r="J68" i="16" s="1"/>
  <c r="C62" i="16"/>
  <c r="F62" i="16" s="1"/>
  <c r="I66" i="16" s="1"/>
  <c r="J66" i="16" s="1"/>
  <c r="G61" i="16"/>
  <c r="F61" i="16"/>
  <c r="E61" i="16"/>
  <c r="D61" i="16"/>
  <c r="G60" i="16"/>
  <c r="F60" i="16"/>
  <c r="E60" i="16"/>
  <c r="D60" i="16"/>
  <c r="G59" i="16"/>
  <c r="F59" i="16"/>
  <c r="E59" i="16"/>
  <c r="D59" i="16"/>
  <c r="G58" i="16"/>
  <c r="F58" i="16"/>
  <c r="E58" i="16"/>
  <c r="D58" i="16"/>
  <c r="G57" i="16"/>
  <c r="F57" i="16"/>
  <c r="E57" i="16"/>
  <c r="D57" i="16"/>
  <c r="G56" i="16"/>
  <c r="F56" i="16"/>
  <c r="E56" i="16"/>
  <c r="D56" i="16"/>
  <c r="G55" i="16"/>
  <c r="F55" i="16"/>
  <c r="E55" i="16"/>
  <c r="D55" i="16"/>
  <c r="C54" i="16"/>
  <c r="D54" i="16" s="1"/>
  <c r="I54" i="16" s="1"/>
  <c r="G53" i="16"/>
  <c r="F53" i="16"/>
  <c r="E53" i="16"/>
  <c r="D53" i="16"/>
  <c r="G52" i="16"/>
  <c r="F52" i="16"/>
  <c r="E52" i="16"/>
  <c r="D52" i="16"/>
  <c r="G51" i="16"/>
  <c r="F51" i="16"/>
  <c r="E51" i="16"/>
  <c r="D51" i="16"/>
  <c r="G50" i="16"/>
  <c r="F50" i="16"/>
  <c r="E50" i="16"/>
  <c r="D50" i="16"/>
  <c r="G49" i="16"/>
  <c r="F49" i="16"/>
  <c r="E49" i="16"/>
  <c r="D49" i="16"/>
  <c r="G48" i="16"/>
  <c r="F48" i="16"/>
  <c r="E48" i="16"/>
  <c r="D48" i="16"/>
  <c r="G47" i="16"/>
  <c r="F47" i="16"/>
  <c r="E47" i="16"/>
  <c r="D47" i="16"/>
  <c r="G46" i="16"/>
  <c r="D46" i="16"/>
  <c r="C46" i="16"/>
  <c r="F46" i="16" s="1"/>
  <c r="BH24" i="16"/>
  <c r="C30" i="18" l="1"/>
  <c r="E30" i="18" s="1"/>
  <c r="B33" i="18"/>
  <c r="B31" i="18"/>
  <c r="B32" i="18"/>
  <c r="B42" i="17"/>
  <c r="K76" i="16"/>
  <c r="K74" i="16"/>
  <c r="I50" i="16"/>
  <c r="J50" i="16" s="1"/>
  <c r="K68" i="16"/>
  <c r="K66" i="16"/>
  <c r="K72" i="16"/>
  <c r="E54" i="16"/>
  <c r="I56" i="16" s="1"/>
  <c r="J56" i="16" s="1"/>
  <c r="K56" i="16" s="1"/>
  <c r="F54" i="16"/>
  <c r="I58" i="16" s="1"/>
  <c r="J58" i="16" s="1"/>
  <c r="K58" i="16" s="1"/>
  <c r="G54" i="16"/>
  <c r="I60" i="16" s="1"/>
  <c r="J60" i="16" s="1"/>
  <c r="K60" i="16" s="1"/>
  <c r="I52" i="16"/>
  <c r="J52" i="16" s="1"/>
  <c r="K52" i="16" s="1"/>
  <c r="E46" i="16"/>
  <c r="D62" i="16"/>
  <c r="I62" i="16" s="1"/>
  <c r="E62" i="16"/>
  <c r="I64" i="16" s="1"/>
  <c r="J64" i="16" s="1"/>
  <c r="K64" i="16" s="1"/>
  <c r="I46" i="16"/>
  <c r="D55" i="12"/>
  <c r="D56" i="12"/>
  <c r="D57" i="12"/>
  <c r="D58" i="12"/>
  <c r="D59" i="12"/>
  <c r="D60" i="12"/>
  <c r="D61" i="12"/>
  <c r="D62" i="12"/>
  <c r="D63" i="12"/>
  <c r="D54" i="12"/>
  <c r="D40" i="12"/>
  <c r="D41" i="12"/>
  <c r="D42" i="12"/>
  <c r="D43" i="12"/>
  <c r="D44" i="12"/>
  <c r="D45" i="12"/>
  <c r="D46" i="12"/>
  <c r="D47" i="12"/>
  <c r="D48" i="12"/>
  <c r="D25" i="12"/>
  <c r="D26" i="12"/>
  <c r="D27" i="12"/>
  <c r="D28" i="12"/>
  <c r="D29" i="12"/>
  <c r="D30" i="12"/>
  <c r="D31" i="12"/>
  <c r="D32" i="12"/>
  <c r="D33" i="12"/>
  <c r="D24" i="12"/>
  <c r="C32" i="18" l="1"/>
  <c r="E32" i="18"/>
  <c r="C31" i="18"/>
  <c r="E31" i="18" s="1"/>
  <c r="C33" i="18"/>
  <c r="E33" i="18" s="1"/>
  <c r="G79" i="16"/>
  <c r="D80" i="16"/>
  <c r="E80" i="16"/>
  <c r="E81" i="16" s="1"/>
  <c r="E79" i="16"/>
  <c r="I48" i="16"/>
  <c r="J48" i="16" s="1"/>
  <c r="K48" i="16" s="1"/>
  <c r="F80" i="16"/>
  <c r="F81" i="16" s="1"/>
  <c r="K50" i="16"/>
  <c r="F79" i="16"/>
  <c r="G80" i="16"/>
  <c r="G81" i="16" s="1"/>
  <c r="C7" i="12"/>
  <c r="A7" i="12"/>
  <c r="E84" i="16" l="1"/>
  <c r="F84" i="16" s="1"/>
  <c r="E90" i="16"/>
  <c r="F90" i="16" s="1"/>
  <c r="E83" i="16"/>
  <c r="F83" i="16" s="1"/>
  <c r="E89" i="16"/>
  <c r="F89" i="16" s="1"/>
  <c r="E85" i="16"/>
  <c r="F85" i="16" s="1"/>
  <c r="E91" i="16"/>
  <c r="F91" i="16" s="1"/>
  <c r="E92" i="16"/>
  <c r="F92" i="16" s="1"/>
  <c r="E86" i="16"/>
  <c r="F86" i="16" s="1"/>
  <c r="C25" i="11"/>
  <c r="C24" i="11"/>
  <c r="C23" i="11"/>
  <c r="C22" i="11"/>
  <c r="E8" i="11"/>
  <c r="C8" i="11"/>
  <c r="C36" i="3" l="1"/>
  <c r="F5" i="15" l="1"/>
  <c r="G5" i="15" s="1"/>
  <c r="K51" i="15"/>
  <c r="F4" i="15"/>
  <c r="G4" i="15" s="1"/>
  <c r="H4" i="15" s="1"/>
  <c r="F5" i="10"/>
  <c r="G5" i="10" s="1"/>
  <c r="H5" i="15" l="1"/>
  <c r="I4" i="15"/>
  <c r="J4" i="15" l="1"/>
  <c r="I5" i="15"/>
  <c r="K4" i="15" l="1"/>
  <c r="J5" i="15"/>
  <c r="L4" i="15" l="1"/>
  <c r="K5" i="15"/>
  <c r="M4" i="15" l="1"/>
  <c r="L5" i="15"/>
  <c r="N4" i="15" l="1"/>
  <c r="M5" i="15"/>
  <c r="N5" i="15" l="1"/>
  <c r="O4" i="15"/>
  <c r="O5" i="15" l="1"/>
  <c r="P4" i="15"/>
  <c r="P5" i="15" l="1"/>
  <c r="Q4" i="15"/>
  <c r="Q5" i="15" l="1"/>
  <c r="R4" i="15"/>
  <c r="R5" i="15" l="1"/>
  <c r="S4" i="15"/>
  <c r="S5" i="15" l="1"/>
  <c r="T4" i="15"/>
  <c r="U4" i="15" l="1"/>
  <c r="T5" i="15"/>
  <c r="V4" i="15" l="1"/>
  <c r="U5" i="15"/>
  <c r="W4" i="15" l="1"/>
  <c r="V5" i="15"/>
  <c r="X4" i="15" l="1"/>
  <c r="W5" i="15"/>
  <c r="X5" i="15" l="1"/>
  <c r="Y4" i="15"/>
  <c r="Y5" i="15" l="1"/>
  <c r="Z4" i="15"/>
  <c r="Z5" i="15" l="1"/>
  <c r="AA4" i="15"/>
  <c r="AA5" i="15" l="1"/>
  <c r="AB4" i="15"/>
  <c r="AB5" i="15" l="1"/>
  <c r="AC4" i="15"/>
  <c r="AD4" i="15" l="1"/>
  <c r="AC5" i="15"/>
  <c r="AD5" i="15" l="1"/>
  <c r="AE4" i="15"/>
  <c r="AF4" i="15" l="1"/>
  <c r="AE5" i="15"/>
  <c r="AG4" i="15" l="1"/>
  <c r="AF5" i="15"/>
  <c r="AH4" i="15" l="1"/>
  <c r="AG5" i="15"/>
  <c r="AI4" i="15" l="1"/>
  <c r="AH5" i="15"/>
  <c r="AJ4" i="15" l="1"/>
  <c r="AI5" i="15"/>
  <c r="AJ5" i="15" l="1"/>
  <c r="AK4" i="15"/>
  <c r="AK5" i="15" l="1"/>
  <c r="AL4" i="15"/>
  <c r="AL5" i="15" l="1"/>
  <c r="AM4" i="15"/>
  <c r="AM5" i="15" l="1"/>
  <c r="AN4" i="15"/>
  <c r="AN5" i="15" l="1"/>
  <c r="AO4" i="15"/>
  <c r="AP4" i="15" l="1"/>
  <c r="AO5" i="15"/>
  <c r="AQ4" i="15" l="1"/>
  <c r="AP5" i="15"/>
  <c r="AQ5" i="15" l="1"/>
  <c r="AR4" i="15"/>
  <c r="AS4" i="15" l="1"/>
  <c r="AR5" i="15"/>
  <c r="AT4" i="15" l="1"/>
  <c r="AS5" i="15"/>
  <c r="AU4" i="15" l="1"/>
  <c r="AT5" i="15"/>
  <c r="AV4" i="15" l="1"/>
  <c r="AU5" i="15"/>
  <c r="AW4" i="15" l="1"/>
  <c r="AV5" i="15"/>
  <c r="AX4" i="15" l="1"/>
  <c r="AW5" i="15"/>
  <c r="AX5" i="15" l="1"/>
  <c r="AY4" i="15"/>
  <c r="AY5" i="15" l="1"/>
  <c r="AZ4" i="15"/>
  <c r="BA4" i="15" s="1"/>
  <c r="BB4" i="15" s="1"/>
  <c r="BC4" i="15" s="1"/>
  <c r="BD4" i="15" s="1"/>
  <c r="BE4" i="15" s="1"/>
  <c r="BF4" i="15" s="1"/>
  <c r="BG4" i="15" s="1"/>
  <c r="BH4" i="15" s="1"/>
  <c r="BI4" i="15" s="1"/>
  <c r="BJ4" i="15" s="1"/>
  <c r="BK4" i="15" s="1"/>
  <c r="BL4" i="15" s="1"/>
  <c r="BM4" i="15" s="1"/>
  <c r="BN4" i="15" s="1"/>
  <c r="BO4" i="15" s="1"/>
  <c r="BP4" i="15" s="1"/>
  <c r="BQ4" i="15" s="1"/>
  <c r="BR4" i="15" s="1"/>
  <c r="BS4" i="15" s="1"/>
  <c r="BT4" i="15" s="1"/>
  <c r="BU4" i="15" s="1"/>
  <c r="BV4" i="15" s="1"/>
  <c r="A116" i="12" l="1"/>
  <c r="A115" i="12"/>
  <c r="A114" i="12"/>
  <c r="A113" i="12"/>
  <c r="A112" i="12"/>
  <c r="F65" i="12"/>
  <c r="G54" i="12" s="1"/>
  <c r="B64" i="12"/>
  <c r="F63" i="12"/>
  <c r="C63" i="12"/>
  <c r="C62" i="12"/>
  <c r="C61" i="12"/>
  <c r="C60" i="12"/>
  <c r="C59" i="12"/>
  <c r="C58" i="12"/>
  <c r="C57" i="12"/>
  <c r="G56" i="12"/>
  <c r="H56" i="12" s="1"/>
  <c r="C56" i="12"/>
  <c r="C55" i="12"/>
  <c r="C54" i="12"/>
  <c r="Y52" i="12"/>
  <c r="W52" i="12"/>
  <c r="W50" i="12"/>
  <c r="X50" i="12" s="1"/>
  <c r="F50" i="12"/>
  <c r="G39" i="12" s="1"/>
  <c r="H39" i="12" s="1"/>
  <c r="B49" i="12"/>
  <c r="F48" i="12"/>
  <c r="C48" i="12"/>
  <c r="C47" i="12"/>
  <c r="C46" i="12"/>
  <c r="C45" i="12"/>
  <c r="C44" i="12"/>
  <c r="C43" i="12"/>
  <c r="C42" i="12"/>
  <c r="G41" i="12"/>
  <c r="H41" i="12" s="1"/>
  <c r="C41" i="12"/>
  <c r="C40" i="12"/>
  <c r="C39" i="12"/>
  <c r="D39" i="12" s="1"/>
  <c r="AC38" i="12"/>
  <c r="AC37" i="12"/>
  <c r="AB39" i="12" s="1"/>
  <c r="AB36" i="12"/>
  <c r="M30" i="12" s="1"/>
  <c r="C116" i="12" s="1"/>
  <c r="AC35" i="12"/>
  <c r="F35" i="12"/>
  <c r="AC34" i="12"/>
  <c r="B34" i="12"/>
  <c r="AB33" i="12"/>
  <c r="F33" i="12"/>
  <c r="C33" i="12"/>
  <c r="C32" i="12"/>
  <c r="C31" i="12"/>
  <c r="X30" i="12"/>
  <c r="C30" i="12"/>
  <c r="C29" i="12"/>
  <c r="C28" i="12"/>
  <c r="W27" i="12"/>
  <c r="W29" i="12" s="1"/>
  <c r="W31" i="12" s="1"/>
  <c r="C27" i="12"/>
  <c r="G26" i="12"/>
  <c r="H26" i="12" s="1"/>
  <c r="C26" i="12"/>
  <c r="C25" i="12"/>
  <c r="G24" i="12"/>
  <c r="H24" i="12" s="1"/>
  <c r="C24" i="12"/>
  <c r="Y44" i="12"/>
  <c r="Z44" i="12" s="1"/>
  <c r="W44" i="12"/>
  <c r="X44" i="12" s="1"/>
  <c r="L68" i="11"/>
  <c r="J68" i="11"/>
  <c r="J66" i="11"/>
  <c r="K66" i="11" s="1"/>
  <c r="L60" i="11"/>
  <c r="M60" i="11" s="1"/>
  <c r="B60" i="11"/>
  <c r="D59" i="11"/>
  <c r="F58" i="11"/>
  <c r="D58" i="11"/>
  <c r="D57" i="11"/>
  <c r="D56" i="11"/>
  <c r="O55" i="11"/>
  <c r="G44" i="11" s="1"/>
  <c r="D55" i="11"/>
  <c r="P54" i="11"/>
  <c r="D54" i="11"/>
  <c r="P53" i="11"/>
  <c r="K53" i="11"/>
  <c r="D53" i="11"/>
  <c r="O52" i="11"/>
  <c r="P48" i="11" s="1"/>
  <c r="D52" i="11"/>
  <c r="D60" i="11" s="1"/>
  <c r="P51" i="11"/>
  <c r="P50" i="11"/>
  <c r="L50" i="11"/>
  <c r="O49" i="11"/>
  <c r="B48" i="11"/>
  <c r="P47" i="11"/>
  <c r="C47" i="11"/>
  <c r="D47" i="11" s="1"/>
  <c r="F46" i="11"/>
  <c r="C46" i="11"/>
  <c r="D46" i="11" s="1"/>
  <c r="C45" i="11"/>
  <c r="D45" i="11" s="1"/>
  <c r="C44" i="11"/>
  <c r="D44" i="11" s="1"/>
  <c r="G43" i="11"/>
  <c r="C43" i="11"/>
  <c r="D43" i="11" s="1"/>
  <c r="G42" i="11"/>
  <c r="C42" i="11"/>
  <c r="D42" i="11" s="1"/>
  <c r="G41" i="11"/>
  <c r="D48" i="11"/>
  <c r="L29" i="11"/>
  <c r="K29" i="11"/>
  <c r="L28" i="11"/>
  <c r="K28" i="11"/>
  <c r="L27" i="11"/>
  <c r="K27" i="11"/>
  <c r="L26" i="11"/>
  <c r="K26" i="11"/>
  <c r="L25" i="11"/>
  <c r="K25" i="11"/>
  <c r="L24" i="11"/>
  <c r="K24" i="11"/>
  <c r="L23" i="11"/>
  <c r="K23" i="11"/>
  <c r="E23" i="11"/>
  <c r="K22" i="11"/>
  <c r="L21" i="11"/>
  <c r="K21" i="11"/>
  <c r="O18" i="11"/>
  <c r="L22" i="11" s="1"/>
  <c r="N18" i="11"/>
  <c r="J16" i="11"/>
  <c r="J53" i="11"/>
  <c r="L3" i="11"/>
  <c r="K30" i="11" l="1"/>
  <c r="F47" i="11"/>
  <c r="L61" i="11" s="1"/>
  <c r="K6" i="11"/>
  <c r="J19" i="11" s="1"/>
  <c r="E22" i="11"/>
  <c r="G58" i="12"/>
  <c r="H54" i="12"/>
  <c r="M28" i="12"/>
  <c r="C114" i="12" s="1"/>
  <c r="M27" i="12"/>
  <c r="C113" i="12" s="1"/>
  <c r="M26" i="12"/>
  <c r="C112" i="12" s="1"/>
  <c r="D34" i="12"/>
  <c r="F34" i="12" s="1"/>
  <c r="W45" i="12" s="1"/>
  <c r="D64" i="12"/>
  <c r="F64" i="12" s="1"/>
  <c r="D49" i="12"/>
  <c r="F49" i="12" s="1"/>
  <c r="AC31" i="12"/>
  <c r="G28" i="12"/>
  <c r="G43" i="12"/>
  <c r="M29" i="12"/>
  <c r="C115" i="12" s="1"/>
  <c r="AC32" i="12"/>
  <c r="L58" i="11"/>
  <c r="M58" i="11" s="1"/>
  <c r="M62" i="11" s="1"/>
  <c r="J58" i="11"/>
  <c r="K58" i="11" s="1"/>
  <c r="F59" i="11"/>
  <c r="L30" i="11"/>
  <c r="J60" i="11"/>
  <c r="K60" i="11" s="1"/>
  <c r="G40" i="11"/>
  <c r="J51" i="11" l="1"/>
  <c r="C17" i="11"/>
  <c r="C14" i="11"/>
  <c r="C15" i="11"/>
  <c r="C16" i="11"/>
  <c r="J61" i="11"/>
  <c r="J6" i="11"/>
  <c r="K31" i="11"/>
  <c r="K62" i="11"/>
  <c r="J63" i="11" s="1"/>
  <c r="J4" i="11"/>
  <c r="Y45" i="12"/>
  <c r="Y42" i="12"/>
  <c r="Z42" i="12" s="1"/>
  <c r="Z46" i="12" s="1"/>
  <c r="W42" i="12"/>
  <c r="X42" i="12" s="1"/>
  <c r="X46" i="12" s="1"/>
  <c r="AA33" i="12"/>
  <c r="G42" i="12"/>
  <c r="H43" i="12"/>
  <c r="G27" i="12"/>
  <c r="H28" i="12"/>
  <c r="G57" i="12"/>
  <c r="H58" i="12"/>
  <c r="L63" i="11"/>
  <c r="L62" i="11"/>
  <c r="K51" i="10"/>
  <c r="G4" i="10"/>
  <c r="H4" i="10" s="1"/>
  <c r="I4" i="10" s="1"/>
  <c r="J4" i="10" s="1"/>
  <c r="K51" i="11" l="1"/>
  <c r="N49" i="11"/>
  <c r="J55" i="11" s="1"/>
  <c r="J62" i="11"/>
  <c r="K4" i="10"/>
  <c r="L4" i="10" s="1"/>
  <c r="M4" i="10" s="1"/>
  <c r="N4" i="10" s="1"/>
  <c r="O4" i="10" s="1"/>
  <c r="J5" i="10"/>
  <c r="J12" i="11"/>
  <c r="K4" i="11"/>
  <c r="J5" i="11"/>
  <c r="J7" i="11" s="1"/>
  <c r="J8" i="11" s="1"/>
  <c r="K8" i="11" s="1"/>
  <c r="W47" i="12"/>
  <c r="W46" i="12"/>
  <c r="Y47" i="12"/>
  <c r="Y46" i="12"/>
  <c r="P4" i="10"/>
  <c r="O5" i="10"/>
  <c r="H5" i="10"/>
  <c r="I5" i="10"/>
  <c r="K5" i="10"/>
  <c r="L5" i="10"/>
  <c r="M5" i="10"/>
  <c r="N5" i="10"/>
  <c r="J24" i="9"/>
  <c r="J54" i="11" l="1"/>
  <c r="K55" i="11"/>
  <c r="Q4" i="10"/>
  <c r="P5" i="10"/>
  <c r="K6" i="9"/>
  <c r="L6" i="9" s="1"/>
  <c r="J6" i="9"/>
  <c r="J7" i="9"/>
  <c r="K7" i="9"/>
  <c r="L7" i="9" s="1"/>
  <c r="J10" i="9"/>
  <c r="K10" i="9"/>
  <c r="L10" i="9" s="1"/>
  <c r="J22" i="9"/>
  <c r="K22" i="9"/>
  <c r="L22" i="9" s="1"/>
  <c r="J3" i="9"/>
  <c r="K3" i="9"/>
  <c r="L3" i="9" s="1"/>
  <c r="K17" i="9"/>
  <c r="L17" i="9" s="1"/>
  <c r="J17" i="9"/>
  <c r="J16" i="9"/>
  <c r="K16" i="9"/>
  <c r="L16" i="9" s="1"/>
  <c r="J20" i="9"/>
  <c r="K20" i="9"/>
  <c r="L20" i="9" s="1"/>
  <c r="R4" i="10" l="1"/>
  <c r="Q5" i="10"/>
  <c r="J2" i="9"/>
  <c r="K2" i="9"/>
  <c r="L2" i="9" s="1"/>
  <c r="K8" i="9"/>
  <c r="L8" i="9" s="1"/>
  <c r="J8" i="9"/>
  <c r="K21" i="9"/>
  <c r="L21" i="9" s="1"/>
  <c r="J21" i="9"/>
  <c r="K12" i="9"/>
  <c r="L12" i="9" s="1"/>
  <c r="J12" i="9"/>
  <c r="K13" i="9"/>
  <c r="L13" i="9" s="1"/>
  <c r="J13" i="9"/>
  <c r="J18" i="9"/>
  <c r="K18" i="9"/>
  <c r="L18" i="9" s="1"/>
  <c r="J4" i="9"/>
  <c r="K4" i="9"/>
  <c r="L4" i="9" s="1"/>
  <c r="J11" i="9"/>
  <c r="K11" i="9"/>
  <c r="L11" i="9" s="1"/>
  <c r="J15" i="9"/>
  <c r="K15" i="9"/>
  <c r="L15" i="9" s="1"/>
  <c r="J23" i="9"/>
  <c r="K23" i="9"/>
  <c r="L23" i="9" s="1"/>
  <c r="K24" i="9"/>
  <c r="L24" i="9" s="1"/>
  <c r="K26" i="9"/>
  <c r="L26" i="9" s="1"/>
  <c r="J26" i="9"/>
  <c r="K19" i="9"/>
  <c r="L19" i="9" s="1"/>
  <c r="J19" i="9"/>
  <c r="K9" i="9"/>
  <c r="L9" i="9" s="1"/>
  <c r="J9" i="9"/>
  <c r="K5" i="9"/>
  <c r="L5" i="9" s="1"/>
  <c r="J5" i="9"/>
  <c r="K14" i="9"/>
  <c r="L14" i="9" s="1"/>
  <c r="J14" i="9"/>
  <c r="K25" i="9"/>
  <c r="L25" i="9" s="1"/>
  <c r="J25" i="9"/>
  <c r="S4" i="10" l="1"/>
  <c r="R5" i="10"/>
  <c r="T4" i="10" l="1"/>
  <c r="S5" i="10"/>
  <c r="U4" i="10" l="1"/>
  <c r="T5" i="10"/>
  <c r="V4" i="10" l="1"/>
  <c r="U5" i="10"/>
  <c r="W4" i="10" l="1"/>
  <c r="V5" i="10"/>
  <c r="X4" i="10" l="1"/>
  <c r="W5" i="10"/>
  <c r="Y4" i="10" l="1"/>
  <c r="X5" i="10"/>
  <c r="Z4" i="10" l="1"/>
  <c r="Y5" i="10"/>
  <c r="AA4" i="10" l="1"/>
  <c r="Z5" i="10"/>
  <c r="D55" i="3"/>
  <c r="E55" i="3"/>
  <c r="F55" i="3"/>
  <c r="G55" i="3"/>
  <c r="D53" i="3"/>
  <c r="E53" i="3"/>
  <c r="F53" i="3"/>
  <c r="G53" i="3"/>
  <c r="D54" i="3"/>
  <c r="E54" i="3"/>
  <c r="F54" i="3"/>
  <c r="G54" i="3"/>
  <c r="D37" i="3"/>
  <c r="E37" i="3"/>
  <c r="F37" i="3"/>
  <c r="G37" i="3"/>
  <c r="D38" i="3"/>
  <c r="E38" i="3"/>
  <c r="F38" i="3"/>
  <c r="G38" i="3"/>
  <c r="D39" i="3"/>
  <c r="E39" i="3"/>
  <c r="F39" i="3"/>
  <c r="G39" i="3"/>
  <c r="D40" i="3"/>
  <c r="E40" i="3"/>
  <c r="F40" i="3"/>
  <c r="G40" i="3"/>
  <c r="D41" i="3"/>
  <c r="E41" i="3"/>
  <c r="F41" i="3"/>
  <c r="G41" i="3"/>
  <c r="D42" i="3"/>
  <c r="E42" i="3"/>
  <c r="F42" i="3"/>
  <c r="G42" i="3"/>
  <c r="D43" i="3"/>
  <c r="E43" i="3"/>
  <c r="F43" i="3"/>
  <c r="G43" i="3"/>
  <c r="D44" i="3"/>
  <c r="E44" i="3"/>
  <c r="F44" i="3"/>
  <c r="G44" i="3"/>
  <c r="D45" i="3"/>
  <c r="E45" i="3"/>
  <c r="F45" i="3"/>
  <c r="G45" i="3"/>
  <c r="D46" i="3"/>
  <c r="E46" i="3"/>
  <c r="F46" i="3"/>
  <c r="G46" i="3"/>
  <c r="D47" i="3"/>
  <c r="E47" i="3"/>
  <c r="F47" i="3"/>
  <c r="G47" i="3"/>
  <c r="D48" i="3"/>
  <c r="E48" i="3"/>
  <c r="F48" i="3"/>
  <c r="G48" i="3"/>
  <c r="D49" i="3"/>
  <c r="E49" i="3"/>
  <c r="F49" i="3"/>
  <c r="G49" i="3"/>
  <c r="D50" i="3"/>
  <c r="E50" i="3"/>
  <c r="F50" i="3"/>
  <c r="G50" i="3"/>
  <c r="D51" i="3"/>
  <c r="E51" i="3"/>
  <c r="F51" i="3"/>
  <c r="G51" i="3"/>
  <c r="D52" i="3"/>
  <c r="E52" i="3"/>
  <c r="F52" i="3"/>
  <c r="G52" i="3"/>
  <c r="G36" i="3"/>
  <c r="F36" i="3"/>
  <c r="D36" i="3"/>
  <c r="E36" i="3"/>
  <c r="AB4" i="10" l="1"/>
  <c r="AA5" i="10"/>
  <c r="I49" i="3"/>
  <c r="J49" i="3" s="1"/>
  <c r="I48" i="3"/>
  <c r="J48" i="3" s="1"/>
  <c r="I46" i="3"/>
  <c r="I45" i="3"/>
  <c r="J45" i="3" s="1"/>
  <c r="I44" i="3"/>
  <c r="J44" i="3" s="1"/>
  <c r="I43" i="3"/>
  <c r="J43" i="3" s="1"/>
  <c r="I50" i="3"/>
  <c r="J50" i="3" s="1"/>
  <c r="I55" i="3"/>
  <c r="J55" i="3" s="1"/>
  <c r="I54" i="3"/>
  <c r="J54" i="3" s="1"/>
  <c r="I53" i="3"/>
  <c r="J53" i="3" s="1"/>
  <c r="I51" i="3"/>
  <c r="I41" i="3"/>
  <c r="I36" i="3"/>
  <c r="I39" i="3"/>
  <c r="J39" i="3" s="1"/>
  <c r="I38" i="3"/>
  <c r="J38" i="3" s="1"/>
  <c r="I40" i="3"/>
  <c r="J40" i="3" s="1"/>
  <c r="E57" i="3"/>
  <c r="E62" i="3" s="1"/>
  <c r="F62" i="3" s="1"/>
  <c r="AC4" i="10" l="1"/>
  <c r="AB5" i="10"/>
  <c r="K49" i="3"/>
  <c r="K50" i="3"/>
  <c r="K43" i="3"/>
  <c r="K54" i="3"/>
  <c r="K45" i="3"/>
  <c r="K53" i="3"/>
  <c r="K55" i="3"/>
  <c r="K44" i="3"/>
  <c r="K48" i="3"/>
  <c r="K39" i="3"/>
  <c r="K38" i="3"/>
  <c r="K40" i="3"/>
  <c r="BH24" i="3"/>
  <c r="D58" i="3"/>
  <c r="E61" i="3" s="1"/>
  <c r="F61" i="3" s="1"/>
  <c r="F58" i="3"/>
  <c r="G58" i="3"/>
  <c r="F57" i="3"/>
  <c r="E63" i="3" s="1"/>
  <c r="F63" i="3" s="1"/>
  <c r="G57" i="3"/>
  <c r="E64" i="3" s="1"/>
  <c r="F64" i="3" s="1"/>
  <c r="E58" i="3"/>
  <c r="AD4" i="10" l="1"/>
  <c r="AC5" i="10"/>
  <c r="G59" i="3"/>
  <c r="F59" i="3"/>
  <c r="E59" i="3"/>
  <c r="AE4" i="10" l="1"/>
  <c r="AD5" i="10"/>
  <c r="AF4" i="10" l="1"/>
  <c r="AE5" i="10"/>
  <c r="AG4" i="10" l="1"/>
  <c r="AF5" i="10"/>
  <c r="AH4" i="10" l="1"/>
  <c r="AG5" i="10"/>
  <c r="AI4" i="10" l="1"/>
  <c r="AH5" i="10"/>
  <c r="AJ4" i="10" l="1"/>
  <c r="AI5" i="10"/>
  <c r="AK4" i="10" l="1"/>
  <c r="AJ5" i="10"/>
  <c r="AL4" i="10" l="1"/>
  <c r="AK5" i="10"/>
  <c r="AM4" i="10" l="1"/>
  <c r="AL5" i="10"/>
  <c r="AN4" i="10" l="1"/>
  <c r="AM5" i="10"/>
  <c r="AN5" i="10" l="1"/>
  <c r="AO4" i="10"/>
  <c r="AP4" i="10" l="1"/>
  <c r="AO5" i="10"/>
  <c r="AQ4" i="10" l="1"/>
  <c r="AP5" i="10"/>
  <c r="AR4" i="10" l="1"/>
  <c r="AQ5" i="10"/>
  <c r="AS4" i="10" l="1"/>
  <c r="AR5" i="10"/>
  <c r="AT4" i="10" l="1"/>
  <c r="AS5" i="10"/>
  <c r="AU4" i="10" l="1"/>
  <c r="AT5" i="10"/>
  <c r="AV4" i="10" l="1"/>
  <c r="AU5" i="10"/>
  <c r="AW4" i="10" l="1"/>
  <c r="AV5" i="10"/>
  <c r="AW5" i="10" l="1"/>
  <c r="AX4" i="10"/>
  <c r="AY4" i="10" s="1"/>
  <c r="AZ4" i="10" s="1"/>
  <c r="BA4" i="10" s="1"/>
  <c r="BB4" i="10" s="1"/>
  <c r="BC4" i="10" s="1"/>
  <c r="BD4" i="10" s="1"/>
  <c r="BE4" i="10" s="1"/>
  <c r="BF4" i="10" s="1"/>
  <c r="BG4" i="10" s="1"/>
  <c r="BH4" i="10" s="1"/>
  <c r="BI4" i="10" s="1"/>
  <c r="BJ4" i="10" s="1"/>
  <c r="BK4" i="10" s="1"/>
  <c r="BL4" i="10" s="1"/>
  <c r="BM4" i="10" s="1"/>
  <c r="BN4" i="10" s="1"/>
  <c r="BO4" i="10" s="1"/>
  <c r="BP4" i="10" s="1"/>
  <c r="BQ4" i="10" s="1"/>
  <c r="BR4" i="10" s="1"/>
  <c r="BS4" i="10" s="1"/>
  <c r="BT4" i="10" s="1"/>
  <c r="BU4" i="10" s="1"/>
  <c r="BV4" i="10" s="1"/>
  <c r="BW4" i="10" s="1"/>
  <c r="BX4" i="10" s="1"/>
  <c r="BY4" i="10" s="1"/>
  <c r="BZ4" i="10" s="1"/>
  <c r="CA4" i="10" s="1"/>
  <c r="CB4" i="10" s="1"/>
  <c r="CC4" i="10" s="1"/>
  <c r="CD4" i="10" s="1"/>
  <c r="CE4" i="10" s="1"/>
  <c r="CF4" i="10" s="1"/>
  <c r="CG4" i="10" s="1"/>
  <c r="CH4" i="10" s="1"/>
  <c r="CI4" i="10" s="1"/>
  <c r="CJ4" i="10" s="1"/>
  <c r="CK4" i="10" s="1"/>
  <c r="CL4" i="10" s="1"/>
  <c r="CM4" i="10" s="1"/>
  <c r="CN4" i="10" s="1"/>
  <c r="CO4" i="10" s="1"/>
  <c r="CP4" i="10" s="1"/>
  <c r="CQ4" i="10" s="1"/>
  <c r="CR4" i="10" s="1"/>
  <c r="CS4" i="10" s="1"/>
  <c r="CT4" i="10" s="1"/>
  <c r="CU4" i="10" s="1"/>
  <c r="CV4" i="10" s="1"/>
  <c r="CW4" i="10" s="1"/>
  <c r="CX4" i="10" s="1"/>
  <c r="CY4" i="10" s="1"/>
  <c r="CZ4" i="10" s="1"/>
  <c r="DA4" i="10" s="1"/>
  <c r="DB4" i="10" s="1"/>
  <c r="DC4" i="10" s="1"/>
  <c r="DD4" i="10" s="1"/>
  <c r="DE4" i="10" s="1"/>
  <c r="DF4" i="10" s="1"/>
  <c r="DG4" i="10" s="1"/>
  <c r="DH4" i="10" s="1"/>
  <c r="DI4" i="10" s="1"/>
  <c r="DJ4" i="10" s="1"/>
  <c r="DK4" i="10" s="1"/>
  <c r="DL4" i="10" s="1"/>
  <c r="DM4" i="10" s="1"/>
  <c r="DN4" i="10" s="1"/>
  <c r="DO4" i="10" s="1"/>
  <c r="DP4" i="10" s="1"/>
  <c r="DQ4" i="10" s="1"/>
  <c r="DR4" i="10" s="1"/>
  <c r="DS4" i="10" s="1"/>
  <c r="DT4" i="10" s="1"/>
  <c r="DU4" i="10" s="1"/>
  <c r="DV4" i="10" s="1"/>
  <c r="DW4" i="10" s="1"/>
  <c r="DX4" i="10" s="1"/>
  <c r="DY4" i="10" s="1"/>
  <c r="DZ4" i="10" s="1"/>
  <c r="EA4" i="10" s="1"/>
  <c r="EB4" i="10" s="1"/>
  <c r="EC4" i="10" s="1"/>
  <c r="ED4" i="10" s="1"/>
  <c r="EE4" i="10" s="1"/>
  <c r="EF4" i="10" s="1"/>
  <c r="EG4" i="10" s="1"/>
  <c r="EH4" i="10" s="1"/>
  <c r="EI4" i="10" s="1"/>
  <c r="EJ4" i="10" s="1"/>
  <c r="EK4" i="10" s="1"/>
  <c r="EL4" i="10" s="1"/>
  <c r="EM4" i="10" s="1"/>
  <c r="EN4" i="10" s="1"/>
  <c r="EO4" i="10" s="1"/>
  <c r="EP4" i="10" s="1"/>
  <c r="EQ4" i="10" s="1"/>
  <c r="ER4" i="10" s="1"/>
  <c r="ES4" i="10" s="1"/>
  <c r="ET4" i="10" s="1"/>
  <c r="EU4" i="10" s="1"/>
  <c r="EV4" i="10" s="1"/>
  <c r="EW4" i="10" s="1"/>
  <c r="EX4" i="10" s="1"/>
  <c r="EY4" i="10" s="1"/>
  <c r="EZ4" i="10" s="1"/>
  <c r="FA4" i="10" s="1"/>
  <c r="FB4" i="10" s="1"/>
  <c r="FC4" i="10" s="1"/>
  <c r="FD4" i="10" s="1"/>
  <c r="FE4" i="10" s="1"/>
  <c r="FF4" i="10" s="1"/>
  <c r="FG4" i="10" s="1"/>
  <c r="FH4" i="10" s="1"/>
</calcChain>
</file>

<file path=xl/sharedStrings.xml><?xml version="1.0" encoding="utf-8"?>
<sst xmlns="http://schemas.openxmlformats.org/spreadsheetml/2006/main" count="1454" uniqueCount="789">
  <si>
    <t>동면중의 운동 도우미</t>
    <phoneticPr fontId="4" type="noConversion"/>
  </si>
  <si>
    <t>%</t>
    <phoneticPr fontId="4" type="noConversion"/>
  </si>
  <si>
    <t>g</t>
    <phoneticPr fontId="4" type="noConversion"/>
  </si>
  <si>
    <t>본인 몸무게와 체지방률을 입력하세요.</t>
    <phoneticPr fontId="4" type="noConversion"/>
  </si>
  <si>
    <t>원하는 탄수화물 비율</t>
    <phoneticPr fontId="4" type="noConversion"/>
  </si>
  <si>
    <t>몸무게</t>
    <phoneticPr fontId="4" type="noConversion"/>
  </si>
  <si>
    <t>*전체 칼로리의 50~70% 이 좋음</t>
    <phoneticPr fontId="4" type="noConversion"/>
  </si>
  <si>
    <t>체지방률</t>
    <phoneticPr fontId="4" type="noConversion"/>
  </si>
  <si>
    <t>권장 단백질 섭취량</t>
    <phoneticPr fontId="4" type="noConversion"/>
  </si>
  <si>
    <t>*원하는 탄수화물, 단백질양 입력하세요.</t>
    <phoneticPr fontId="4" type="noConversion"/>
  </si>
  <si>
    <t>*체중당 1.6</t>
    <phoneticPr fontId="4" type="noConversion"/>
  </si>
  <si>
    <t>권장 단백질 섭취량(체중1kg당 1.6g)</t>
    <phoneticPr fontId="4" type="noConversion"/>
  </si>
  <si>
    <t>권장 지방</t>
    <phoneticPr fontId="4" type="noConversion"/>
  </si>
  <si>
    <t>탄수화물 섭취 장점 : 글리코겐 회복</t>
    <phoneticPr fontId="4" type="noConversion"/>
  </si>
  <si>
    <t xml:space="preserve">권장 섭취량 : </t>
    <phoneticPr fontId="4" type="noConversion"/>
  </si>
  <si>
    <t>*지방 칼로리, g수</t>
    <phoneticPr fontId="4" type="noConversion"/>
  </si>
  <si>
    <t>지방 섭취  장점 : 포만감, 맛, 지방 에너지원 이용 증가</t>
    <phoneticPr fontId="4" type="noConversion"/>
  </si>
  <si>
    <t>(밥 한공기 = 햇반 1개)</t>
    <phoneticPr fontId="4" type="noConversion"/>
  </si>
  <si>
    <t>권장 칼로리 (추정치)</t>
    <phoneticPr fontId="4" type="noConversion"/>
  </si>
  <si>
    <t>선택하세요.</t>
    <phoneticPr fontId="4" type="noConversion"/>
  </si>
  <si>
    <t>하루 권장 밥 공기</t>
    <phoneticPr fontId="4" type="noConversion"/>
  </si>
  <si>
    <t>하루종일 집에만 빈둥빈둥</t>
    <phoneticPr fontId="4" type="noConversion"/>
  </si>
  <si>
    <t>섭취할 밥 공기</t>
    <phoneticPr fontId="4" type="noConversion"/>
  </si>
  <si>
    <t>8시간 이상의 의자에 앉아 있음</t>
    <phoneticPr fontId="4" type="noConversion"/>
  </si>
  <si>
    <t>O</t>
    <phoneticPr fontId="4" type="noConversion"/>
  </si>
  <si>
    <t>서있는 업무, 돌아다니는 업무</t>
    <phoneticPr fontId="4" type="noConversion"/>
  </si>
  <si>
    <t>단백질 충족시키기</t>
    <phoneticPr fontId="4" type="noConversion"/>
  </si>
  <si>
    <t>단백질 함량</t>
    <phoneticPr fontId="4" type="noConversion"/>
  </si>
  <si>
    <t>지방함량</t>
    <phoneticPr fontId="4" type="noConversion"/>
  </si>
  <si>
    <t xml:space="preserve">활동적인 업무 </t>
    <phoneticPr fontId="4" type="noConversion"/>
  </si>
  <si>
    <t>밥으로 섭취하는 단백질</t>
    <phoneticPr fontId="4" type="noConversion"/>
  </si>
  <si>
    <t>닭가슴살 100g</t>
    <phoneticPr fontId="4" type="noConversion"/>
  </si>
  <si>
    <t>*린메스업의 경우 +-200Kcal</t>
    <phoneticPr fontId="4" type="noConversion"/>
  </si>
  <si>
    <t xml:space="preserve">변경할 칼로리 입력 </t>
    <phoneticPr fontId="4" type="noConversion"/>
  </si>
  <si>
    <t>운동후 단백질 섭취</t>
    <phoneticPr fontId="4" type="noConversion"/>
  </si>
  <si>
    <t>20g</t>
    <phoneticPr fontId="4" type="noConversion"/>
  </si>
  <si>
    <t>40g</t>
    <phoneticPr fontId="4" type="noConversion"/>
  </si>
  <si>
    <t>목살 100g</t>
    <phoneticPr fontId="4" type="noConversion"/>
  </si>
  <si>
    <t>*벌크업 +200~300Kcal</t>
    <phoneticPr fontId="4" type="noConversion"/>
  </si>
  <si>
    <t>선택</t>
    <phoneticPr fontId="4" type="noConversion"/>
  </si>
  <si>
    <t>계란 1개</t>
    <phoneticPr fontId="4" type="noConversion"/>
  </si>
  <si>
    <t>*다이어트 -500~700Kcal</t>
    <phoneticPr fontId="4" type="noConversion"/>
  </si>
  <si>
    <t>추가 섭취해야하는 단백질</t>
    <phoneticPr fontId="4" type="noConversion"/>
  </si>
  <si>
    <t>돼지 뒷다리살 100g</t>
    <phoneticPr fontId="4" type="noConversion"/>
  </si>
  <si>
    <t>섭취량</t>
    <phoneticPr fontId="4" type="noConversion"/>
  </si>
  <si>
    <t>단백질</t>
    <phoneticPr fontId="4" type="noConversion"/>
  </si>
  <si>
    <t>지방</t>
    <phoneticPr fontId="4" type="noConversion"/>
  </si>
  <si>
    <t>저지방우유 100ml</t>
    <phoneticPr fontId="4" type="noConversion"/>
  </si>
  <si>
    <t>목살 100g</t>
  </si>
  <si>
    <t>보충제 한스쿱</t>
    <phoneticPr fontId="4" type="noConversion"/>
  </si>
  <si>
    <t>계란 1개</t>
  </si>
  <si>
    <t>저지방우유 100ml</t>
  </si>
  <si>
    <t>돼지 뒷다리살 100g</t>
  </si>
  <si>
    <t>닭가슴살 100g</t>
  </si>
  <si>
    <t>보충제 한스쿱</t>
  </si>
  <si>
    <t>합계</t>
    <phoneticPr fontId="4" type="noConversion"/>
  </si>
  <si>
    <t>부족한 단백질</t>
    <phoneticPr fontId="4" type="noConversion"/>
  </si>
  <si>
    <t>활동대사량 고려사항</t>
    <phoneticPr fontId="4" type="noConversion"/>
  </si>
  <si>
    <t>1. 섭취량에 따라 기초대사량이 변할 수 있으며, 사람마다 차이가 있을 수 있음을 인지해야합니다.</t>
    <phoneticPr fontId="4" type="noConversion"/>
  </si>
  <si>
    <t>2. 칼로리는 어디까지나 추측값이다. 정확하게 잡을려고 무리하지 않아도 된다.</t>
    <phoneticPr fontId="4" type="noConversion"/>
  </si>
  <si>
    <t>3. 같은활동 내용이라도 움직임이나 자세에 따라 다르다.</t>
    <phoneticPr fontId="4" type="noConversion"/>
  </si>
  <si>
    <t>4. 위에는 평일, 아래는 주말 등 본인의 경우의 수에 따라 여러 개 작성해보자</t>
    <phoneticPr fontId="4" type="noConversion"/>
  </si>
  <si>
    <t>5. 운동을 2시간 넣는다면 '쉬지않고' 운동하는 개념에 가까워진다. 이럴때는 '평균' 심박수를 이용하자</t>
    <phoneticPr fontId="4" type="noConversion"/>
  </si>
  <si>
    <t>취침 심박수</t>
    <phoneticPr fontId="4" type="noConversion"/>
  </si>
  <si>
    <t>시간</t>
    <phoneticPr fontId="4" type="noConversion"/>
  </si>
  <si>
    <t>PAR</t>
    <phoneticPr fontId="4" type="noConversion"/>
  </si>
  <si>
    <t>운동시간</t>
    <phoneticPr fontId="4" type="noConversion"/>
  </si>
  <si>
    <t>평균심박수</t>
    <phoneticPr fontId="4" type="noConversion"/>
  </si>
  <si>
    <t>앉아서 TV시청</t>
  </si>
  <si>
    <t>앉아서 식사</t>
  </si>
  <si>
    <t>사무업무</t>
  </si>
  <si>
    <t>대중교통 이용</t>
  </si>
  <si>
    <t>자전거 100와트 유지</t>
    <phoneticPr fontId="4" type="noConversion"/>
  </si>
  <si>
    <t>휴식</t>
  </si>
  <si>
    <t>기초대사량</t>
    <phoneticPr fontId="4" type="noConversion"/>
  </si>
  <si>
    <t>24시간으로 맞추세요&gt;</t>
    <phoneticPr fontId="4" type="noConversion"/>
  </si>
  <si>
    <t>활동계수</t>
    <phoneticPr fontId="4" type="noConversion"/>
  </si>
  <si>
    <t>활동대사량</t>
    <phoneticPr fontId="4" type="noConversion"/>
  </si>
  <si>
    <t>잠</t>
    <phoneticPr fontId="4" type="noConversion"/>
  </si>
  <si>
    <t>빨리걷기</t>
    <phoneticPr fontId="4" type="noConversion"/>
  </si>
  <si>
    <t>원하는 단백질 양</t>
    <phoneticPr fontId="4" type="noConversion"/>
  </si>
  <si>
    <t>서서 돌아다니는 업무</t>
    <phoneticPr fontId="4" type="noConversion"/>
  </si>
  <si>
    <t>*체중당 1.6~2.2g 초보자 2g</t>
    <phoneticPr fontId="4" type="noConversion"/>
  </si>
  <si>
    <t>운동</t>
    <phoneticPr fontId="4" type="noConversion"/>
  </si>
  <si>
    <t>식사</t>
    <phoneticPr fontId="4" type="noConversion"/>
  </si>
  <si>
    <t>*남은 칼로리, 비율</t>
    <phoneticPr fontId="4" type="noConversion"/>
  </si>
  <si>
    <t>출퇴근</t>
    <phoneticPr fontId="4" type="noConversion"/>
  </si>
  <si>
    <t>휴식</t>
    <phoneticPr fontId="4" type="noConversion"/>
  </si>
  <si>
    <t>예시)</t>
    <phoneticPr fontId="4" type="noConversion"/>
  </si>
  <si>
    <t>고탄수(Min단백질)</t>
    <phoneticPr fontId="4" type="noConversion"/>
  </si>
  <si>
    <t>고탄수(Mix단백질)</t>
    <phoneticPr fontId="4" type="noConversion"/>
  </si>
  <si>
    <t>권장 탄수화물</t>
    <phoneticPr fontId="4" type="noConversion"/>
  </si>
  <si>
    <t>*전체 칼로리의 40~70%</t>
    <phoneticPr fontId="4" type="noConversion"/>
  </si>
  <si>
    <t>권장 단백질</t>
    <phoneticPr fontId="4" type="noConversion"/>
  </si>
  <si>
    <t>자료마다 데이터가 다른건 옆에도 적어두었습니다.</t>
    <phoneticPr fontId="4" type="noConversion"/>
  </si>
  <si>
    <t>PAR값</t>
    <phoneticPr fontId="4" type="noConversion"/>
  </si>
  <si>
    <t>PAR값2</t>
    <phoneticPr fontId="4" type="noConversion"/>
  </si>
  <si>
    <t>PAR값3</t>
    <phoneticPr fontId="4" type="noConversion"/>
  </si>
  <si>
    <t>*전체 칼로리의 15~30%</t>
    <phoneticPr fontId="4" type="noConversion"/>
  </si>
  <si>
    <t>걷기 4.8km/h, 9%경사</t>
    <phoneticPr fontId="4" type="noConversion"/>
  </si>
  <si>
    <t>자전거 150와트 유지</t>
    <phoneticPr fontId="4" type="noConversion"/>
  </si>
  <si>
    <t>균형(Min단백질)</t>
    <phoneticPr fontId="4" type="noConversion"/>
  </si>
  <si>
    <t>고단백(Mix단백질)</t>
    <phoneticPr fontId="4" type="noConversion"/>
  </si>
  <si>
    <t>걷기 4.8km/h, 6%경사</t>
    <phoneticPr fontId="4" type="noConversion"/>
  </si>
  <si>
    <t>자전거 125와트 유지</t>
    <phoneticPr fontId="4" type="noConversion"/>
  </si>
  <si>
    <t>계단오르기</t>
    <phoneticPr fontId="4" type="noConversion"/>
  </si>
  <si>
    <t>걷기 4.8km/h, 3%경사</t>
    <phoneticPr fontId="4" type="noConversion"/>
  </si>
  <si>
    <t>자전거 75와트 유지</t>
    <phoneticPr fontId="4" type="noConversion"/>
  </si>
  <si>
    <t>걷기 3.3km/h, 3%경사</t>
    <phoneticPr fontId="4" type="noConversion"/>
  </si>
  <si>
    <t>잠자기</t>
    <phoneticPr fontId="4" type="noConversion"/>
  </si>
  <si>
    <t>앉아서 식사</t>
    <phoneticPr fontId="4" type="noConversion"/>
  </si>
  <si>
    <t>앉아서 TV시청</t>
    <phoneticPr fontId="4" type="noConversion"/>
  </si>
  <si>
    <t>대중교통 이용</t>
    <phoneticPr fontId="4" type="noConversion"/>
  </si>
  <si>
    <t>&lt;앉아서와 움직이는것 차이로 보임.</t>
    <phoneticPr fontId="4" type="noConversion"/>
  </si>
  <si>
    <t>사무업무</t>
    <phoneticPr fontId="4" type="noConversion"/>
  </si>
  <si>
    <t>읽기</t>
    <phoneticPr fontId="4" type="noConversion"/>
  </si>
  <si>
    <t>타이핑</t>
    <phoneticPr fontId="4" type="noConversion"/>
  </si>
  <si>
    <t>집안일</t>
    <phoneticPr fontId="4" type="noConversion"/>
  </si>
  <si>
    <t>주방일</t>
    <phoneticPr fontId="4" type="noConversion"/>
  </si>
  <si>
    <t>누워있기</t>
    <phoneticPr fontId="4" type="noConversion"/>
  </si>
  <si>
    <t>느리게 걷기</t>
    <phoneticPr fontId="4" type="noConversion"/>
  </si>
  <si>
    <t>빠르게 걷기</t>
    <phoneticPr fontId="4" type="noConversion"/>
  </si>
  <si>
    <t>서서 약간 돌아다니는 업무</t>
    <phoneticPr fontId="4" type="noConversion"/>
  </si>
  <si>
    <t>*음식 추가해서 넣으셔도 됩니다.</t>
    <phoneticPr fontId="4" type="noConversion"/>
  </si>
  <si>
    <t xml:space="preserve">마이프로틴 구매 링크 </t>
    <phoneticPr fontId="4" type="noConversion"/>
  </si>
  <si>
    <t>http://bit.ly/SportKoreanMP</t>
    <phoneticPr fontId="4" type="noConversion"/>
  </si>
  <si>
    <t>아이허브 추천인 코드</t>
    <phoneticPr fontId="4" type="noConversion"/>
  </si>
  <si>
    <t>열량</t>
  </si>
  <si>
    <t>수분</t>
  </si>
  <si>
    <t>단백질</t>
  </si>
  <si>
    <t>지방</t>
  </si>
  <si>
    <t>탄수화물</t>
  </si>
  <si>
    <t>총식이섬유</t>
  </si>
  <si>
    <t>불용성식이섬유</t>
  </si>
  <si>
    <t>수용성식이섬유</t>
  </si>
  <si>
    <t>회분</t>
  </si>
  <si>
    <t>칼슘</t>
  </si>
  <si>
    <t>인</t>
  </si>
  <si>
    <t>철</t>
  </si>
  <si>
    <t>나트륨</t>
  </si>
  <si>
    <t>칼륨</t>
  </si>
  <si>
    <t>비타민A</t>
  </si>
  <si>
    <t>레티놀</t>
  </si>
  <si>
    <t>티아민</t>
  </si>
  <si>
    <t>리보플라빈</t>
  </si>
  <si>
    <t>나이아신</t>
  </si>
  <si>
    <t>비타민C</t>
  </si>
  <si>
    <t>콜레스테롤</t>
  </si>
  <si>
    <t>이소루신</t>
  </si>
  <si>
    <t>루신</t>
  </si>
  <si>
    <t>라이신</t>
  </si>
  <si>
    <t>메티오닌</t>
  </si>
  <si>
    <t>시스테인</t>
  </si>
  <si>
    <t>페닐알라닌</t>
  </si>
  <si>
    <t>티로신</t>
  </si>
  <si>
    <t>트레오닌</t>
  </si>
  <si>
    <t>트립토판</t>
  </si>
  <si>
    <t>발린</t>
  </si>
  <si>
    <t>히스티딘</t>
  </si>
  <si>
    <t>아르기닌</t>
  </si>
  <si>
    <t>알라닌</t>
  </si>
  <si>
    <t>아스파르트산</t>
  </si>
  <si>
    <t>글루탐산</t>
  </si>
  <si>
    <t>글리신</t>
  </si>
  <si>
    <t>프롤린</t>
  </si>
  <si>
    <t>세린</t>
  </si>
  <si>
    <t>타우린</t>
  </si>
  <si>
    <t>베타-카로틴</t>
  </si>
  <si>
    <t>폐기율</t>
  </si>
  <si>
    <t>마그네슘</t>
  </si>
  <si>
    <t>망간</t>
  </si>
  <si>
    <t>아연</t>
  </si>
  <si>
    <t>구리</t>
  </si>
  <si>
    <t>몰리브덴</t>
  </si>
  <si>
    <t>셀레늄</t>
  </si>
  <si>
    <t>비타민B&lt;sub&gt;6&lt;/sub&gt;</t>
  </si>
  <si>
    <t>판토텐산</t>
  </si>
  <si>
    <t>비타민B&lt;sub&gt;12&lt;/sub&gt;</t>
  </si>
  <si>
    <t>엽산</t>
  </si>
  <si>
    <t>비타민D</t>
  </si>
  <si>
    <t>비타민E</t>
  </si>
  <si>
    <t>비타민K</t>
  </si>
  <si>
    <t>비오틴</t>
  </si>
  <si>
    <t>포화지방산</t>
  </si>
  <si>
    <t>현미(밥)</t>
    <phoneticPr fontId="4" type="noConversion"/>
  </si>
  <si>
    <t>현미(생것)</t>
    <phoneticPr fontId="4" type="noConversion"/>
  </si>
  <si>
    <t>쌀(밥)</t>
    <phoneticPr fontId="4" type="noConversion"/>
  </si>
  <si>
    <t>N/A</t>
  </si>
  <si>
    <t>쌀(생것)</t>
    <phoneticPr fontId="4" type="noConversion"/>
  </si>
  <si>
    <t>오트밀</t>
    <phoneticPr fontId="4" type="noConversion"/>
  </si>
  <si>
    <t>고구마</t>
    <phoneticPr fontId="4" type="noConversion"/>
  </si>
  <si>
    <t>목살</t>
    <phoneticPr fontId="4" type="noConversion"/>
  </si>
  <si>
    <t>목살(지방많음)</t>
    <phoneticPr fontId="4" type="noConversion"/>
  </si>
  <si>
    <t>소고기안심</t>
    <phoneticPr fontId="4" type="noConversion"/>
  </si>
  <si>
    <t>계란</t>
    <phoneticPr fontId="4" type="noConversion"/>
  </si>
  <si>
    <t>닭(가슴살)</t>
    <phoneticPr fontId="4" type="noConversion"/>
  </si>
  <si>
    <t>브로콜리</t>
    <phoneticPr fontId="4" type="noConversion"/>
  </si>
  <si>
    <t>토마토</t>
    <phoneticPr fontId="4" type="noConversion"/>
  </si>
  <si>
    <t>당근</t>
    <phoneticPr fontId="4" type="noConversion"/>
  </si>
  <si>
    <t>김치</t>
    <phoneticPr fontId="4" type="noConversion"/>
  </si>
  <si>
    <t>사과</t>
    <phoneticPr fontId="4" type="noConversion"/>
  </si>
  <si>
    <t>바나나</t>
    <phoneticPr fontId="4" type="noConversion"/>
  </si>
  <si>
    <t>저지방우유</t>
    <phoneticPr fontId="4" type="noConversion"/>
  </si>
  <si>
    <t>아몬드</t>
    <phoneticPr fontId="4" type="noConversion"/>
  </si>
  <si>
    <t>호두</t>
    <phoneticPr fontId="4" type="noConversion"/>
  </si>
  <si>
    <t>단호박</t>
    <phoneticPr fontId="4" type="noConversion"/>
  </si>
  <si>
    <t>식품명</t>
    <phoneticPr fontId="4" type="noConversion"/>
  </si>
  <si>
    <t>중량</t>
    <phoneticPr fontId="4" type="noConversion"/>
  </si>
  <si>
    <t>탄수화물</t>
    <phoneticPr fontId="4" type="noConversion"/>
  </si>
  <si>
    <t>아침</t>
    <phoneticPr fontId="4" type="noConversion"/>
  </si>
  <si>
    <t>점심</t>
    <phoneticPr fontId="4" type="noConversion"/>
  </si>
  <si>
    <t>합계 g</t>
    <phoneticPr fontId="4" type="noConversion"/>
  </si>
  <si>
    <t>합계 칼로리</t>
    <phoneticPr fontId="4" type="noConversion"/>
  </si>
  <si>
    <t>비율</t>
    <phoneticPr fontId="4" type="noConversion"/>
  </si>
  <si>
    <t>섭취중인양</t>
    <phoneticPr fontId="4" type="noConversion"/>
  </si>
  <si>
    <t>쌀(밥)</t>
  </si>
  <si>
    <t>식품이름</t>
    <phoneticPr fontId="4" type="noConversion"/>
  </si>
  <si>
    <t>칼로리</t>
    <phoneticPr fontId="4" type="noConversion"/>
  </si>
  <si>
    <t>인스턴트오트</t>
  </si>
  <si>
    <t>인스턴트오트</t>
    <phoneticPr fontId="4" type="noConversion"/>
  </si>
  <si>
    <t>기타등등</t>
    <phoneticPr fontId="4" type="noConversion"/>
  </si>
  <si>
    <t>넣고싶은거</t>
    <phoneticPr fontId="4" type="noConversion"/>
  </si>
  <si>
    <t>파이팅</t>
    <phoneticPr fontId="4" type="noConversion"/>
  </si>
  <si>
    <t>저녁</t>
    <phoneticPr fontId="4" type="noConversion"/>
  </si>
  <si>
    <t>간식</t>
    <phoneticPr fontId="4" type="noConversion"/>
  </si>
  <si>
    <t>차이</t>
    <phoneticPr fontId="4" type="noConversion"/>
  </si>
  <si>
    <t>목표치</t>
    <phoneticPr fontId="4" type="noConversion"/>
  </si>
  <si>
    <t>동면중의 식단 도우미</t>
    <phoneticPr fontId="4" type="noConversion"/>
  </si>
  <si>
    <t>보충제 구매는</t>
    <phoneticPr fontId="4" type="noConversion"/>
  </si>
  <si>
    <t xml:space="preserve">마이프로틴 </t>
    <phoneticPr fontId="4" type="noConversion"/>
  </si>
  <si>
    <t>동면중에게 도움이 됩니다. ^-^b</t>
    <phoneticPr fontId="4" type="noConversion"/>
  </si>
  <si>
    <t xml:space="preserve">아이허브 </t>
    <phoneticPr fontId="4" type="noConversion"/>
  </si>
  <si>
    <t>ARM5054</t>
    <phoneticPr fontId="4" type="noConversion"/>
  </si>
  <si>
    <t>아침 합계</t>
    <phoneticPr fontId="4" type="noConversion"/>
  </si>
  <si>
    <t>점심 합계</t>
    <phoneticPr fontId="4" type="noConversion"/>
  </si>
  <si>
    <t>저녁 합계</t>
    <phoneticPr fontId="4" type="noConversion"/>
  </si>
  <si>
    <t>간식합계</t>
    <phoneticPr fontId="4" type="noConversion"/>
  </si>
  <si>
    <t>관련 영상</t>
    <phoneticPr fontId="4" type="noConversion"/>
  </si>
  <si>
    <t>https://youtu.be/cNT-4pvA1-M</t>
    <phoneticPr fontId="4" type="noConversion"/>
  </si>
  <si>
    <t>다이어트 식단 작성의 두가지!</t>
    <phoneticPr fontId="4" type="noConversion"/>
  </si>
  <si>
    <t>동면중 
피자
사먹게
후원좀
(엄격,진지)</t>
    <phoneticPr fontId="4" type="noConversion"/>
  </si>
  <si>
    <t>계란</t>
  </si>
  <si>
    <t>파이팅</t>
  </si>
  <si>
    <t>뿅</t>
    <phoneticPr fontId="4" type="noConversion"/>
  </si>
  <si>
    <t>초보자 우선순위</t>
    <phoneticPr fontId="4" type="noConversion"/>
  </si>
  <si>
    <t>동면중의 코멘트</t>
    <phoneticPr fontId="4" type="noConversion"/>
  </si>
  <si>
    <t>체중 1kg당 1.6~2g</t>
    <phoneticPr fontId="4" type="noConversion"/>
  </si>
  <si>
    <t>완전 처음 시작하는 사람은 2g이 좋다.</t>
    <phoneticPr fontId="4" type="noConversion"/>
  </si>
  <si>
    <t>종합비타민</t>
    <phoneticPr fontId="4" type="noConversion"/>
  </si>
  <si>
    <t>1/2~1 serving</t>
    <phoneticPr fontId="4" type="noConversion"/>
  </si>
  <si>
    <t>식사가 부실하면 1 Serving
어느정도 챙겨먹으면 1/2 Serving
[투퍼데이 기준] 
식사부실 2알, 식사 준수함 1알</t>
    <phoneticPr fontId="4" type="noConversion"/>
  </si>
  <si>
    <t>프로바이오틱스
(유산균)</t>
    <phoneticPr fontId="4" type="noConversion"/>
  </si>
  <si>
    <t>100억
(=10Billion)</t>
    <phoneticPr fontId="4" type="noConversion"/>
  </si>
  <si>
    <t>소화능력이 약한사람에게 추천</t>
    <phoneticPr fontId="4" type="noConversion"/>
  </si>
  <si>
    <t>섬유질</t>
    <phoneticPr fontId="4" type="noConversion"/>
  </si>
  <si>
    <t>25g</t>
    <phoneticPr fontId="4" type="noConversion"/>
  </si>
  <si>
    <t>소화능력이 약한사람에게 추천
익힌 채소 추천, 섭취량 한번에 늘리지 말것</t>
    <phoneticPr fontId="4" type="noConversion"/>
  </si>
  <si>
    <t>글루타민</t>
    <phoneticPr fontId="4" type="noConversion"/>
  </si>
  <si>
    <t>5g</t>
    <phoneticPr fontId="4" type="noConversion"/>
  </si>
  <si>
    <t>중,고급자 우선순위</t>
    <phoneticPr fontId="4" type="noConversion"/>
  </si>
  <si>
    <t>섭취하면 좋은 사람</t>
    <phoneticPr fontId="4" type="noConversion"/>
  </si>
  <si>
    <t>카페인</t>
    <phoneticPr fontId="4" type="noConversion"/>
  </si>
  <si>
    <t>체중 1kg 당 3~6mg
평균 200mg~250mg</t>
    <phoneticPr fontId="4" type="noConversion"/>
  </si>
  <si>
    <t xml:space="preserve">사람마다 개인차 심함, 
부스터의 카페인과 커피, 에너지 드링크의 카페인은 다름, 부스터가 더 빠르고 강함
효과가 강하고 좋으나 불면, 피로, 혈압상승, 속쓰림 등 유발될 수 있음  </t>
    <phoneticPr fontId="4" type="noConversion"/>
  </si>
  <si>
    <t>지구력(5~150분), 
근력운동시 효과
(짧은, 매우 짧은시간)</t>
    <phoneticPr fontId="4" type="noConversion"/>
  </si>
  <si>
    <t>크레아틴</t>
    <phoneticPr fontId="4" type="noConversion"/>
  </si>
  <si>
    <t xml:space="preserve">꾸준히 섭취 - 5g,
빠르게 로딩 - 20g
7일 동안 </t>
    <phoneticPr fontId="4" type="noConversion"/>
  </si>
  <si>
    <t>만성적으로 섭취해서 체내 보유량을 늘리는것이 목표이기 때문에 운동전에 안먹어도 됨. 
크레아틴 - 근육량이 좀 있어야 효과 봄</t>
    <phoneticPr fontId="4" type="noConversion"/>
  </si>
  <si>
    <t>150초 이하의 짧은 운동, 
30초 이하의 짧은 운동이 가장 효과적</t>
    <phoneticPr fontId="4" type="noConversion"/>
  </si>
  <si>
    <t>베타알라닌</t>
    <phoneticPr fontId="4" type="noConversion"/>
  </si>
  <si>
    <t>65mg/kg
따끔거림이 싫다면, 1g씩 나눠서 섭취</t>
    <phoneticPr fontId="4" type="noConversion"/>
  </si>
  <si>
    <t>젖산이 생성되는 운동
(30초~10분)
매우 짧은운동</t>
    <phoneticPr fontId="4" type="noConversion"/>
  </si>
  <si>
    <t>Nitrate</t>
    <phoneticPr fontId="4" type="noConversion"/>
  </si>
  <si>
    <t>310~560mg
무, 비트 300g</t>
    <phoneticPr fontId="4" type="noConversion"/>
  </si>
  <si>
    <t>섭취가 까다로운 성분
보충제도 존재하나, 식품을 통한 섭취가 더 권장됨</t>
    <phoneticPr fontId="4" type="noConversion"/>
  </si>
  <si>
    <t>12분 미만 애매
12분 이상 40분 이하 효과</t>
    <phoneticPr fontId="4" type="noConversion"/>
  </si>
  <si>
    <t>Sodium Bicarbonate</t>
    <phoneticPr fontId="4" type="noConversion"/>
  </si>
  <si>
    <t>0.2~0.4g/kg</t>
    <phoneticPr fontId="4" type="noConversion"/>
  </si>
  <si>
    <t>마트에 500원 가지고 가서 살 수 있는 성분, 
A급 성분으로 유명하지만, 왜 보충제로 안쓰는지 먹어보면 알 수 있다. 속쓰림 주의. 
노익스에 뽕~ 가스 소리의 근원인 성분</t>
    <phoneticPr fontId="4" type="noConversion"/>
  </si>
  <si>
    <t>60초~ 10분
길어질수록 효과 반감</t>
    <phoneticPr fontId="4" type="noConversion"/>
  </si>
  <si>
    <t>스포츠드링크</t>
    <phoneticPr fontId="4" type="noConversion"/>
  </si>
  <si>
    <t>게토레이, 포카리 
30분당 500ml
(이 이상 섭취 X)</t>
    <phoneticPr fontId="4" type="noConversion"/>
  </si>
  <si>
    <t xml:space="preserve">수분과 탄수화물(에너지)의 빠른 공급, 운동중에 공급이 가능하다는 점에서 좋음.
운동 강도, 소화능력에 따라서 섭취량과 
농도 조절 필수 </t>
    <phoneticPr fontId="4" type="noConversion"/>
  </si>
  <si>
    <t>운동 시간이 매우 긴 경우
장시간 공복 후 운동할 경우 추천</t>
    <phoneticPr fontId="4" type="noConversion"/>
  </si>
  <si>
    <t>비타민D</t>
    <phoneticPr fontId="4" type="noConversion"/>
  </si>
  <si>
    <t>2000~5000IU</t>
    <phoneticPr fontId="4" type="noConversion"/>
  </si>
  <si>
    <t>햇빛을 못볼경우 섭취량 2000-4000IU,
5000IU 이상섭취시 중간에 혈중 비타민D검사 할것</t>
    <phoneticPr fontId="4" type="noConversion"/>
  </si>
  <si>
    <t>햇빛 안보는 사람 추천</t>
    <phoneticPr fontId="4" type="noConversion"/>
  </si>
  <si>
    <t>칼슘</t>
    <phoneticPr fontId="4" type="noConversion"/>
  </si>
  <si>
    <t>700~1000mg</t>
    <phoneticPr fontId="4" type="noConversion"/>
  </si>
  <si>
    <t>체중이 많이 나갈경우 칼슘 섭취량을 늘릴것. 
체중당 11.2mg/kg</t>
    <phoneticPr fontId="4" type="noConversion"/>
  </si>
  <si>
    <t>오메가3</t>
    <phoneticPr fontId="4" type="noConversion"/>
  </si>
  <si>
    <t>250mg - 필수지방산 섭취
2~4g - 심혈관계 예방, 약간의 근육회복증가와 데미지 감소</t>
    <phoneticPr fontId="4" type="noConversion"/>
  </si>
  <si>
    <t>EPA+DHA 합친 양
단순, 필수지방산 섭취가 목적이라면 크릴오일, 식물성 오메가3 섭취도 가능함. 
하지만, 일반적으로 알려져있는 오메가3 효과볼려면 절대 고르지 말 것</t>
    <phoneticPr fontId="4" type="noConversion"/>
  </si>
  <si>
    <t>일반적으로 섭취하면 좋음
특히, 중성지방 수치가 높은 사람 추천</t>
    <phoneticPr fontId="4" type="noConversion"/>
  </si>
  <si>
    <t>아연</t>
    <phoneticPr fontId="4" type="noConversion"/>
  </si>
  <si>
    <t>10~50mg</t>
    <phoneticPr fontId="4" type="noConversion"/>
  </si>
  <si>
    <t>칼슘,아연,마그네슘은 서로 경쟁흡수함, 섭취량이 많을경우에는 나눠서 섭취
섭취시 속의 불편함을 호소할 수 있음
그럴경우 식후에 섭취 추천</t>
    <phoneticPr fontId="4" type="noConversion"/>
  </si>
  <si>
    <t>땀 많이 흘리고 편식이 심한경우
아연은 2차 성장기때 필수</t>
    <phoneticPr fontId="4" type="noConversion"/>
  </si>
  <si>
    <t>마그네슘</t>
    <phoneticPr fontId="4" type="noConversion"/>
  </si>
  <si>
    <t>300mg</t>
    <phoneticPr fontId="4" type="noConversion"/>
  </si>
  <si>
    <t>BCAA</t>
    <phoneticPr fontId="4" type="noConversion"/>
  </si>
  <si>
    <t>10~15g</t>
    <phoneticPr fontId="4" type="noConversion"/>
  </si>
  <si>
    <t>유청단백질의 20%는 BCAA,
섭취량만큼 BCAA섭취 줄일것
참고로 BCAA단맛은 100% 첨가물임. 
첨가물 다량섭취 주의할것</t>
    <phoneticPr fontId="4" type="noConversion"/>
  </si>
  <si>
    <t>운동할때 맹물 마시기 싫은사람</t>
    <phoneticPr fontId="4" type="noConversion"/>
  </si>
  <si>
    <t>시트룰린/
아르기닌</t>
    <phoneticPr fontId="4" type="noConversion"/>
  </si>
  <si>
    <t>시트룰린 6-8g
아르기닌 3-9g</t>
    <phoneticPr fontId="4" type="noConversion"/>
  </si>
  <si>
    <t>아르기닌이 NO산화질소, 펌핑, 혈관확장, Erection에 도움이 됨. 
하지만, 공복에 섭취해야하고 한번에 먹을경우 부담이 될 수 있음. 혈중 감소가 빠름
시트룰린은 이 부분이 보완됨. 혈중 농도 유지가 좋고 섭취가 용이함.</t>
    <phoneticPr fontId="4" type="noConversion"/>
  </si>
  <si>
    <t xml:space="preserve">운동수행 능력 도움에는 호불호가 갈림. 
실제로 펌핑에 도움이 되는지도 여러가지 의견이 갈림. 
혈관확장을 원한다면 섭취. </t>
    <phoneticPr fontId="4" type="noConversion"/>
  </si>
  <si>
    <t>HMB</t>
    <phoneticPr fontId="4" type="noConversion"/>
  </si>
  <si>
    <t>3g</t>
    <phoneticPr fontId="4" type="noConversion"/>
  </si>
  <si>
    <t xml:space="preserve">근육 회복, 근육 성장
굉장히 높은 수준의 신체 대미지(변화)
가 있는 군에서 추천됨. </t>
    <phoneticPr fontId="4" type="noConversion"/>
  </si>
  <si>
    <t>고강도 웨이트 운동하는사람, 
운동 완전 처음 시작하는 사람</t>
    <phoneticPr fontId="4" type="noConversion"/>
  </si>
  <si>
    <t>동면중의 보충제 우선순위</t>
    <phoneticPr fontId="4" type="noConversion"/>
  </si>
  <si>
    <t>Teacrine
(쿠팡)</t>
    <phoneticPr fontId="4" type="noConversion"/>
  </si>
  <si>
    <t>Pump Mode
(아이허브)
무맛</t>
    <phoneticPr fontId="4" type="noConversion"/>
  </si>
  <si>
    <t>Pump Mode
(쿠팡)
무맛</t>
    <phoneticPr fontId="4" type="noConversion"/>
  </si>
  <si>
    <t>Pump Mode
(쿠팡)
블루라즈</t>
    <phoneticPr fontId="4" type="noConversion"/>
  </si>
  <si>
    <t>Pump Mode
(아이허브)
포도맛</t>
    <phoneticPr fontId="4" type="noConversion"/>
  </si>
  <si>
    <t>베이킹파우더
(쿠팡)</t>
    <phoneticPr fontId="4" type="noConversion"/>
  </si>
  <si>
    <t>식소다
(쿠팡)</t>
    <phoneticPr fontId="4" type="noConversion"/>
  </si>
  <si>
    <t>게토레이
1.5L 12개
(쿠팡)</t>
    <phoneticPr fontId="4" type="noConversion"/>
  </si>
  <si>
    <t>파워에이드
1.5L 12개
(쿠팡)</t>
    <phoneticPr fontId="4" type="noConversion"/>
  </si>
  <si>
    <t>포카리
1.5L 12개
(쿠팡)</t>
    <phoneticPr fontId="4" type="noConversion"/>
  </si>
  <si>
    <t>크레아틴
(아이허브)</t>
    <phoneticPr fontId="4" type="noConversion"/>
  </si>
  <si>
    <t>크레아틴
(쿠팡)</t>
    <phoneticPr fontId="4" type="noConversion"/>
  </si>
  <si>
    <t>쿠팡</t>
    <phoneticPr fontId="4" type="noConversion"/>
  </si>
  <si>
    <t>아이허브</t>
    <phoneticPr fontId="4" type="noConversion"/>
  </si>
  <si>
    <t>GAT
Caffeine
(아이허브)</t>
    <phoneticPr fontId="4" type="noConversion"/>
  </si>
  <si>
    <t>*카페인은 '부스터' 제품으로 접하시는게 편합니다. 알약 제품들은 200mg단위라서 본인에게 맞는 섭취량을 정하기 힘듭니다.
*Teacrine은 카페인의 강한 하강 작용을 부드럽게 바꿔줍니다. 따로 리뷰하도록 하겠습니다.</t>
    <phoneticPr fontId="4" type="noConversion"/>
  </si>
  <si>
    <t>MRM
베타알라닌
(아이허브)</t>
    <phoneticPr fontId="4" type="noConversion"/>
  </si>
  <si>
    <t>프리마포스
베타알라닌
(쿠팡)</t>
    <phoneticPr fontId="4" type="noConversion"/>
  </si>
  <si>
    <t>D3 2500 
K2 80mcg
(아이허브)</t>
    <phoneticPr fontId="4" type="noConversion"/>
  </si>
  <si>
    <t>D3 5000
K2 100mcg
(아이허브)</t>
    <phoneticPr fontId="4" type="noConversion"/>
  </si>
  <si>
    <t>D3 5000
(아이허브)</t>
    <phoneticPr fontId="4" type="noConversion"/>
  </si>
  <si>
    <t>*K2들어간거는 칼슘침착 걱정되면 드세요.</t>
    <phoneticPr fontId="4" type="noConversion"/>
  </si>
  <si>
    <t>D3 2400
(쿠팡)</t>
    <phoneticPr fontId="4" type="noConversion"/>
  </si>
  <si>
    <t>K2 100
(쿠팡)</t>
    <phoneticPr fontId="4" type="noConversion"/>
  </si>
  <si>
    <t>HMB-Free
(아이허브)</t>
    <phoneticPr fontId="4" type="noConversion"/>
  </si>
  <si>
    <t>HMB-Ca
(쿠팡)</t>
    <phoneticPr fontId="4" type="noConversion"/>
  </si>
  <si>
    <t>HMB-Free
(쿠팡)</t>
    <phoneticPr fontId="4" type="noConversion"/>
  </si>
  <si>
    <t>HMB-Ca
(아이허브)</t>
    <phoneticPr fontId="4" type="noConversion"/>
  </si>
  <si>
    <t>오메가3
800mg, TG
(아이허브)</t>
    <phoneticPr fontId="4" type="noConversion"/>
  </si>
  <si>
    <t>아이허브, 쿠팡
시트룰린
없음</t>
    <phoneticPr fontId="4" type="noConversion"/>
  </si>
  <si>
    <t>아르기닌
작은알약
(아이허브)</t>
    <phoneticPr fontId="4" type="noConversion"/>
  </si>
  <si>
    <t>아르기닌
큰알약
(아이허브)</t>
    <phoneticPr fontId="4" type="noConversion"/>
  </si>
  <si>
    <t>AAKG
(아이허브)</t>
    <phoneticPr fontId="4" type="noConversion"/>
  </si>
  <si>
    <t>아르기닌
작은알약
(쿠팡)</t>
    <phoneticPr fontId="4" type="noConversion"/>
  </si>
  <si>
    <t>아르기닌
큰알약
(쿠팡)</t>
    <phoneticPr fontId="4" type="noConversion"/>
  </si>
  <si>
    <t>AAKG
(쿠팡)</t>
    <phoneticPr fontId="4" type="noConversion"/>
  </si>
  <si>
    <t>마이프로틴</t>
    <phoneticPr fontId="4" type="noConversion"/>
  </si>
  <si>
    <t>아래 제품 클릭하면 쇼핑몰로 이동함</t>
    <phoneticPr fontId="4" type="noConversion"/>
  </si>
  <si>
    <t>골든허브 볶은 귀리가루
2kg
(쿠팡)</t>
    <phoneticPr fontId="4" type="noConversion"/>
  </si>
  <si>
    <t>캘리포니아 
골드
(아이허브)</t>
    <phoneticPr fontId="4" type="noConversion"/>
  </si>
  <si>
    <t>컴뱃 파우더
(아이허브)</t>
    <phoneticPr fontId="4" type="noConversion"/>
  </si>
  <si>
    <t>옵티멈 골드스탠다드웨이 
(아이허브)</t>
    <phoneticPr fontId="4" type="noConversion"/>
  </si>
  <si>
    <t>컴뱃 100%
(아이허브)</t>
    <phoneticPr fontId="4" type="noConversion"/>
  </si>
  <si>
    <t>옵티멈 골드스탠다드웨이 
(쿠팡)</t>
    <phoneticPr fontId="4" type="noConversion"/>
  </si>
  <si>
    <t>컴뱃 100%
(쿠팡)</t>
    <phoneticPr fontId="4" type="noConversion"/>
  </si>
  <si>
    <t>컴뱃 파우더
(쿠팡)</t>
    <phoneticPr fontId="4" type="noConversion"/>
  </si>
  <si>
    <t>Two per Day
캡슐
(아이허브)</t>
    <phoneticPr fontId="4" type="noConversion"/>
  </si>
  <si>
    <t>Two Per Day
테블릿
(아이허브)</t>
    <phoneticPr fontId="4" type="noConversion"/>
  </si>
  <si>
    <t>캘리포니아골드
50억
(아이허브)</t>
    <phoneticPr fontId="4" type="noConversion"/>
  </si>
  <si>
    <t>자로우
50억
(아이허브)</t>
    <phoneticPr fontId="4" type="noConversion"/>
  </si>
  <si>
    <t>자로우
50억
(쿠팡)</t>
    <phoneticPr fontId="4" type="noConversion"/>
  </si>
  <si>
    <t>글루타민
(아이허브)</t>
    <phoneticPr fontId="4" type="noConversion"/>
  </si>
  <si>
    <t>글루타민
(쿠팡)</t>
    <phoneticPr fontId="4" type="noConversion"/>
  </si>
  <si>
    <t>임팩트 
웨이프로틴
(마이프로틴)</t>
    <phoneticPr fontId="4" type="noConversion"/>
  </si>
  <si>
    <t>임팩트 웨이
아이솔레이트
(마이프로틴)</t>
    <phoneticPr fontId="4" type="noConversion"/>
  </si>
  <si>
    <t>인스턴트오트
(마이프로틴)</t>
    <phoneticPr fontId="4" type="noConversion"/>
  </si>
  <si>
    <t>알파맨
(마이프로틴)</t>
    <phoneticPr fontId="4" type="noConversion"/>
  </si>
  <si>
    <t>프로바이오틱스
150억
(마이프로틴)</t>
    <phoneticPr fontId="4" type="noConversion"/>
  </si>
  <si>
    <t>글루타민
(마이프로틴)</t>
    <phoneticPr fontId="4" type="noConversion"/>
  </si>
  <si>
    <t>토탈프로틴
(마이프로틴)</t>
    <phoneticPr fontId="4" type="noConversion"/>
  </si>
  <si>
    <t>퓨어 카페인 200mg
(마이프로틴)</t>
    <phoneticPr fontId="4" type="noConversion"/>
  </si>
  <si>
    <t>크레아틴
(마이프로틴)</t>
    <phoneticPr fontId="4" type="noConversion"/>
  </si>
  <si>
    <t>베타알라닌
(마이프로틴)</t>
    <phoneticPr fontId="4" type="noConversion"/>
  </si>
  <si>
    <t>D3 1000
(마이프로틴)</t>
    <phoneticPr fontId="4" type="noConversion"/>
  </si>
  <si>
    <t>오메가벨런스
600mg, TG
(마이프로틴)</t>
    <phoneticPr fontId="4" type="noConversion"/>
  </si>
  <si>
    <t>AAKG
(마이프로틴)</t>
    <phoneticPr fontId="4" type="noConversion"/>
  </si>
  <si>
    <t>시트룰린
말레이트
(마이프로틴)</t>
    <phoneticPr fontId="4" type="noConversion"/>
  </si>
  <si>
    <t>HMB-Ca
(마이프로틴)</t>
    <phoneticPr fontId="4" type="noConversion"/>
  </si>
  <si>
    <t>Ca형태보다 Free형태가 흡수속도와 피크점이 2배 더 좋습니다.</t>
    <phoneticPr fontId="4" type="noConversion"/>
  </si>
  <si>
    <t>커스텀 성분 (100g 당 영양성분 넣으세요.)</t>
    <phoneticPr fontId="4" type="noConversion"/>
  </si>
  <si>
    <t>설명 동영상 https://youtu.be/mDXAkP_BJV4</t>
    <phoneticPr fontId="4" type="noConversion"/>
  </si>
  <si>
    <t>*단백질은 유튜브 참고하시면 좋습니다.  https://youtu.be/BBI_eBXn_a4</t>
    <phoneticPr fontId="4" type="noConversion"/>
  </si>
  <si>
    <t>권장 단백질 섭취량(체중당 1.6~2.2g)</t>
    <phoneticPr fontId="4" type="noConversion"/>
  </si>
  <si>
    <t>다이어트 기간 추정하기</t>
    <phoneticPr fontId="4" type="noConversion"/>
  </si>
  <si>
    <t>*어디까지나 추정치입니다.</t>
    <phoneticPr fontId="4" type="noConversion"/>
  </si>
  <si>
    <t>*체지방이 정말 많이 나가시는 분들은 (활동대사량) - (먹는양) 이 크기를 늘리셔도 됩니다.</t>
    <phoneticPr fontId="4" type="noConversion"/>
  </si>
  <si>
    <t>*(활동대사량) - (먹는양)이 크면, 다이어트가 빠르지만 근손실 위험이 있습니다.</t>
    <phoneticPr fontId="4" type="noConversion"/>
  </si>
  <si>
    <t>사용방법</t>
    <phoneticPr fontId="4" type="noConversion"/>
  </si>
  <si>
    <t>1. 현제체중, 체지방률, 내가 원하는 체지방률을 넣는다.</t>
    <phoneticPr fontId="4" type="noConversion"/>
  </si>
  <si>
    <t xml:space="preserve">2. 내가 원하는 체지방률일때 체중이 나온다. </t>
    <phoneticPr fontId="4" type="noConversion"/>
  </si>
  <si>
    <t xml:space="preserve">3. (활동대사량) - (먹는양) 값을 입력한다. 즉, 하루에 감량에 사용하는 칼로리량 </t>
    <phoneticPr fontId="4" type="noConversion"/>
  </si>
  <si>
    <t>*녹색 값은 입력X, 자동 산출됩니다.</t>
    <phoneticPr fontId="4" type="noConversion"/>
  </si>
  <si>
    <t>현제체중</t>
    <phoneticPr fontId="4" type="noConversion"/>
  </si>
  <si>
    <t>내가 원하는 체지방률</t>
    <phoneticPr fontId="4" type="noConversion"/>
  </si>
  <si>
    <t>내가 원하는 체지방률일때 체중</t>
    <phoneticPr fontId="4" type="noConversion"/>
  </si>
  <si>
    <t>내가 빼야하는 체중</t>
    <phoneticPr fontId="4" type="noConversion"/>
  </si>
  <si>
    <t>(활동대사량) - (먹는양)</t>
    <phoneticPr fontId="4" type="noConversion"/>
  </si>
  <si>
    <t>다이어트 필요한 시간</t>
    <phoneticPr fontId="4" type="noConversion"/>
  </si>
  <si>
    <t>만든이 동면중</t>
    <phoneticPr fontId="4" type="noConversion"/>
  </si>
  <si>
    <t>잠자기</t>
  </si>
  <si>
    <t>운동 1</t>
    <phoneticPr fontId="4" type="noConversion"/>
  </si>
  <si>
    <t>운동 2</t>
    <phoneticPr fontId="4" type="noConversion"/>
  </si>
  <si>
    <t>운동 3</t>
    <phoneticPr fontId="4" type="noConversion"/>
  </si>
  <si>
    <t>운동 4</t>
    <phoneticPr fontId="4" type="noConversion"/>
  </si>
  <si>
    <t>운동 5</t>
    <phoneticPr fontId="4" type="noConversion"/>
  </si>
  <si>
    <t>대중교통 이용 (앉음)</t>
    <phoneticPr fontId="4" type="noConversion"/>
  </si>
  <si>
    <t>대중교통 이용 (서서)</t>
    <phoneticPr fontId="4" type="noConversion"/>
  </si>
  <si>
    <t>앉아서 TV시청 or 컴퓨터</t>
  </si>
  <si>
    <t>앉아서 TV시청 or 컴퓨터</t>
    <phoneticPr fontId="4" type="noConversion"/>
  </si>
  <si>
    <t>평일용</t>
    <phoneticPr fontId="4" type="noConversion"/>
  </si>
  <si>
    <t>누워있기</t>
  </si>
  <si>
    <t>웨어러블(스마트워치) 필수
*스마트워치 측정 오차 주의하세요.</t>
    <phoneticPr fontId="4" type="noConversion"/>
  </si>
  <si>
    <t xml:space="preserve">*운동시간동안의 평균 심박수.
심박수의 표준편차가 심하면 PAR의 오차가 있을 수 있습니다. </t>
    <phoneticPr fontId="4" type="noConversion"/>
  </si>
  <si>
    <t xml:space="preserve">*(활동대사량) - (먹는양)의 이상적인 숫자는 500Kcal, 많게는 700Kcal가 될 수 있습니다. </t>
    <phoneticPr fontId="4" type="noConversion"/>
  </si>
  <si>
    <t>*그 이상 늘릴경우 근손실의 우려가 있습니다.</t>
    <phoneticPr fontId="4" type="noConversion"/>
  </si>
  <si>
    <t>*근손실은 나이, 호르몬, 근력운동, 활동량, 식단과 관련이 있습니다.</t>
    <phoneticPr fontId="4" type="noConversion"/>
  </si>
  <si>
    <t xml:space="preserve">*체지방이 정말 많이 나가시는 분들은 (활동대사량) - (먹는양) 이 크기를 늘리셔도 됩니다. </t>
    <phoneticPr fontId="4" type="noConversion"/>
  </si>
  <si>
    <t>*다이어트를 오래해서 컨디션이 안좋아질 경우에는 1달 '유지기간'을 가지고 다이어트에 다시 돌입하면 좋습니다.</t>
    <phoneticPr fontId="4" type="noConversion"/>
  </si>
  <si>
    <t xml:space="preserve">*다이어트 종료후 글리코겐이 재충전 되면서 1kg에서 많게는 2~3kg체중이 증가 될 수 있습니다. </t>
    <phoneticPr fontId="4" type="noConversion"/>
  </si>
  <si>
    <t>2달 넘어갈 경우 컨디션이 나쁘면, 유지기간을 갖는 것을 추천합니다.</t>
    <phoneticPr fontId="4" type="noConversion"/>
  </si>
  <si>
    <t>하루 사용하는 칼로리(권장칼로리) - 식사량</t>
    <phoneticPr fontId="4" type="noConversion"/>
  </si>
  <si>
    <t>섭취할 칼로리</t>
    <phoneticPr fontId="4" type="noConversion"/>
  </si>
  <si>
    <t>소고기</t>
  </si>
  <si>
    <t>소고기</t>
    <phoneticPr fontId="4" type="noConversion"/>
  </si>
  <si>
    <t>유산소 운동 (강도 높게)</t>
    <phoneticPr fontId="4" type="noConversion"/>
  </si>
  <si>
    <t>유산소 운동 (조금 높게)</t>
    <phoneticPr fontId="4" type="noConversion"/>
  </si>
  <si>
    <t>유산소 운동 (약하게)</t>
    <phoneticPr fontId="4" type="noConversion"/>
  </si>
  <si>
    <t>근력 운동 (약하게)</t>
    <phoneticPr fontId="4" type="noConversion"/>
  </si>
  <si>
    <t>근력 운동 (조금 높게)</t>
    <phoneticPr fontId="4" type="noConversion"/>
  </si>
  <si>
    <t>근력 운동 (강도 높게)</t>
    <phoneticPr fontId="4" type="noConversion"/>
  </si>
  <si>
    <t>근력 운동 (약하게)</t>
  </si>
  <si>
    <t>닭가슴살(냉동) 10kg (하림)</t>
    <phoneticPr fontId="4" type="noConversion"/>
  </si>
  <si>
    <t>닭가슴살(냉동) 5kg (목우촌)</t>
    <phoneticPr fontId="4" type="noConversion"/>
  </si>
  <si>
    <t>닭가슴살(냉동) 10kg (100gx100) 신선애</t>
    <phoneticPr fontId="4" type="noConversion"/>
  </si>
  <si>
    <t>100g</t>
    <phoneticPr fontId="4" type="noConversion"/>
  </si>
  <si>
    <t>protein g/100g</t>
    <phoneticPr fontId="4" type="noConversion"/>
  </si>
  <si>
    <t>total protein</t>
    <phoneticPr fontId="4" type="noConversion"/>
  </si>
  <si>
    <t>protein g/\</t>
    <phoneticPr fontId="4" type="noConversion"/>
  </si>
  <si>
    <t>가격</t>
    <phoneticPr fontId="4" type="noConversion"/>
  </si>
  <si>
    <t>냉장/냉동</t>
    <phoneticPr fontId="4" type="noConversion"/>
  </si>
  <si>
    <t>냉동</t>
    <phoneticPr fontId="4" type="noConversion"/>
  </si>
  <si>
    <t>냉장</t>
    <phoneticPr fontId="4" type="noConversion"/>
  </si>
  <si>
    <t>하나푸드</t>
    <phoneticPr fontId="4" type="noConversion"/>
  </si>
  <si>
    <t>하림</t>
    <phoneticPr fontId="4" type="noConversion"/>
  </si>
  <si>
    <t>브랜드</t>
    <phoneticPr fontId="4" type="noConversion"/>
  </si>
  <si>
    <t>올품</t>
    <phoneticPr fontId="4" type="noConversion"/>
  </si>
  <si>
    <t>체리부로</t>
    <phoneticPr fontId="4" type="noConversion"/>
  </si>
  <si>
    <t>목우촌</t>
    <phoneticPr fontId="4" type="noConversion"/>
  </si>
  <si>
    <t>닭쌤</t>
    <phoneticPr fontId="4" type="noConversion"/>
  </si>
  <si>
    <t>신선애</t>
    <phoneticPr fontId="4" type="noConversion"/>
  </si>
  <si>
    <t>마니커</t>
    <phoneticPr fontId="4" type="noConversion"/>
  </si>
  <si>
    <t>닭 도축</t>
    <phoneticPr fontId="4" type="noConversion"/>
  </si>
  <si>
    <t>기타사항</t>
    <phoneticPr fontId="4" type="noConversion"/>
  </si>
  <si>
    <t>HACCP</t>
    <phoneticPr fontId="4" type="noConversion"/>
  </si>
  <si>
    <t>IQF</t>
    <phoneticPr fontId="4" type="noConversion"/>
  </si>
  <si>
    <t>사조</t>
    <phoneticPr fontId="4" type="noConversion"/>
  </si>
  <si>
    <t>키토랑</t>
    <phoneticPr fontId="4" type="noConversion"/>
  </si>
  <si>
    <t>처리방법</t>
    <phoneticPr fontId="4" type="noConversion"/>
  </si>
  <si>
    <t>닭가슴살(냉동) 8kg (800g x 10) 신선애</t>
    <phoneticPr fontId="4" type="noConversion"/>
  </si>
  <si>
    <t>닭가슴살(냉동) 10kg (하나푸드) 슬라이스</t>
    <phoneticPr fontId="4" type="noConversion"/>
  </si>
  <si>
    <t>슬라이스</t>
    <phoneticPr fontId="4" type="noConversion"/>
  </si>
  <si>
    <t xml:space="preserve">닭가슴살(냉동) 10kg (하나푸드) </t>
    <phoneticPr fontId="4" type="noConversion"/>
  </si>
  <si>
    <t>6만원 이상 무료배송(배송료 2,500원)</t>
    <phoneticPr fontId="4" type="noConversion"/>
  </si>
  <si>
    <t>배송료 2,500원</t>
    <phoneticPr fontId="4" type="noConversion"/>
  </si>
  <si>
    <t>무료배송</t>
    <phoneticPr fontId="4" type="noConversion"/>
  </si>
  <si>
    <t>아몰랑</t>
    <phoneticPr fontId="4" type="noConversion"/>
  </si>
  <si>
    <t>케이투케이트레이드</t>
    <phoneticPr fontId="4" type="noConversion"/>
  </si>
  <si>
    <t>씨.에스 코리아</t>
    <phoneticPr fontId="4" type="noConversion"/>
  </si>
  <si>
    <t>닭가슴살(냉동) 1kg*2 (진정성)</t>
    <phoneticPr fontId="4" type="noConversion"/>
  </si>
  <si>
    <t>19,800원 이상 무료배송</t>
    <phoneticPr fontId="4" type="noConversion"/>
  </si>
  <si>
    <t>IFF</t>
    <phoneticPr fontId="4" type="noConversion"/>
  </si>
  <si>
    <t xml:space="preserve">닭가슴살(냉동) 800g*3 자연실록 무항생제 (하림) </t>
    <phoneticPr fontId="4" type="noConversion"/>
  </si>
  <si>
    <t xml:space="preserve">닭가슴살(냉장) 1kg 에그파파 </t>
    <phoneticPr fontId="4" type="noConversion"/>
  </si>
  <si>
    <t>에그파파</t>
    <phoneticPr fontId="4" type="noConversion"/>
  </si>
  <si>
    <t>참프레</t>
    <phoneticPr fontId="4" type="noConversion"/>
  </si>
  <si>
    <t>마니커,동우 등</t>
    <phoneticPr fontId="4" type="noConversion"/>
  </si>
  <si>
    <t>HACCP, 무항생제</t>
    <phoneticPr fontId="4" type="noConversion"/>
  </si>
  <si>
    <t>닭가슴살(냉동) 1kg*3 (올품)</t>
    <phoneticPr fontId="4" type="noConversion"/>
  </si>
  <si>
    <t>닭가슴살(냉동) 1kg*5 (올품)</t>
    <phoneticPr fontId="4" type="noConversion"/>
  </si>
  <si>
    <t>최하위 티어</t>
    <phoneticPr fontId="4" type="noConversion"/>
  </si>
  <si>
    <t>HACCP없음</t>
    <phoneticPr fontId="4" type="noConversion"/>
  </si>
  <si>
    <t>하위 티어</t>
    <phoneticPr fontId="4" type="noConversion"/>
  </si>
  <si>
    <t>중티어</t>
    <phoneticPr fontId="4" type="noConversion"/>
  </si>
  <si>
    <t>상티어</t>
    <phoneticPr fontId="4" type="noConversion"/>
  </si>
  <si>
    <t>급속냉동</t>
    <phoneticPr fontId="4" type="noConversion"/>
  </si>
  <si>
    <t>최상위 티어</t>
    <phoneticPr fontId="4" type="noConversion"/>
  </si>
  <si>
    <t>무항생제</t>
    <phoneticPr fontId="4" type="noConversion"/>
  </si>
  <si>
    <t>큰기업 도축장</t>
    <phoneticPr fontId="4" type="noConversion"/>
  </si>
  <si>
    <t>닭가슴살(냉동) 800g*5 자연실록 무항생제 (하림)</t>
    <phoneticPr fontId="4" type="noConversion"/>
  </si>
  <si>
    <t>스페셜 짱티어</t>
    <phoneticPr fontId="4" type="noConversion"/>
  </si>
  <si>
    <t>닭가슴살(냉장) 1kg 자연실록 무항생제 (하림)</t>
    <phoneticPr fontId="4" type="noConversion"/>
  </si>
  <si>
    <t>올품</t>
    <phoneticPr fontId="4" type="noConversion"/>
  </si>
  <si>
    <t>IQF</t>
    <phoneticPr fontId="4" type="noConversion"/>
  </si>
  <si>
    <t>무료배송</t>
    <phoneticPr fontId="4" type="noConversion"/>
  </si>
  <si>
    <t>닭가슴살(냉장) 3kg (목우촌)</t>
    <phoneticPr fontId="4" type="noConversion"/>
  </si>
  <si>
    <t>냉장</t>
    <phoneticPr fontId="4" type="noConversion"/>
  </si>
  <si>
    <t>목우촌</t>
    <phoneticPr fontId="4" type="noConversion"/>
  </si>
  <si>
    <t>닭가슴살(냉동) 3kg (목우촌)</t>
    <phoneticPr fontId="4" type="noConversion"/>
  </si>
  <si>
    <t>냉동</t>
    <phoneticPr fontId="4" type="noConversion"/>
  </si>
  <si>
    <t>배송료 3,000원</t>
    <phoneticPr fontId="4" type="noConversion"/>
  </si>
  <si>
    <t>닭가슴살(냉장) 5kg (목우촌)</t>
    <phoneticPr fontId="4" type="noConversion"/>
  </si>
  <si>
    <t>닭가슴살(냉장) 0.4kg (하림) 자연실록, 로켓프레시</t>
    <phoneticPr fontId="4" type="noConversion"/>
  </si>
  <si>
    <t>하림</t>
    <phoneticPr fontId="4" type="noConversion"/>
  </si>
  <si>
    <t>15,000원 구매시 무료. 당일배송</t>
    <phoneticPr fontId="4" type="noConversion"/>
  </si>
  <si>
    <t>미소푸드</t>
    <phoneticPr fontId="4" type="noConversion"/>
  </si>
  <si>
    <t>예푸드</t>
    <phoneticPr fontId="4" type="noConversion"/>
  </si>
  <si>
    <t>HACCP</t>
    <phoneticPr fontId="4" type="noConversion"/>
  </si>
  <si>
    <t>배송비 2,500원</t>
    <phoneticPr fontId="4" type="noConversion"/>
  </si>
  <si>
    <t>노브랜드(이마트)</t>
    <phoneticPr fontId="4" type="noConversion"/>
  </si>
  <si>
    <t>동우팜투테이블</t>
    <phoneticPr fontId="4" type="noConversion"/>
  </si>
  <si>
    <t>4만원 이상 무료배송</t>
    <phoneticPr fontId="4" type="noConversion"/>
  </si>
  <si>
    <t>닭가슴살(냉동) 1kg x 10 (에브리원셰프)</t>
    <phoneticPr fontId="4" type="noConversion"/>
  </si>
  <si>
    <t>닭가슴살(냉동) 1kg 노브랜드</t>
    <phoneticPr fontId="4" type="noConversion"/>
  </si>
  <si>
    <t>닭가슴살(냉동) 1kg x 5 (에브리원셰프)</t>
    <phoneticPr fontId="4" type="noConversion"/>
  </si>
  <si>
    <t>에브리원셰프</t>
    <phoneticPr fontId="4" type="noConversion"/>
  </si>
  <si>
    <t>닭가슴살(냉동) 1kg (에브리원셰프)</t>
    <phoneticPr fontId="4" type="noConversion"/>
  </si>
  <si>
    <t>배송료 2,500원</t>
    <phoneticPr fontId="4" type="noConversion"/>
  </si>
  <si>
    <t>닭가슴살(냉동) 5kg (200gx25) 닭쌤</t>
    <phoneticPr fontId="4" type="noConversion"/>
  </si>
  <si>
    <t>A스페셜 짱티어</t>
    <phoneticPr fontId="4" type="noConversion"/>
  </si>
  <si>
    <t>C상티어</t>
    <phoneticPr fontId="4" type="noConversion"/>
  </si>
  <si>
    <t>D중티어</t>
    <phoneticPr fontId="4" type="noConversion"/>
  </si>
  <si>
    <t>E하위티어</t>
    <phoneticPr fontId="4" type="noConversion"/>
  </si>
  <si>
    <t>랭킹닭컴</t>
    <phoneticPr fontId="4" type="noConversion"/>
  </si>
  <si>
    <t>B최상위 티어</t>
    <phoneticPr fontId="4" type="noConversion"/>
  </si>
  <si>
    <t>등급</t>
    <phoneticPr fontId="4" type="noConversion"/>
  </si>
  <si>
    <t>배송료</t>
    <phoneticPr fontId="4" type="noConversion"/>
  </si>
  <si>
    <t>동면중의 생닭가슴살 도우미</t>
    <phoneticPr fontId="17" type="noConversion"/>
  </si>
  <si>
    <t>쌀(생것)</t>
  </si>
  <si>
    <t>닭(가슴살)</t>
  </si>
  <si>
    <t>목살</t>
  </si>
  <si>
    <t>100g당 가격</t>
    <phoneticPr fontId="4" type="noConversion"/>
  </si>
  <si>
    <t>D상티어</t>
    <phoneticPr fontId="4" type="noConversion"/>
  </si>
  <si>
    <t>도축장 미표기</t>
    <phoneticPr fontId="4" type="noConversion"/>
  </si>
  <si>
    <t>쇼핑몰(클릭시 쇼핑몰로 이동)</t>
    <phoneticPr fontId="4" type="noConversion"/>
  </si>
  <si>
    <t>쿠팡(로캣배송), 품절 잘됨ㅠ</t>
    <phoneticPr fontId="4" type="noConversion"/>
  </si>
  <si>
    <t>*하림 닭가슴살 제품은 품절인 
경우가 종종 있습니다.</t>
    <phoneticPr fontId="4" type="noConversion"/>
  </si>
  <si>
    <t>*에브리원셰프는 2kg부터 무료배송인데, 
그러면 100g당 가격이 올라감. 
1kg짜리 여러 개 사는게 이득인경우가 
있으니 참고하세요.</t>
    <phoneticPr fontId="4" type="noConversion"/>
  </si>
  <si>
    <r>
      <t xml:space="preserve">닭가슴살 </t>
    </r>
    <r>
      <rPr>
        <b/>
        <sz val="11"/>
        <color theme="1"/>
        <rFont val="맑은 고딕"/>
        <family val="3"/>
        <charset val="129"/>
        <scheme val="minor"/>
      </rPr>
      <t>슬라이스</t>
    </r>
    <r>
      <rPr>
        <sz val="11"/>
        <color theme="1"/>
        <rFont val="맑은 고딕"/>
        <family val="3"/>
        <charset val="129"/>
        <scheme val="minor"/>
      </rPr>
      <t xml:space="preserve"> (냉동) 10kg (올품)</t>
    </r>
    <phoneticPr fontId="4" type="noConversion"/>
  </si>
  <si>
    <r>
      <t xml:space="preserve">닭가슴살 </t>
    </r>
    <r>
      <rPr>
        <b/>
        <sz val="11"/>
        <color theme="1"/>
        <rFont val="맑은 고딕"/>
        <family val="3"/>
        <charset val="129"/>
        <scheme val="minor"/>
      </rPr>
      <t>슬라이스</t>
    </r>
    <r>
      <rPr>
        <sz val="11"/>
        <color theme="1"/>
        <rFont val="맑은 고딕"/>
        <family val="3"/>
        <charset val="129"/>
        <scheme val="minor"/>
      </rPr>
      <t xml:space="preserve"> (냉동) 1kg*2 (올품)</t>
    </r>
    <phoneticPr fontId="4" type="noConversion"/>
  </si>
  <si>
    <t>동면중 메모.</t>
    <phoneticPr fontId="4" type="noConversion"/>
  </si>
  <si>
    <t>닭가슴살(냉동) 1kg (싱싱닭고기)</t>
    <phoneticPr fontId="4" type="noConversion"/>
  </si>
  <si>
    <t>목우촌은 중량, 냉동/냉장 확인 꼭하세요</t>
    <phoneticPr fontId="4" type="noConversion"/>
  </si>
  <si>
    <t>이마트몰</t>
    <phoneticPr fontId="4" type="noConversion"/>
  </si>
  <si>
    <t>링크 따로 없습니다.</t>
    <phoneticPr fontId="4" type="noConversion"/>
  </si>
  <si>
    <t>본인 체중 입력</t>
    <phoneticPr fontId="4" type="noConversion"/>
  </si>
  <si>
    <t>시작 날짜</t>
    <phoneticPr fontId="4" type="noConversion"/>
  </si>
  <si>
    <t>섭취칼로리-사용칼로리 입력</t>
    <phoneticPr fontId="4" type="noConversion"/>
  </si>
  <si>
    <t>예상 체중 변화</t>
    <phoneticPr fontId="4" type="noConversion"/>
  </si>
  <si>
    <t>실제 체중</t>
    <phoneticPr fontId="4" type="noConversion"/>
  </si>
  <si>
    <t>*그래프 범위는 그래프를 클릭후 '실제 체중' 끝쪽을 잡고 늘리시면 됩니다. 
처음 범위를 너무 넓게 설정하면 그래프가 너무 크게 나올 수 있습니다.</t>
    <phoneticPr fontId="4" type="noConversion"/>
  </si>
  <si>
    <t>*다이어트 기간이 늘어나면서, 기초대사량이 줄어들기 때문에 1주에 50~100Kcal씩 더 줄여나가는게 좋습니다.
*하루 사용하는 칼로리는 초보자용의 권장칼로리(칼로리 변화 주기 전)를 참고하거나 중급자의 활동대사량 산출</t>
    <phoneticPr fontId="4" type="noConversion"/>
  </si>
  <si>
    <t>초보자 (2g/kg)</t>
    <phoneticPr fontId="4" type="noConversion"/>
  </si>
  <si>
    <t xml:space="preserve">선택: </t>
    <phoneticPr fontId="4" type="noConversion"/>
  </si>
  <si>
    <t>소비 칼로리 추가</t>
    <phoneticPr fontId="4" type="noConversion"/>
  </si>
  <si>
    <t>칼로리(추정치)</t>
    <phoneticPr fontId="4" type="noConversion"/>
  </si>
  <si>
    <t>운동 약하게</t>
    <phoneticPr fontId="4" type="noConversion"/>
  </si>
  <si>
    <t>운동 중간</t>
    <phoneticPr fontId="4" type="noConversion"/>
  </si>
  <si>
    <t>운동 강하게</t>
    <phoneticPr fontId="4" type="noConversion"/>
  </si>
  <si>
    <t>운동 매우 강하게</t>
    <phoneticPr fontId="4" type="noConversion"/>
  </si>
  <si>
    <t>쿠팡 구매 링크</t>
    <phoneticPr fontId="4" type="noConversion"/>
  </si>
  <si>
    <t>https://coupa.ng/bh9nka</t>
    <phoneticPr fontId="4" type="noConversion"/>
  </si>
  <si>
    <t>시간을 적으세요</t>
    <phoneticPr fontId="4" type="noConversion"/>
  </si>
  <si>
    <t>&lt;&lt;&lt;회색 셀만 변경 가능합니다.숫자만 입력하세요.&gt;&gt;&gt;</t>
    <phoneticPr fontId="4" type="noConversion"/>
  </si>
  <si>
    <t xml:space="preserve">밥은 끼니를 말하는게 아닙니다. 
한끼에 1.5~2공기 드셔도 됩니다. </t>
    <phoneticPr fontId="4" type="noConversion"/>
  </si>
  <si>
    <t>유산소 운동 (약하게)</t>
  </si>
  <si>
    <t>근력 운동 (강도 높게)</t>
  </si>
  <si>
    <t>아래 제품 클릭하면 쇼핑몰로 이동함
&lt;&lt;&lt;클릭시 렉이 걸릴 수 있습니다. 기다리면 쇼핑몰 페이지가 열립니다.&gt;&gt;&gt;</t>
    <phoneticPr fontId="4" type="noConversion"/>
  </si>
  <si>
    <t>탄수화물은 보충제가 아닌 식사를 통해서 섭취해야하는게 일반적!
보충제를 통한 탄수화물 섭취는 벼락치기와 같다.
당연히, 벼락치기가 지식을 쌓는데 좋지 않지만, 당장의 시험을 망치는것보다는 낫기 때문에
보충제를 통한 섭취는 도움이 된다.</t>
    <phoneticPr fontId="4" type="noConversion"/>
  </si>
  <si>
    <t>*귀리 파우더가 인기가 있는 이유는, 
섭취하기 편한 탄수화물 급원중 하나이기 때문이다. 
절대, GI지수가 낮지 않다. 파우더이기 때문에 높다. 
많은 양과 섭취는 당연히 혈당을 많이, 빨리 올린다.</t>
    <phoneticPr fontId="4" type="noConversion"/>
  </si>
  <si>
    <t xml:space="preserve">식사대용으로 하고 싶다면, 인스턴트오트 2~3스쿱, 웨이프로틴 1~2스쿱
물, 우유200~400ml.  한번에 마시는것보다 나눠서 섭취를 추천한다.
당연히, 섭취량은 체급과 얼마나 식사를 대신할것인가에 따라 다르다.  
큰 보틀이 필요하고, 여름철 보틀 청결 관리에 신경써야한다. </t>
    <phoneticPr fontId="4" type="noConversion"/>
  </si>
  <si>
    <t>Two per day
테블릿
(쿠팡)</t>
    <phoneticPr fontId="4" type="noConversion"/>
  </si>
  <si>
    <t>*알파맨 제품 자체는 추천하지는 않습니다. 
비타민, 오메가3류는 쿠팡과 아이허브쪽을 더 추천합니다.</t>
    <phoneticPr fontId="4" type="noConversion"/>
  </si>
  <si>
    <t>Thorne Reserch
Baasic Nutrients V
(고가, 아이허브)</t>
    <phoneticPr fontId="4" type="noConversion"/>
  </si>
  <si>
    <t>Thorne Reserch
Extra Nutrients
(고가,아이허브)</t>
    <phoneticPr fontId="4" type="noConversion"/>
  </si>
  <si>
    <t>이눌린
(쿠팡)</t>
    <phoneticPr fontId="4" type="noConversion"/>
  </si>
  <si>
    <t>복합섬유질
(쿠팡)</t>
    <phoneticPr fontId="4" type="noConversion"/>
  </si>
  <si>
    <t>이눌린
(아이허브)</t>
    <phoneticPr fontId="4" type="noConversion"/>
  </si>
  <si>
    <t>복합섬유질
(아이허브)</t>
    <phoneticPr fontId="4" type="noConversion"/>
  </si>
  <si>
    <t>이눌린
(마이프로틴)</t>
    <phoneticPr fontId="4" type="noConversion"/>
  </si>
  <si>
    <t>초보자 우선순위 설명 영상</t>
    <phoneticPr fontId="4" type="noConversion"/>
  </si>
  <si>
    <t>https://youtu.be/TDw8xLgpbvg</t>
    <phoneticPr fontId="4" type="noConversion"/>
  </si>
  <si>
    <t>*성분명의 녹색은 A급</t>
    <phoneticPr fontId="4" type="noConversion"/>
  </si>
  <si>
    <t>중, 고급자 우선순위 설명 영상1</t>
    <phoneticPr fontId="4" type="noConversion"/>
  </si>
  <si>
    <t>https://youtu.be/mDXAkP_BJV4</t>
    <phoneticPr fontId="4" type="noConversion"/>
  </si>
  <si>
    <t>*성분명의 파랑색은 B급</t>
    <phoneticPr fontId="4" type="noConversion"/>
  </si>
  <si>
    <t>중, 고급자 우선순위 설명 영상2</t>
    <phoneticPr fontId="4" type="noConversion"/>
  </si>
  <si>
    <t>https://youtu.be/0e_Ps8UWYo4</t>
    <phoneticPr fontId="4" type="noConversion"/>
  </si>
  <si>
    <t>*성분명의 분홍색은 번외 성분</t>
    <phoneticPr fontId="4" type="noConversion"/>
  </si>
  <si>
    <r>
      <t xml:space="preserve">칼슘강화우유, </t>
    </r>
    <r>
      <rPr>
        <b/>
        <sz val="11"/>
        <color theme="1"/>
        <rFont val="맑은 고딕"/>
        <family val="3"/>
        <charset val="129"/>
        <scheme val="minor"/>
      </rPr>
      <t>카제인, 밀크프로틴</t>
    </r>
    <r>
      <rPr>
        <sz val="11"/>
        <color theme="1"/>
        <rFont val="맑은 고딕"/>
        <family val="2"/>
        <charset val="129"/>
        <scheme val="minor"/>
      </rPr>
      <t xml:space="preserve"> 안먹으면 먹는걸 추천. 
단, 한번에 많이 섭취시 마그네슘, 아연 흡수를 저해할 수 있음. (Ex-밀크프로틴+ZMA 안됨)
칼슘 침착이 걱정되면 VitK 섭취</t>
    </r>
    <phoneticPr fontId="4" type="noConversion"/>
  </si>
  <si>
    <t>Calcium Citate
(아이허브)</t>
    <phoneticPr fontId="4" type="noConversion"/>
  </si>
  <si>
    <t>Calcium Citrate
(쿠팡)</t>
    <phoneticPr fontId="4" type="noConversion"/>
  </si>
  <si>
    <t>*마이프로틴 칼슘 제품은 별로입니다. 
마프에서 칼슘제품을 사는것보다 밀크프로틴이나 카제인을 사세요.
카제인은 유당이 적어서 유당불내증인 사람이 드셔도 좋습니다.</t>
    <phoneticPr fontId="4" type="noConversion"/>
  </si>
  <si>
    <t>밀크프로틴
(마이프로틴)</t>
    <phoneticPr fontId="4" type="noConversion"/>
  </si>
  <si>
    <t>미셀라 카제인
(마이프로틴)</t>
    <phoneticPr fontId="4" type="noConversion"/>
  </si>
  <si>
    <t>스포츠리서치
오메가3
937mg, TG
(아이허브)</t>
    <phoneticPr fontId="4" type="noConversion"/>
  </si>
  <si>
    <t>스포츠리서치
오메가3
937mg, TG
(쿠팡)</t>
    <phoneticPr fontId="4" type="noConversion"/>
  </si>
  <si>
    <t>ZMA
*좋은 형태의 zinc, Magnesium, B6
(아이허브)</t>
    <phoneticPr fontId="4" type="noConversion"/>
  </si>
  <si>
    <t>ZAM
*좋은 형태의 Zinc Magnesium, B6
(쿠팡)</t>
    <phoneticPr fontId="4" type="noConversion"/>
  </si>
  <si>
    <t>ZMA
(마이프로틴)</t>
    <phoneticPr fontId="4" type="noConversion"/>
  </si>
  <si>
    <t>징크
피콜레이트
(아이허브)</t>
    <phoneticPr fontId="4" type="noConversion"/>
  </si>
  <si>
    <t>스완슨 징크 
피콜리네이트
(쿠팡)</t>
    <phoneticPr fontId="4" type="noConversion"/>
  </si>
  <si>
    <t>아연&amp;마그네슘
*가장 저렴한 형태의 성분
(마이프로틴)</t>
    <phoneticPr fontId="4" type="noConversion"/>
  </si>
  <si>
    <t>마그네슘 킬레이트
알약
(아이허브)</t>
    <phoneticPr fontId="4" type="noConversion"/>
  </si>
  <si>
    <t>마그네슘 킬레이트
가루
(쿠팡)</t>
    <phoneticPr fontId="4" type="noConversion"/>
  </si>
  <si>
    <t>BCAA
(무맛,식물성)
(아이허브)</t>
    <phoneticPr fontId="4" type="noConversion"/>
  </si>
  <si>
    <t>BCAA
(레몬,식물성)
(쿠팡)</t>
    <phoneticPr fontId="4" type="noConversion"/>
  </si>
  <si>
    <t>IBCAA
(맛,동물성)
(마이프로틴)</t>
    <phoneticPr fontId="4" type="noConversion"/>
  </si>
  <si>
    <t>IBCAA+전해질
(맛, 동물성)
(아이허브)</t>
    <phoneticPr fontId="4" type="noConversion"/>
  </si>
  <si>
    <t>BCAA+전해질+면역성분
(맛, 동물성, 비쌈)
(쿠팡)</t>
    <phoneticPr fontId="4" type="noConversion"/>
  </si>
  <si>
    <t>소화능력 약한 사람 설명 영상</t>
    <phoneticPr fontId="4" type="noConversion"/>
  </si>
  <si>
    <t>https://youtu.be/Rvk9oEAP6w4</t>
    <phoneticPr fontId="4" type="noConversion"/>
  </si>
  <si>
    <t>설명영상</t>
    <phoneticPr fontId="4" type="noConversion"/>
  </si>
  <si>
    <t>https://youtu.be/gKAhd2Lw6z4</t>
    <phoneticPr fontId="4" type="noConversion"/>
  </si>
  <si>
    <t>*하루에 300Kcal씩 더 먹었을 경우 나오는 체중변화</t>
    <phoneticPr fontId="4" type="noConversion"/>
  </si>
  <si>
    <t>읽기</t>
  </si>
  <si>
    <t>임팩트웨이프로틴</t>
  </si>
  <si>
    <t>임팩트웨이프로틴</t>
    <phoneticPr fontId="4" type="noConversion"/>
  </si>
  <si>
    <t>근력 운동 (조금 높게)</t>
  </si>
  <si>
    <t>서서 약간 돌아다니는 업무</t>
  </si>
  <si>
    <t>운동 1</t>
  </si>
  <si>
    <t>*체지방이 25% 초과인사람들은 체지방이 25%로 환산되어 섭취량이 계산이 됩니다.</t>
    <phoneticPr fontId="4" type="noConversion"/>
  </si>
  <si>
    <t>*체지방이 25% 초과인사람들은 지방을 제외한 25%로 계산이 됩니다.</t>
    <phoneticPr fontId="4" type="noConversion"/>
  </si>
  <si>
    <t>철분</t>
    <phoneticPr fontId="4" type="noConversion"/>
  </si>
  <si>
    <t>18mg</t>
    <phoneticPr fontId="4" type="noConversion"/>
  </si>
  <si>
    <t xml:space="preserve">상한 섭취량은 45mg이지만, 크게 독성은 없다. 
의사 처방하에 더 높은 철분이 권장되기도 하지만, 
그게 아니라면 더 많이 먹을 필요는 없다.
</t>
    <phoneticPr fontId="4" type="noConversion"/>
  </si>
  <si>
    <t>빈혈, 육류 섭취가 적은사람
다이어트 중인경우</t>
    <phoneticPr fontId="4" type="noConversion"/>
  </si>
  <si>
    <t>Solgar
Gentle Iron25mg
(아이허브)</t>
    <phoneticPr fontId="4" type="noConversion"/>
  </si>
  <si>
    <t>Solgar
Gentle Iron 25mg
(쿠팡)</t>
    <phoneticPr fontId="4" type="noConversion"/>
  </si>
  <si>
    <t>THE 써모-X
(마이프로틴)</t>
    <phoneticPr fontId="4" type="noConversion"/>
  </si>
  <si>
    <t>*운동을 열씸히하고, 근육량을 소중히 할것을 명심하는 분들만 보시길 바랍니다.</t>
    <phoneticPr fontId="4" type="noConversion"/>
  </si>
  <si>
    <t>https://youtu.be/mimsOuUEoOI</t>
    <phoneticPr fontId="4" type="noConversion"/>
  </si>
  <si>
    <t>다이어트 보충제 히든링크</t>
    <phoneticPr fontId="4" type="noConversion"/>
  </si>
  <si>
    <t>여분용</t>
    <phoneticPr fontId="4" type="noConversion"/>
  </si>
  <si>
    <t>주말용</t>
    <phoneticPr fontId="4" type="noConversion"/>
  </si>
  <si>
    <t>ARM5054 추천인코드</t>
    <phoneticPr fontId="4" type="noConversion"/>
  </si>
  <si>
    <r>
      <t>커스텀 성분 (</t>
    </r>
    <r>
      <rPr>
        <b/>
        <sz val="11"/>
        <color theme="1"/>
        <rFont val="맑은 고딕"/>
        <family val="3"/>
        <charset val="129"/>
        <scheme val="minor"/>
      </rPr>
      <t>100g 당</t>
    </r>
    <r>
      <rPr>
        <sz val="11"/>
        <color theme="1"/>
        <rFont val="맑은 고딕"/>
        <family val="2"/>
        <charset val="129"/>
        <scheme val="minor"/>
      </rPr>
      <t xml:space="preserve"> 영양성분 넣으세요.)</t>
    </r>
    <phoneticPr fontId="4" type="noConversion"/>
  </si>
  <si>
    <t>https://coupa.ng/bi1Tb8</t>
  </si>
  <si>
    <t>신타6</t>
    <phoneticPr fontId="4" type="noConversion"/>
  </si>
  <si>
    <t>컴뱃 100%</t>
    <phoneticPr fontId="4" type="noConversion"/>
  </si>
  <si>
    <t>컴뱃 파우더</t>
    <phoneticPr fontId="4" type="noConversion"/>
  </si>
  <si>
    <t>마프웨이프로틴</t>
    <phoneticPr fontId="4" type="noConversion"/>
  </si>
  <si>
    <t>마프 아솔</t>
    <phoneticPr fontId="4" type="noConversion"/>
  </si>
  <si>
    <t>숨쉬기</t>
    <phoneticPr fontId="4" type="noConversion"/>
  </si>
  <si>
    <t>미세먼지</t>
    <phoneticPr fontId="4" type="noConversion"/>
  </si>
  <si>
    <t>집 공기</t>
    <phoneticPr fontId="4" type="noConversion"/>
  </si>
  <si>
    <t>물</t>
    <phoneticPr fontId="4" type="noConversion"/>
  </si>
  <si>
    <t>물만먹어도</t>
    <phoneticPr fontId="4" type="noConversion"/>
  </si>
  <si>
    <t>살쪄?</t>
    <phoneticPr fontId="4" type="noConversion"/>
  </si>
  <si>
    <t>브로콜리</t>
  </si>
  <si>
    <t>토마토</t>
  </si>
  <si>
    <t>현미(밥)</t>
  </si>
  <si>
    <t>기타등등</t>
  </si>
  <si>
    <t>물</t>
  </si>
  <si>
    <t>살쪄?</t>
  </si>
  <si>
    <t>물만먹어도</t>
  </si>
  <si>
    <t>아몬드</t>
  </si>
  <si>
    <t>호두</t>
  </si>
  <si>
    <t>집 공기</t>
  </si>
  <si>
    <t>현미(생것)</t>
  </si>
  <si>
    <t>사과</t>
  </si>
  <si>
    <t>저지방우유</t>
  </si>
  <si>
    <t>목표치 데이터 (선택)</t>
    <phoneticPr fontId="4" type="noConversion"/>
  </si>
  <si>
    <t>초보자용</t>
    <phoneticPr fontId="4" type="noConversion"/>
  </si>
  <si>
    <t>중고급자용 - 주말용</t>
  </si>
  <si>
    <t>중고급자용 - 평일용</t>
    <phoneticPr fontId="4" type="noConversion"/>
  </si>
  <si>
    <t>중고급자용 - 주말용</t>
    <phoneticPr fontId="4" type="noConversion"/>
  </si>
  <si>
    <t>중고급자용 - 여분용</t>
    <phoneticPr fontId="4" type="noConversion"/>
  </si>
  <si>
    <t>목표치 자유선택 (입력)</t>
    <phoneticPr fontId="4" type="noConversion"/>
  </si>
  <si>
    <t>옆 회색셀에 입력</t>
    <phoneticPr fontId="4" type="noConversion"/>
  </si>
  <si>
    <t>다이어트 후 유지어트 도우미</t>
    <phoneticPr fontId="4" type="noConversion"/>
  </si>
  <si>
    <t>다이어트 기간</t>
    <phoneticPr fontId="4" type="noConversion"/>
  </si>
  <si>
    <t xml:space="preserve">처음 시작시 줄인 칼로리 </t>
    <phoneticPr fontId="4" type="noConversion"/>
  </si>
  <si>
    <t>총 줄인 칼로리</t>
    <phoneticPr fontId="4" type="noConversion"/>
  </si>
  <si>
    <t>매주 줄였던 칼로리</t>
    <phoneticPr fontId="4" type="noConversion"/>
  </si>
  <si>
    <t>매주 추가 칼로리</t>
    <phoneticPr fontId="4" type="noConversion"/>
  </si>
  <si>
    <t>유지 시작시 섭취 칼로리</t>
    <phoneticPr fontId="4" type="noConversion"/>
  </si>
  <si>
    <t>천천히 복구</t>
    <phoneticPr fontId="4" type="noConversion"/>
  </si>
  <si>
    <t>일반 복구</t>
    <phoneticPr fontId="4" type="noConversion"/>
  </si>
  <si>
    <t>빠르게 복구</t>
    <phoneticPr fontId="4" type="noConversion"/>
  </si>
  <si>
    <t>다이어트 후 유지기간을 가지는 경우</t>
    <phoneticPr fontId="4" type="noConversion"/>
  </si>
  <si>
    <t>1. 다이어트때 섭취 칼로리 =하루 사용하는 칼로리 - (500~700Kcal) - ((50~100)/7일)</t>
    <phoneticPr fontId="4" type="noConversion"/>
  </si>
  <si>
    <t>수식으로 표현하면 위와 같겠죠?</t>
    <phoneticPr fontId="4" type="noConversion"/>
  </si>
  <si>
    <t>2. 유지기간 때 칼로리 섭취 = 하루 사용 칼로리 - ((50~100)/7일)</t>
    <phoneticPr fontId="4" type="noConversion"/>
  </si>
  <si>
    <t xml:space="preserve">예시 </t>
    <phoneticPr fontId="4" type="noConversion"/>
  </si>
  <si>
    <t>1. 2000칼로리 사용</t>
    <phoneticPr fontId="4" type="noConversion"/>
  </si>
  <si>
    <t>2. 다이어트라서 1500Kcal 섭취 (-500Kcal)</t>
    <phoneticPr fontId="4" type="noConversion"/>
  </si>
  <si>
    <t>3. 매주 50Kcal씩 줄여나감 (1450,1400,1350,1300,1250,1200…)</t>
    <phoneticPr fontId="4" type="noConversion"/>
  </si>
  <si>
    <t xml:space="preserve">4. 1200Kcal단계에서 유지기간 가질려고 함. </t>
    <phoneticPr fontId="4" type="noConversion"/>
  </si>
  <si>
    <t>5. 유지단계에서는 -500Kcal를 복구시키고 매주 50Kcal줄여나갔던거는 단계적으로 복구</t>
    <phoneticPr fontId="4" type="noConversion"/>
  </si>
  <si>
    <t>1700,1800,1900, 2000Kcal 섭취 (복구 단계는 빠르게 칼로리를 높여도 됨.)</t>
    <phoneticPr fontId="4" type="noConversion"/>
  </si>
  <si>
    <t xml:space="preserve">6. 유지단계 들어갔는데, 1200Kcal 먹었을때의 비실비실하고 힘 없으면 안됨. </t>
    <phoneticPr fontId="4" type="noConversion"/>
  </si>
  <si>
    <t>그러면 더 천천히 칼로리 높일 것! 먹은만큼 컨디션 회복하고 힘 내야함. 안그러면 살로갑니다.</t>
    <phoneticPr fontId="4" type="noConversion"/>
  </si>
  <si>
    <t xml:space="preserve">7. 근손실이 있었을 경우에는 천천히 증가시키는게 좋습니다. </t>
    <phoneticPr fontId="4" type="noConversion"/>
  </si>
  <si>
    <t xml:space="preserve">8. 활동량이 많고, 근육량이 많으면 회복을 빠르게 진행시켜도 됩니다. </t>
    <phoneticPr fontId="4" type="noConversion"/>
  </si>
  <si>
    <t>동면중의 치팅데이 도우미</t>
    <phoneticPr fontId="4" type="noConversion"/>
  </si>
  <si>
    <t>치팅데이 도우미 들어가기 전에</t>
    <phoneticPr fontId="4" type="noConversion"/>
  </si>
  <si>
    <t>영상링크</t>
    <phoneticPr fontId="4" type="noConversion"/>
  </si>
  <si>
    <t>1. 고갈된 글리코겐을 회복시켜서 컨디션 회복, 대사량 감소 억제, 심리적 만족감 등이 있다.</t>
    <phoneticPr fontId="4" type="noConversion"/>
  </si>
  <si>
    <t xml:space="preserve">2. 치팅데이는 회복을 시켜주긴 하지만, 다이어트의 기간이 2~3일 무효가 된다고 생각하면 쉽다. </t>
    <phoneticPr fontId="4" type="noConversion"/>
  </si>
  <si>
    <t>3. 치팅데이 이후에는 글리코겐, 수분이 차올라서 일시적으로 체중이 급격히 오를 수 있다.</t>
    <phoneticPr fontId="4" type="noConversion"/>
  </si>
  <si>
    <t>4. 치팅데이는 10~21일당 한번하는게 좋다.</t>
    <phoneticPr fontId="4" type="noConversion"/>
  </si>
  <si>
    <t>치팅데이 종류</t>
    <phoneticPr fontId="4" type="noConversion"/>
  </si>
  <si>
    <t>*가르시니아가 도움을 줄 수 있습니다.</t>
    <phoneticPr fontId="4" type="noConversion"/>
  </si>
  <si>
    <t>1. 글리코겐 회복</t>
    <phoneticPr fontId="4" type="noConversion"/>
  </si>
  <si>
    <t>초보자용, 근육이 적은사람</t>
    <phoneticPr fontId="4" type="noConversion"/>
  </si>
  <si>
    <t>https://coupa.ng/bi1Smm</t>
    <phoneticPr fontId="4" type="noConversion"/>
  </si>
  <si>
    <t>2. 글리코겐 로딩
(근육 많아야 효과, 초보자 X)</t>
    <phoneticPr fontId="4" type="noConversion"/>
  </si>
  <si>
    <t>2-1. 하루 로딩</t>
    <phoneticPr fontId="4" type="noConversion"/>
  </si>
  <si>
    <t>https://iherb.co/C8wtKnam</t>
    <phoneticPr fontId="4" type="noConversion"/>
  </si>
  <si>
    <t>2-2. 이틀 로딩</t>
    <phoneticPr fontId="4" type="noConversion"/>
  </si>
  <si>
    <t>http://bit.ly/2kZFR1A</t>
    <phoneticPr fontId="4" type="noConversion"/>
  </si>
  <si>
    <t>2-3. 삼일 로딩</t>
    <phoneticPr fontId="4" type="noConversion"/>
  </si>
  <si>
    <t>*가르시니아는 위, 장이 안좋을 경우 속쓰림을 유도할 수 있습니다.</t>
    <phoneticPr fontId="4" type="noConversion"/>
  </si>
  <si>
    <t>*헛구역질, 속쓰림, 더부룩함 등 호소한다면 섭취하지 마세요. 
혹은 식사 바로 전에 드세요.</t>
    <phoneticPr fontId="4" type="noConversion"/>
  </si>
  <si>
    <t>체중</t>
    <phoneticPr fontId="4" type="noConversion"/>
  </si>
  <si>
    <t>*inbody 외의 데이터는 쓰지말것, 
골격근량 적을것, 근육량과 다름.
(인바디 어플에서는 근육량이라고 나옴)</t>
    <phoneticPr fontId="4" type="noConversion"/>
  </si>
  <si>
    <t>*식전에 섭취하세요. 1~2알</t>
    <phoneticPr fontId="4" type="noConversion"/>
  </si>
  <si>
    <t>체지방량</t>
    <phoneticPr fontId="4" type="noConversion"/>
  </si>
  <si>
    <t xml:space="preserve">*절대 무리해서 섭취하지 마세요. </t>
    <phoneticPr fontId="4" type="noConversion"/>
  </si>
  <si>
    <t xml:space="preserve">골격근량 </t>
    <phoneticPr fontId="4" type="noConversion"/>
  </si>
  <si>
    <t>하루 칼로리 소비량
(치팅데이날은 운동, 활동은 쉴 것)</t>
    <phoneticPr fontId="4" type="noConversion"/>
  </si>
  <si>
    <t>*다이어트 기간이 30일 넘게 지속되었다면, 주당 50~100Kcal를 더 줄일것</t>
    <phoneticPr fontId="4" type="noConversion"/>
  </si>
  <si>
    <t>주당 줄인 칼로리 선택</t>
    <phoneticPr fontId="4" type="noConversion"/>
  </si>
  <si>
    <t>*치팅데이 활동량을 되도록 정확하게 계산할것, '회복'의 경우 남는건 다 지방으로 감</t>
    <phoneticPr fontId="4" type="noConversion"/>
  </si>
  <si>
    <t>탄수화물 비율</t>
    <phoneticPr fontId="4" type="noConversion"/>
  </si>
  <si>
    <t>섭취칼로리</t>
    <phoneticPr fontId="4" type="noConversion"/>
  </si>
  <si>
    <t>회복</t>
    <phoneticPr fontId="4" type="noConversion"/>
  </si>
  <si>
    <t>로딩</t>
    <phoneticPr fontId="4" type="noConversion"/>
  </si>
  <si>
    <t>로딩 2day</t>
    <phoneticPr fontId="4" type="noConversion"/>
  </si>
  <si>
    <t xml:space="preserve">*60% 이상으로 높이기 가능. </t>
    <phoneticPr fontId="4" type="noConversion"/>
  </si>
  <si>
    <t>로딩 3day</t>
    <phoneticPr fontId="4" type="noConversion"/>
  </si>
  <si>
    <t>*지방이 마이너스 칼로리 되지 않도록 하세요.</t>
    <phoneticPr fontId="4" type="noConversion"/>
  </si>
  <si>
    <r>
      <t xml:space="preserve">대회 </t>
    </r>
    <r>
      <rPr>
        <b/>
        <sz val="11"/>
        <color theme="1"/>
        <rFont val="맑은 고딕"/>
        <family val="3"/>
        <charset val="129"/>
        <scheme val="minor"/>
      </rPr>
      <t>계측후</t>
    </r>
    <r>
      <rPr>
        <sz val="11"/>
        <color theme="1"/>
        <rFont val="맑은 고딕"/>
        <family val="2"/>
        <charset val="129"/>
        <scheme val="minor"/>
      </rPr>
      <t xml:space="preserve"> 로딩용 배합 (25분마다 섭취)</t>
    </r>
    <phoneticPr fontId="4" type="noConversion"/>
  </si>
  <si>
    <t>*펌핑 2시간 전에는 섭취 종료</t>
    <phoneticPr fontId="4" type="noConversion"/>
  </si>
  <si>
    <t>Highly branched cyclic dextrin</t>
    <phoneticPr fontId="4" type="noConversion"/>
  </si>
  <si>
    <t>*사람마다 민감도가 다르니 미리 연습 필요</t>
    <phoneticPr fontId="4" type="noConversion"/>
  </si>
  <si>
    <t>게토레이 파우더</t>
    <phoneticPr fontId="4" type="noConversion"/>
  </si>
  <si>
    <t>*25분 미만으로 섭취하지 말것, 25분 이상 텀을 두어도 됨</t>
    <phoneticPr fontId="4" type="noConversion"/>
  </si>
  <si>
    <t>스테비아</t>
    <phoneticPr fontId="4" type="noConversion"/>
  </si>
  <si>
    <t>*본인에게 맞는 섭취량과 섭취 시간 찾을것</t>
    <phoneticPr fontId="4" type="noConversion"/>
  </si>
  <si>
    <t>전해질 파우더</t>
    <phoneticPr fontId="4" type="noConversion"/>
  </si>
  <si>
    <t>*미리 섞어놔서 준비하면 편함. (잘 섞어서 사용할것)</t>
    <phoneticPr fontId="4" type="noConversion"/>
  </si>
  <si>
    <t>소금(굵은소금 X)</t>
    <phoneticPr fontId="4" type="noConversion"/>
  </si>
  <si>
    <t>*미리 배합 (58.9g)당 물 500ml</t>
    <phoneticPr fontId="4" type="noConversion"/>
  </si>
  <si>
    <t>*필요 제품들이 구하기가 어려우니 미리 준비해두세요.</t>
    <phoneticPr fontId="4" type="noConversion"/>
  </si>
  <si>
    <t>*클릭하면 제품 사이트로 이동합니다.</t>
    <phoneticPr fontId="4" type="noConversion"/>
  </si>
  <si>
    <t>*탄수화물은 섬유질을 제외한 양입니다.</t>
    <phoneticPr fontId="4" type="noConversion"/>
  </si>
  <si>
    <t>*초코맛 기준으로 작성되었습니다.</t>
    <phoneticPr fontId="4" type="noConversion"/>
  </si>
  <si>
    <t>종류</t>
    <phoneticPr fontId="4" type="noConversion"/>
  </si>
  <si>
    <t>양</t>
    <phoneticPr fontId="4" type="noConversion"/>
  </si>
  <si>
    <t xml:space="preserve">단백질 보충제 </t>
    <phoneticPr fontId="4" type="noConversion"/>
  </si>
  <si>
    <t>마이프로틴 임팩트웨이 프로틴</t>
  </si>
  <si>
    <t>옵티멈 골드 스텐다드</t>
    <phoneticPr fontId="4" type="noConversion"/>
  </si>
  <si>
    <t>귀리 파우더</t>
  </si>
  <si>
    <t>옵티멈 하이드로 웨이</t>
    <phoneticPr fontId="4" type="noConversion"/>
  </si>
  <si>
    <t>우유, 두유 등</t>
    <phoneticPr fontId="4" type="noConversion"/>
  </si>
  <si>
    <t>우유</t>
  </si>
  <si>
    <t>컴뱃 100%웨이</t>
    <phoneticPr fontId="4" type="noConversion"/>
  </si>
  <si>
    <t>총합</t>
    <phoneticPr fontId="4" type="noConversion"/>
  </si>
  <si>
    <t>마이프로틴 임팩트웨이 프로틴</t>
    <phoneticPr fontId="4" type="noConversion"/>
  </si>
  <si>
    <t>마이프로틴 아이솔레이트</t>
    <phoneticPr fontId="4" type="noConversion"/>
  </si>
  <si>
    <t>나우 아이솔레이트</t>
    <phoneticPr fontId="4" type="noConversion"/>
  </si>
  <si>
    <t>WPC 무맛</t>
    <phoneticPr fontId="4" type="noConversion"/>
  </si>
  <si>
    <t>내 맘대로 먹을꺼야~</t>
    <phoneticPr fontId="4" type="noConversion"/>
  </si>
  <si>
    <t>WPI 무맛</t>
    <phoneticPr fontId="4" type="noConversion"/>
  </si>
  <si>
    <t>신타 6</t>
    <phoneticPr fontId="4" type="noConversion"/>
  </si>
  <si>
    <t>신타6 아이솔레이트</t>
    <phoneticPr fontId="4" type="noConversion"/>
  </si>
  <si>
    <t>옵티멈 하이드로 웨이</t>
  </si>
  <si>
    <t>미숫가루 (현미,보리 베이스)</t>
    <phoneticPr fontId="4" type="noConversion"/>
  </si>
  <si>
    <t>귀리 파우더</t>
    <phoneticPr fontId="4" type="noConversion"/>
  </si>
  <si>
    <t>우유, 듀유 등</t>
    <phoneticPr fontId="4" type="noConversion"/>
  </si>
  <si>
    <t>단백질 보충제2</t>
    <phoneticPr fontId="4" type="noConversion"/>
  </si>
  <si>
    <t>WPI 무맛</t>
  </si>
  <si>
    <t>기타</t>
    <phoneticPr fontId="4" type="noConversion"/>
  </si>
  <si>
    <t>WPC 무맛</t>
  </si>
  <si>
    <t>우유</t>
    <phoneticPr fontId="4" type="noConversion"/>
  </si>
  <si>
    <t>기타(입력가능)</t>
    <phoneticPr fontId="4" type="noConversion"/>
  </si>
  <si>
    <t>2% 저지방우유</t>
    <phoneticPr fontId="4" type="noConversion"/>
  </si>
  <si>
    <t>1% 저지방우유</t>
    <phoneticPr fontId="4" type="noConversion"/>
  </si>
  <si>
    <t>무지방 우유</t>
    <phoneticPr fontId="4" type="noConversion"/>
  </si>
  <si>
    <t>두유</t>
    <phoneticPr fontId="4" type="noConversion"/>
  </si>
  <si>
    <t>아몬드 브리즈(오리지널)</t>
    <phoneticPr fontId="4" type="noConversion"/>
  </si>
  <si>
    <t>아몬드 브리즈(언스위트)</t>
    <phoneticPr fontId="4" type="noConversion"/>
  </si>
  <si>
    <t>미숫가루 (현미,보리 베이스)</t>
  </si>
  <si>
    <t>닭가슴살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</si>
</sst>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0.0%"/>
    <numFmt numFmtId="177" formatCode="0&quot;Kcal&quot;"/>
    <numFmt numFmtId="178" formatCode="0&quot;g&quot;"/>
    <numFmt numFmtId="179" formatCode="General&quot;g&quot;"/>
    <numFmt numFmtId="180" formatCode="General&quot;Kcal&quot;"/>
    <numFmt numFmtId="181" formatCode="0.0&quot;Kcal&quot;"/>
    <numFmt numFmtId="182" formatCode="0.0"/>
    <numFmt numFmtId="183" formatCode="_-[$₩-412]* #,##0_-;\-[$₩-412]* #,##0_-;_-[$₩-412]* &quot;-&quot;??_-;_-@_-"/>
    <numFmt numFmtId="184" formatCode="0.0&quot;g&quot;"/>
    <numFmt numFmtId="185" formatCode="0.00_ "/>
    <numFmt numFmtId="186" formatCode="0.0000000000000_ "/>
    <numFmt numFmtId="187" formatCode="0.0&quot;kg&quot;"/>
    <numFmt numFmtId="188" formatCode="#,##0&quot;Kcal&quot;"/>
    <numFmt numFmtId="189" formatCode="General&quot;일&quot;"/>
    <numFmt numFmtId="190" formatCode="0.000_ "/>
    <numFmt numFmtId="191" formatCode="0.000"/>
    <numFmt numFmtId="192" formatCode="0.0_ "/>
    <numFmt numFmtId="193" formatCode="0.0&quot;일&quot;"/>
    <numFmt numFmtId="194" formatCode="mm&quot;월&quot;\ dd&quot;일&quot;"/>
    <numFmt numFmtId="195" formatCode="_-&quot;₩&quot;* #,##0.00_-;\-&quot;₩&quot;* #,##0.00_-;_-&quot;₩&quot;* &quot;-&quot;_-;_-@_-"/>
    <numFmt numFmtId="196" formatCode="0&quot;Kcal 추가해서 섭취&quot;"/>
    <numFmt numFmtId="197" formatCode="0.0&quot;주에 걸쳐서 증가&quot;"/>
    <numFmt numFmtId="198" formatCode="0&quot;일&quot;"/>
    <numFmt numFmtId="199" formatCode="General&quot;회분&quot;"/>
  </numFmts>
  <fonts count="3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배달의민족 도현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u/>
      <sz val="11"/>
      <color theme="0"/>
      <name val="맑은 고딕"/>
      <family val="3"/>
      <charset val="129"/>
      <scheme val="minor"/>
    </font>
    <font>
      <sz val="11"/>
      <color theme="0"/>
      <name val="배달의민족 도현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u/>
      <sz val="11"/>
      <color theme="1"/>
      <name val="맑은 고딕"/>
      <family val="2"/>
      <charset val="129"/>
      <scheme val="minor"/>
    </font>
    <font>
      <u/>
      <sz val="11"/>
      <color theme="1"/>
      <name val="맑은 고딕"/>
      <family val="3"/>
      <charset val="129"/>
      <scheme val="minor"/>
    </font>
    <font>
      <b/>
      <u/>
      <sz val="11"/>
      <color theme="10"/>
      <name val="맑은 고딕"/>
      <family val="3"/>
      <charset val="129"/>
      <scheme val="minor"/>
    </font>
    <font>
      <sz val="11"/>
      <color rgb="FFF0F0F0"/>
      <name val="맑은 고딕"/>
      <family val="2"/>
      <charset val="129"/>
      <scheme val="minor"/>
    </font>
    <font>
      <sz val="11"/>
      <color rgb="FFF0F0F0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4"/>
      <color theme="1"/>
      <name val="배달의민족 한나체 Pro"/>
      <family val="3"/>
      <charset val="129"/>
    </font>
    <font>
      <b/>
      <sz val="14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sz val="24"/>
      <color theme="1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u/>
      <sz val="11"/>
      <color theme="1" tint="4.9989318521683403E-2"/>
      <name val="맑은 고딕"/>
      <family val="2"/>
      <charset val="129"/>
      <scheme val="minor"/>
    </font>
    <font>
      <u/>
      <sz val="11"/>
      <color theme="1" tint="4.9989318521683403E-2"/>
      <name val="맑은 고딕"/>
      <family val="3"/>
      <charset val="129"/>
      <scheme val="minor"/>
    </font>
    <font>
      <sz val="11"/>
      <color theme="1" tint="4.9989318521683403E-2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sz val="22"/>
      <color theme="1"/>
      <name val="맑은 고딕"/>
      <family val="2"/>
      <charset val="129"/>
      <scheme val="minor"/>
    </font>
    <font>
      <sz val="18"/>
      <color theme="1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20"/>
      <color theme="1"/>
      <name val="맑은 고딕"/>
      <family val="2"/>
      <charset val="129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E4D2F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2" fontId="1" fillId="0" borderId="0" applyFont="0" applyFill="0" applyBorder="0" applyAlignment="0" applyProtection="0">
      <alignment vertical="center"/>
    </xf>
  </cellStyleXfs>
  <cellXfs count="98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9" fontId="0" fillId="3" borderId="1" xfId="2" applyFont="1" applyFill="1" applyBorder="1" applyAlignment="1">
      <alignment horizontal="center" vertical="center"/>
    </xf>
    <xf numFmtId="9" fontId="0" fillId="3" borderId="3" xfId="2" applyFont="1" applyFill="1" applyBorder="1" applyAlignment="1">
      <alignment horizontal="center" vertical="center"/>
    </xf>
    <xf numFmtId="0" fontId="0" fillId="5" borderId="6" xfId="0" applyFill="1" applyBorder="1">
      <alignment vertical="center"/>
    </xf>
    <xf numFmtId="0" fontId="0" fillId="9" borderId="12" xfId="0" applyFill="1" applyBorder="1">
      <alignment vertical="center"/>
    </xf>
    <xf numFmtId="177" fontId="0" fillId="9" borderId="13" xfId="0" applyNumberFormat="1" applyFill="1" applyBorder="1" applyAlignment="1">
      <alignment horizontal="center" vertical="center"/>
    </xf>
    <xf numFmtId="178" fontId="0" fillId="9" borderId="14" xfId="0" applyNumberFormat="1" applyFill="1" applyBorder="1" applyAlignment="1">
      <alignment horizontal="center" vertical="center"/>
    </xf>
    <xf numFmtId="0" fontId="0" fillId="2" borderId="6" xfId="0" applyFill="1" applyBorder="1">
      <alignment vertical="center"/>
    </xf>
    <xf numFmtId="0" fontId="0" fillId="11" borderId="12" xfId="0" applyFill="1" applyBorder="1">
      <alignment vertical="center"/>
    </xf>
    <xf numFmtId="180" fontId="0" fillId="11" borderId="13" xfId="0" applyNumberFormat="1" applyFill="1" applyBorder="1" applyAlignment="1">
      <alignment horizontal="center" vertical="center"/>
    </xf>
    <xf numFmtId="179" fontId="0" fillId="11" borderId="14" xfId="2" applyNumberFormat="1" applyFont="1" applyFill="1" applyBorder="1" applyAlignment="1">
      <alignment horizontal="center" vertical="center"/>
    </xf>
    <xf numFmtId="0" fontId="0" fillId="12" borderId="6" xfId="0" applyFill="1" applyBorder="1">
      <alignment vertical="center"/>
    </xf>
    <xf numFmtId="0" fontId="0" fillId="11" borderId="9" xfId="0" applyFill="1" applyBorder="1">
      <alignment vertical="center"/>
    </xf>
    <xf numFmtId="0" fontId="0" fillId="11" borderId="10" xfId="0" applyFill="1" applyBorder="1">
      <alignment vertical="center"/>
    </xf>
    <xf numFmtId="0" fontId="0" fillId="11" borderId="10" xfId="0" applyFill="1" applyBorder="1" applyAlignment="1">
      <alignment vertical="center" wrapText="1"/>
    </xf>
    <xf numFmtId="0" fontId="0" fillId="11" borderId="11" xfId="0" applyFill="1" applyBorder="1">
      <alignment vertical="center"/>
    </xf>
    <xf numFmtId="0" fontId="0" fillId="13" borderId="12" xfId="0" applyFill="1" applyBorder="1">
      <alignment vertical="center"/>
    </xf>
    <xf numFmtId="181" fontId="0" fillId="13" borderId="13" xfId="0" applyNumberFormat="1" applyFill="1" applyBorder="1" applyAlignment="1">
      <alignment horizontal="center" vertical="center"/>
    </xf>
    <xf numFmtId="178" fontId="0" fillId="13" borderId="14" xfId="2" applyNumberFormat="1" applyFont="1" applyFill="1" applyBorder="1" applyAlignment="1">
      <alignment horizontal="center" vertical="center"/>
    </xf>
    <xf numFmtId="0" fontId="0" fillId="11" borderId="13" xfId="0" applyFill="1" applyBorder="1">
      <alignment vertical="center"/>
    </xf>
    <xf numFmtId="0" fontId="0" fillId="11" borderId="13" xfId="0" applyFill="1" applyBorder="1" applyAlignment="1">
      <alignment vertical="center" wrapText="1"/>
    </xf>
    <xf numFmtId="0" fontId="0" fillId="11" borderId="14" xfId="0" applyFill="1" applyBorder="1">
      <alignment vertical="center"/>
    </xf>
    <xf numFmtId="0" fontId="0" fillId="8" borderId="23" xfId="0" applyFill="1" applyBorder="1" applyAlignment="1">
      <alignment horizontal="center" vertical="center"/>
    </xf>
    <xf numFmtId="0" fontId="0" fillId="10" borderId="24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10" borderId="21" xfId="0" applyFill="1" applyBorder="1" applyAlignment="1">
      <alignment horizontal="center" vertical="center"/>
    </xf>
    <xf numFmtId="0" fontId="0" fillId="10" borderId="22" xfId="0" applyFill="1" applyBorder="1" applyAlignment="1">
      <alignment horizontal="center" vertical="center"/>
    </xf>
    <xf numFmtId="0" fontId="0" fillId="10" borderId="23" xfId="0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10" borderId="26" xfId="0" applyFill="1" applyBorder="1" applyAlignment="1">
      <alignment horizontal="center" vertical="center"/>
    </xf>
    <xf numFmtId="182" fontId="0" fillId="0" borderId="5" xfId="0" applyNumberForma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11" borderId="22" xfId="0" applyFill="1" applyBorder="1" applyAlignment="1">
      <alignment horizontal="center" vertical="center" wrapText="1"/>
    </xf>
    <xf numFmtId="182" fontId="0" fillId="0" borderId="25" xfId="0" applyNumberFormat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10" fillId="16" borderId="24" xfId="0" applyFont="1" applyFill="1" applyBorder="1" applyAlignment="1" applyProtection="1">
      <alignment horizontal="center" vertical="center"/>
      <protection locked="0"/>
    </xf>
    <xf numFmtId="0" fontId="10" fillId="16" borderId="27" xfId="0" applyFont="1" applyFill="1" applyBorder="1" applyAlignment="1" applyProtection="1">
      <alignment horizontal="center" vertical="center"/>
      <protection locked="0"/>
    </xf>
    <xf numFmtId="0" fontId="10" fillId="16" borderId="28" xfId="0" applyFont="1" applyFill="1" applyBorder="1" applyAlignment="1" applyProtection="1">
      <alignment horizontal="center" vertical="center" wrapText="1"/>
      <protection locked="0"/>
    </xf>
    <xf numFmtId="0" fontId="0" fillId="11" borderId="0" xfId="0" applyFill="1" applyAlignment="1">
      <alignment horizontal="center" vertical="center"/>
    </xf>
    <xf numFmtId="0" fontId="0" fillId="11" borderId="0" xfId="0" applyFill="1">
      <alignment vertical="center"/>
    </xf>
    <xf numFmtId="0" fontId="0" fillId="10" borderId="0" xfId="0" applyFill="1" applyAlignment="1">
      <alignment horizontal="center" vertical="center"/>
    </xf>
    <xf numFmtId="0" fontId="11" fillId="0" borderId="0" xfId="0" applyFont="1">
      <alignment vertical="center"/>
    </xf>
    <xf numFmtId="0" fontId="0" fillId="0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0" xfId="0" applyFill="1" applyBorder="1">
      <alignment vertical="center"/>
    </xf>
    <xf numFmtId="0" fontId="0" fillId="11" borderId="4" xfId="0" applyFill="1" applyBorder="1">
      <alignment vertical="center"/>
    </xf>
    <xf numFmtId="0" fontId="0" fillId="11" borderId="17" xfId="0" applyFill="1" applyBorder="1">
      <alignment vertical="center"/>
    </xf>
    <xf numFmtId="0" fontId="0" fillId="11" borderId="39" xfId="0" applyFill="1" applyBorder="1">
      <alignment vertical="center"/>
    </xf>
    <xf numFmtId="0" fontId="0" fillId="11" borderId="40" xfId="0" applyFill="1" applyBorder="1">
      <alignment vertical="center"/>
    </xf>
    <xf numFmtId="0" fontId="0" fillId="14" borderId="15" xfId="0" applyFill="1" applyBorder="1">
      <alignment vertical="center"/>
    </xf>
    <xf numFmtId="0" fontId="0" fillId="14" borderId="39" xfId="0" applyFill="1" applyBorder="1">
      <alignment vertical="center"/>
    </xf>
    <xf numFmtId="0" fontId="0" fillId="14" borderId="40" xfId="0" applyFill="1" applyBorder="1">
      <alignment vertical="center"/>
    </xf>
    <xf numFmtId="0" fontId="0" fillId="13" borderId="15" xfId="0" applyFill="1" applyBorder="1">
      <alignment vertical="center"/>
    </xf>
    <xf numFmtId="0" fontId="0" fillId="13" borderId="39" xfId="0" applyFill="1" applyBorder="1">
      <alignment vertical="center"/>
    </xf>
    <xf numFmtId="0" fontId="0" fillId="13" borderId="40" xfId="0" applyFill="1" applyBorder="1">
      <alignment vertical="center"/>
    </xf>
    <xf numFmtId="0" fontId="0" fillId="9" borderId="39" xfId="0" applyFill="1" applyBorder="1">
      <alignment vertical="center"/>
    </xf>
    <xf numFmtId="0" fontId="0" fillId="9" borderId="40" xfId="0" applyFill="1" applyBorder="1">
      <alignment vertical="center"/>
    </xf>
    <xf numFmtId="0" fontId="0" fillId="11" borderId="0" xfId="0" applyFill="1" applyBorder="1" applyAlignment="1">
      <alignment horizontal="center" vertical="center"/>
    </xf>
    <xf numFmtId="182" fontId="0" fillId="11" borderId="0" xfId="0" applyNumberFormat="1" applyFill="1" applyAlignment="1">
      <alignment horizontal="center" vertical="center"/>
    </xf>
    <xf numFmtId="1" fontId="0" fillId="10" borderId="0" xfId="0" applyNumberFormat="1" applyFill="1" applyAlignment="1">
      <alignment horizontal="center" vertical="center"/>
    </xf>
    <xf numFmtId="9" fontId="0" fillId="2" borderId="0" xfId="2" applyFont="1" applyFill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81" fontId="0" fillId="11" borderId="0" xfId="0" applyNumberFormat="1" applyFill="1" applyBorder="1" applyAlignment="1">
      <alignment horizontal="center" vertical="center"/>
    </xf>
    <xf numFmtId="181" fontId="0" fillId="11" borderId="13" xfId="0" applyNumberFormat="1" applyFill="1" applyBorder="1" applyAlignment="1">
      <alignment horizontal="center" vertical="center"/>
    </xf>
    <xf numFmtId="181" fontId="0" fillId="14" borderId="10" xfId="0" applyNumberFormat="1" applyFill="1" applyBorder="1" applyAlignment="1">
      <alignment horizontal="center" vertical="center"/>
    </xf>
    <xf numFmtId="181" fontId="0" fillId="14" borderId="0" xfId="0" applyNumberFormat="1" applyFill="1" applyBorder="1" applyAlignment="1">
      <alignment horizontal="center" vertical="center"/>
    </xf>
    <xf numFmtId="181" fontId="0" fillId="14" borderId="13" xfId="0" applyNumberFormat="1" applyFill="1" applyBorder="1" applyAlignment="1">
      <alignment horizontal="center" vertical="center"/>
    </xf>
    <xf numFmtId="181" fontId="0" fillId="13" borderId="10" xfId="0" applyNumberFormat="1" applyFill="1" applyBorder="1" applyAlignment="1">
      <alignment horizontal="center" vertical="center"/>
    </xf>
    <xf numFmtId="181" fontId="0" fillId="13" borderId="0" xfId="0" applyNumberFormat="1" applyFill="1" applyBorder="1" applyAlignment="1">
      <alignment horizontal="center" vertical="center"/>
    </xf>
    <xf numFmtId="181" fontId="0" fillId="9" borderId="0" xfId="0" applyNumberFormat="1" applyFill="1" applyBorder="1" applyAlignment="1">
      <alignment horizontal="center" vertical="center"/>
    </xf>
    <xf numFmtId="181" fontId="0" fillId="9" borderId="13" xfId="0" applyNumberFormat="1" applyFill="1" applyBorder="1" applyAlignment="1">
      <alignment horizontal="center" vertical="center"/>
    </xf>
    <xf numFmtId="0" fontId="0" fillId="5" borderId="21" xfId="0" applyFill="1" applyBorder="1">
      <alignment vertical="center"/>
    </xf>
    <xf numFmtId="0" fontId="0" fillId="5" borderId="41" xfId="0" applyFill="1" applyBorder="1">
      <alignment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184" fontId="0" fillId="11" borderId="0" xfId="0" applyNumberFormat="1" applyFill="1" applyBorder="1" applyAlignment="1">
      <alignment horizontal="center" vertical="center"/>
    </xf>
    <xf numFmtId="184" fontId="0" fillId="11" borderId="17" xfId="0" applyNumberFormat="1" applyFill="1" applyBorder="1" applyAlignment="1">
      <alignment horizontal="center" vertical="center"/>
    </xf>
    <xf numFmtId="184" fontId="0" fillId="11" borderId="13" xfId="0" applyNumberFormat="1" applyFill="1" applyBorder="1" applyAlignment="1">
      <alignment horizontal="center" vertical="center"/>
    </xf>
    <xf numFmtId="184" fontId="0" fillId="11" borderId="14" xfId="0" applyNumberFormat="1" applyFill="1" applyBorder="1" applyAlignment="1">
      <alignment horizontal="center" vertical="center"/>
    </xf>
    <xf numFmtId="184" fontId="0" fillId="14" borderId="10" xfId="0" applyNumberFormat="1" applyFill="1" applyBorder="1" applyAlignment="1">
      <alignment horizontal="center" vertical="center"/>
    </xf>
    <xf numFmtId="184" fontId="0" fillId="14" borderId="11" xfId="0" applyNumberFormat="1" applyFill="1" applyBorder="1" applyAlignment="1">
      <alignment horizontal="center" vertical="center"/>
    </xf>
    <xf numFmtId="184" fontId="0" fillId="14" borderId="0" xfId="0" applyNumberFormat="1" applyFill="1" applyBorder="1" applyAlignment="1">
      <alignment horizontal="center" vertical="center"/>
    </xf>
    <xf numFmtId="184" fontId="0" fillId="14" borderId="17" xfId="0" applyNumberFormat="1" applyFill="1" applyBorder="1" applyAlignment="1">
      <alignment horizontal="center" vertical="center"/>
    </xf>
    <xf numFmtId="184" fontId="0" fillId="14" borderId="13" xfId="0" applyNumberFormat="1" applyFill="1" applyBorder="1" applyAlignment="1">
      <alignment horizontal="center" vertical="center"/>
    </xf>
    <xf numFmtId="184" fontId="0" fillId="14" borderId="14" xfId="0" applyNumberFormat="1" applyFill="1" applyBorder="1" applyAlignment="1">
      <alignment horizontal="center" vertical="center"/>
    </xf>
    <xf numFmtId="184" fontId="0" fillId="13" borderId="10" xfId="0" applyNumberFormat="1" applyFill="1" applyBorder="1" applyAlignment="1">
      <alignment horizontal="center" vertical="center"/>
    </xf>
    <xf numFmtId="184" fontId="0" fillId="13" borderId="11" xfId="0" applyNumberFormat="1" applyFill="1" applyBorder="1" applyAlignment="1">
      <alignment horizontal="center" vertical="center"/>
    </xf>
    <xf numFmtId="184" fontId="0" fillId="13" borderId="0" xfId="0" applyNumberFormat="1" applyFill="1" applyBorder="1" applyAlignment="1">
      <alignment horizontal="center" vertical="center"/>
    </xf>
    <xf numFmtId="184" fontId="0" fillId="13" borderId="17" xfId="0" applyNumberFormat="1" applyFill="1" applyBorder="1" applyAlignment="1">
      <alignment horizontal="center" vertical="center"/>
    </xf>
    <xf numFmtId="184" fontId="0" fillId="13" borderId="13" xfId="0" applyNumberFormat="1" applyFill="1" applyBorder="1" applyAlignment="1">
      <alignment horizontal="center" vertical="center"/>
    </xf>
    <xf numFmtId="184" fontId="0" fillId="13" borderId="14" xfId="0" applyNumberFormat="1" applyFill="1" applyBorder="1" applyAlignment="1">
      <alignment horizontal="center" vertical="center"/>
    </xf>
    <xf numFmtId="184" fontId="0" fillId="9" borderId="0" xfId="0" applyNumberFormat="1" applyFill="1" applyBorder="1" applyAlignment="1">
      <alignment horizontal="center" vertical="center"/>
    </xf>
    <xf numFmtId="184" fontId="0" fillId="9" borderId="17" xfId="0" applyNumberFormat="1" applyFill="1" applyBorder="1" applyAlignment="1">
      <alignment horizontal="center" vertical="center"/>
    </xf>
    <xf numFmtId="184" fontId="0" fillId="9" borderId="13" xfId="0" applyNumberFormat="1" applyFill="1" applyBorder="1" applyAlignment="1">
      <alignment horizontal="center" vertical="center"/>
    </xf>
    <xf numFmtId="184" fontId="0" fillId="9" borderId="14" xfId="0" applyNumberFormat="1" applyFill="1" applyBorder="1" applyAlignment="1">
      <alignment horizontal="center" vertical="center"/>
    </xf>
    <xf numFmtId="0" fontId="0" fillId="9" borderId="15" xfId="0" applyFill="1" applyBorder="1">
      <alignment vertical="center"/>
    </xf>
    <xf numFmtId="181" fontId="0" fillId="9" borderId="10" xfId="0" applyNumberFormat="1" applyFill="1" applyBorder="1" applyAlignment="1">
      <alignment horizontal="center" vertical="center"/>
    </xf>
    <xf numFmtId="184" fontId="0" fillId="9" borderId="10" xfId="0" applyNumberFormat="1" applyFill="1" applyBorder="1" applyAlignment="1">
      <alignment horizontal="center" vertical="center"/>
    </xf>
    <xf numFmtId="184" fontId="0" fillId="9" borderId="11" xfId="0" applyNumberForma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9" fontId="0" fillId="0" borderId="0" xfId="2" applyFont="1" applyFill="1" applyBorder="1">
      <alignment vertical="center"/>
    </xf>
    <xf numFmtId="182" fontId="0" fillId="0" borderId="0" xfId="0" applyNumberFormat="1" applyFill="1" applyBorder="1">
      <alignment vertical="center"/>
    </xf>
    <xf numFmtId="0" fontId="0" fillId="2" borderId="34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10" borderId="30" xfId="0" applyFill="1" applyBorder="1" applyAlignment="1">
      <alignment horizontal="center" vertical="center"/>
    </xf>
    <xf numFmtId="0" fontId="0" fillId="10" borderId="31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4" xfId="0" applyFill="1" applyBorder="1">
      <alignment vertical="center"/>
    </xf>
    <xf numFmtId="0" fontId="0" fillId="6" borderId="4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 wrapText="1"/>
    </xf>
    <xf numFmtId="0" fontId="0" fillId="14" borderId="4" xfId="0" applyFill="1" applyBorder="1" applyAlignment="1">
      <alignment horizontal="center" vertical="center" wrapText="1"/>
    </xf>
    <xf numFmtId="0" fontId="0" fillId="14" borderId="12" xfId="0" applyFill="1" applyBorder="1" applyAlignment="1">
      <alignment horizontal="center" vertical="center"/>
    </xf>
    <xf numFmtId="9" fontId="0" fillId="11" borderId="17" xfId="2" applyFont="1" applyFill="1" applyBorder="1" applyAlignment="1">
      <alignment horizontal="center" vertical="center"/>
    </xf>
    <xf numFmtId="9" fontId="0" fillId="11" borderId="14" xfId="2" applyFont="1" applyFill="1" applyBorder="1" applyAlignment="1">
      <alignment horizontal="center" vertical="center"/>
    </xf>
    <xf numFmtId="184" fontId="0" fillId="18" borderId="4" xfId="0" applyNumberFormat="1" applyFill="1" applyBorder="1" applyAlignment="1">
      <alignment horizontal="center" vertical="center"/>
    </xf>
    <xf numFmtId="184" fontId="0" fillId="18" borderId="12" xfId="0" applyNumberForma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1" fontId="0" fillId="11" borderId="0" xfId="0" applyNumberFormat="1" applyFill="1" applyBorder="1" applyAlignment="1">
      <alignment horizontal="center" vertical="center"/>
    </xf>
    <xf numFmtId="182" fontId="0" fillId="11" borderId="17" xfId="0" applyNumberFormat="1" applyFill="1" applyBorder="1" applyAlignment="1">
      <alignment horizontal="center" vertical="center"/>
    </xf>
    <xf numFmtId="182" fontId="0" fillId="11" borderId="0" xfId="0" applyNumberFormat="1" applyFill="1" applyBorder="1" applyAlignment="1">
      <alignment horizontal="center" vertical="center"/>
    </xf>
    <xf numFmtId="192" fontId="0" fillId="11" borderId="17" xfId="0" applyNumberFormat="1" applyFill="1" applyBorder="1" applyAlignment="1">
      <alignment horizontal="center" vertical="center"/>
    </xf>
    <xf numFmtId="182" fontId="0" fillId="11" borderId="13" xfId="0" applyNumberFormat="1" applyFill="1" applyBorder="1" applyAlignment="1">
      <alignment horizontal="center" vertical="center"/>
    </xf>
    <xf numFmtId="192" fontId="0" fillId="11" borderId="14" xfId="0" applyNumberFormat="1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12" fillId="10" borderId="0" xfId="3" applyFont="1" applyFill="1" applyAlignment="1" applyProtection="1">
      <alignment horizontal="center" vertical="center" wrapText="1"/>
      <protection locked="0"/>
    </xf>
    <xf numFmtId="0" fontId="13" fillId="10" borderId="0" xfId="3" applyFont="1" applyFill="1" applyAlignment="1" applyProtection="1">
      <alignment horizontal="center" vertical="center" wrapText="1"/>
      <protection locked="0"/>
    </xf>
    <xf numFmtId="0" fontId="13" fillId="6" borderId="0" xfId="3" applyFont="1" applyFill="1" applyAlignment="1" applyProtection="1">
      <alignment horizontal="center" vertical="center" wrapText="1"/>
      <protection locked="0"/>
    </xf>
    <xf numFmtId="0" fontId="13" fillId="3" borderId="0" xfId="3" applyFont="1" applyFill="1" applyAlignment="1" applyProtection="1">
      <alignment horizontal="center" vertical="center" wrapText="1"/>
      <protection locked="0"/>
    </xf>
    <xf numFmtId="0" fontId="13" fillId="10" borderId="0" xfId="3" applyFont="1" applyFill="1" applyAlignment="1" applyProtection="1">
      <alignment horizontal="center" vertical="center"/>
      <protection locked="0"/>
    </xf>
    <xf numFmtId="0" fontId="13" fillId="3" borderId="0" xfId="3" applyFont="1" applyFill="1" applyAlignment="1" applyProtection="1">
      <alignment horizontal="center" vertical="center"/>
      <protection locked="0"/>
    </xf>
    <xf numFmtId="0" fontId="3" fillId="0" borderId="0" xfId="3" applyProtection="1">
      <alignment vertical="center"/>
      <protection locked="0"/>
    </xf>
    <xf numFmtId="0" fontId="12" fillId="6" borderId="0" xfId="3" applyFont="1" applyFill="1" applyAlignment="1" applyProtection="1">
      <alignment horizontal="center" vertical="center" wrapText="1"/>
      <protection locked="0"/>
    </xf>
    <xf numFmtId="0" fontId="12" fillId="3" borderId="0" xfId="3" applyFont="1" applyFill="1" applyAlignment="1">
      <alignment horizontal="center" vertical="center" wrapText="1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12" borderId="9" xfId="0" applyFill="1" applyBorder="1">
      <alignment vertical="center"/>
    </xf>
    <xf numFmtId="0" fontId="0" fillId="8" borderId="4" xfId="0" applyFill="1" applyBorder="1">
      <alignment vertical="center"/>
    </xf>
    <xf numFmtId="0" fontId="2" fillId="0" borderId="0" xfId="0" applyFont="1">
      <alignment vertical="center"/>
    </xf>
    <xf numFmtId="182" fontId="0" fillId="13" borderId="17" xfId="0" applyNumberFormat="1" applyFill="1" applyBorder="1" applyAlignment="1">
      <alignment horizontal="center" vertical="center"/>
    </xf>
    <xf numFmtId="182" fontId="0" fillId="13" borderId="14" xfId="0" applyNumberFormat="1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8" borderId="1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7" fillId="0" borderId="0" xfId="0" applyFont="1">
      <alignment vertical="center"/>
    </xf>
    <xf numFmtId="9" fontId="0" fillId="13" borderId="14" xfId="2" applyFont="1" applyFill="1" applyBorder="1" applyAlignment="1">
      <alignment horizontal="center" vertical="center"/>
    </xf>
    <xf numFmtId="0" fontId="0" fillId="12" borderId="17" xfId="0" applyFill="1" applyBorder="1" applyAlignment="1">
      <alignment horizontal="center" vertical="center"/>
    </xf>
    <xf numFmtId="0" fontId="0" fillId="12" borderId="4" xfId="0" applyFill="1" applyBorder="1">
      <alignment vertical="center"/>
    </xf>
    <xf numFmtId="0" fontId="0" fillId="13" borderId="4" xfId="0" applyFill="1" applyBorder="1" applyAlignment="1">
      <alignment horizontal="center" vertical="center"/>
    </xf>
    <xf numFmtId="0" fontId="0" fillId="13" borderId="12" xfId="0" applyFill="1" applyBorder="1" applyAlignment="1">
      <alignment horizontal="center" vertical="center"/>
    </xf>
    <xf numFmtId="2" fontId="0" fillId="10" borderId="3" xfId="0" applyNumberFormat="1" applyFill="1" applyBorder="1" applyAlignment="1">
      <alignment horizontal="center" vertical="center"/>
    </xf>
    <xf numFmtId="0" fontId="0" fillId="0" borderId="9" xfId="0" applyBorder="1">
      <alignment vertical="center"/>
    </xf>
    <xf numFmtId="0" fontId="0" fillId="5" borderId="11" xfId="0" applyFill="1" applyBorder="1" applyAlignment="1">
      <alignment horizontal="center" vertical="center"/>
    </xf>
    <xf numFmtId="182" fontId="0" fillId="6" borderId="17" xfId="0" applyNumberFormat="1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13" borderId="4" xfId="3" applyFont="1" applyFill="1" applyBorder="1" applyAlignment="1">
      <alignment horizontal="left" vertical="center" indent="1"/>
    </xf>
    <xf numFmtId="0" fontId="0" fillId="13" borderId="4" xfId="0" applyFill="1" applyBorder="1" applyAlignment="1">
      <alignment horizontal="left" vertical="center" indent="1"/>
    </xf>
    <xf numFmtId="0" fontId="0" fillId="13" borderId="12" xfId="0" applyFill="1" applyBorder="1" applyAlignment="1">
      <alignment horizontal="left" vertical="center" indent="1"/>
    </xf>
    <xf numFmtId="0" fontId="0" fillId="13" borderId="13" xfId="0" applyFill="1" applyBorder="1">
      <alignment vertical="center"/>
    </xf>
    <xf numFmtId="0" fontId="0" fillId="13" borderId="17" xfId="0" applyFill="1" applyBorder="1">
      <alignment vertical="center"/>
    </xf>
    <xf numFmtId="0" fontId="0" fillId="13" borderId="14" xfId="0" applyFill="1" applyBorder="1">
      <alignment vertical="center"/>
    </xf>
    <xf numFmtId="0" fontId="0" fillId="8" borderId="4" xfId="0" applyFill="1" applyBorder="1" applyAlignment="1">
      <alignment horizontal="center" vertical="center"/>
    </xf>
    <xf numFmtId="0" fontId="0" fillId="13" borderId="4" xfId="0" applyFill="1" applyBorder="1">
      <alignment vertical="center"/>
    </xf>
    <xf numFmtId="0" fontId="0" fillId="4" borderId="1" xfId="0" applyFill="1" applyBorder="1">
      <alignment vertical="center"/>
    </xf>
    <xf numFmtId="188" fontId="0" fillId="14" borderId="3" xfId="1" applyNumberFormat="1" applyFont="1" applyFill="1" applyBorder="1">
      <alignment vertical="center"/>
    </xf>
    <xf numFmtId="188" fontId="0" fillId="9" borderId="3" xfId="1" applyNumberFormat="1" applyFont="1" applyFill="1" applyBorder="1">
      <alignment vertical="center"/>
    </xf>
    <xf numFmtId="177" fontId="0" fillId="13" borderId="13" xfId="0" applyNumberFormat="1" applyFill="1" applyBorder="1" applyAlignment="1">
      <alignment horizontal="center" vertical="center"/>
    </xf>
    <xf numFmtId="0" fontId="10" fillId="21" borderId="10" xfId="0" applyFont="1" applyFill="1" applyBorder="1" applyAlignment="1" applyProtection="1">
      <alignment horizontal="center" vertical="center"/>
      <protection locked="0"/>
    </xf>
    <xf numFmtId="176" fontId="10" fillId="21" borderId="11" xfId="2" applyNumberFormat="1" applyFont="1" applyFill="1" applyBorder="1" applyAlignment="1" applyProtection="1">
      <alignment horizontal="center" vertical="center"/>
      <protection locked="0"/>
    </xf>
    <xf numFmtId="0" fontId="10" fillId="20" borderId="4" xfId="0" applyFont="1" applyFill="1" applyBorder="1" applyAlignment="1" applyProtection="1">
      <alignment horizontal="center" vertical="center"/>
      <protection locked="0"/>
    </xf>
    <xf numFmtId="0" fontId="10" fillId="20" borderId="12" xfId="0" applyFont="1" applyFill="1" applyBorder="1" applyAlignment="1" applyProtection="1">
      <alignment horizontal="center" vertical="center"/>
      <protection locked="0"/>
    </xf>
    <xf numFmtId="0" fontId="10" fillId="20" borderId="13" xfId="0" applyFont="1" applyFill="1" applyBorder="1" applyAlignment="1" applyProtection="1">
      <alignment horizontal="center" vertical="center"/>
      <protection locked="0"/>
    </xf>
    <xf numFmtId="0" fontId="10" fillId="16" borderId="4" xfId="0" applyFont="1" applyFill="1" applyBorder="1" applyAlignment="1" applyProtection="1">
      <alignment horizontal="center" vertical="center"/>
      <protection locked="0"/>
    </xf>
    <xf numFmtId="0" fontId="10" fillId="16" borderId="0" xfId="0" applyFont="1" applyFill="1" applyBorder="1" applyAlignment="1" applyProtection="1">
      <alignment horizontal="center" vertical="center"/>
      <protection locked="0"/>
    </xf>
    <xf numFmtId="0" fontId="10" fillId="16" borderId="17" xfId="0" applyFont="1" applyFill="1" applyBorder="1" applyAlignment="1" applyProtection="1">
      <alignment horizontal="center" vertical="center"/>
      <protection locked="0"/>
    </xf>
    <xf numFmtId="0" fontId="10" fillId="16" borderId="0" xfId="0" applyFont="1" applyFill="1" applyBorder="1">
      <alignment vertical="center"/>
    </xf>
    <xf numFmtId="0" fontId="14" fillId="16" borderId="0" xfId="3" applyNumberFormat="1" applyFont="1" applyFill="1" applyBorder="1" applyProtection="1">
      <alignment vertical="center"/>
      <protection locked="0"/>
    </xf>
    <xf numFmtId="0" fontId="10" fillId="16" borderId="37" xfId="0" applyFont="1" applyFill="1" applyBorder="1" applyAlignment="1" applyProtection="1">
      <alignment horizontal="center" vertical="center"/>
      <protection locked="0"/>
    </xf>
    <xf numFmtId="0" fontId="10" fillId="16" borderId="38" xfId="0" applyFont="1" applyFill="1" applyBorder="1" applyAlignment="1" applyProtection="1">
      <alignment horizontal="center" vertical="center"/>
      <protection locked="0"/>
    </xf>
    <xf numFmtId="0" fontId="10" fillId="16" borderId="13" xfId="0" applyFont="1" applyFill="1" applyBorder="1" applyAlignment="1" applyProtection="1">
      <alignment horizontal="center" vertical="center"/>
      <protection locked="0"/>
    </xf>
    <xf numFmtId="0" fontId="10" fillId="16" borderId="36" xfId="0" applyFont="1" applyFill="1" applyBorder="1" applyAlignment="1" applyProtection="1">
      <alignment horizontal="center" vertical="center"/>
      <protection locked="0"/>
    </xf>
    <xf numFmtId="0" fontId="10" fillId="16" borderId="10" xfId="0" applyFont="1" applyFill="1" applyBorder="1" applyAlignment="1" applyProtection="1">
      <alignment horizontal="center" vertical="center"/>
      <protection locked="0"/>
    </xf>
    <xf numFmtId="0" fontId="10" fillId="16" borderId="43" xfId="0" applyFont="1" applyFill="1" applyBorder="1" applyAlignment="1" applyProtection="1">
      <alignment horizontal="center" vertical="center"/>
      <protection locked="0"/>
    </xf>
    <xf numFmtId="0" fontId="10" fillId="16" borderId="42" xfId="0" applyFont="1" applyFill="1" applyBorder="1" applyAlignment="1" applyProtection="1">
      <alignment horizontal="center" vertical="center"/>
      <protection locked="0"/>
    </xf>
    <xf numFmtId="180" fontId="10" fillId="16" borderId="0" xfId="0" applyNumberFormat="1" applyFont="1" applyFill="1" applyBorder="1" applyAlignment="1" applyProtection="1">
      <alignment horizontal="center" vertical="center"/>
      <protection locked="0"/>
    </xf>
    <xf numFmtId="179" fontId="10" fillId="16" borderId="0" xfId="0" applyNumberFormat="1" applyFont="1" applyFill="1" applyBorder="1" applyAlignment="1" applyProtection="1">
      <alignment horizontal="center" vertical="center"/>
      <protection locked="0"/>
    </xf>
    <xf numFmtId="179" fontId="10" fillId="16" borderId="13" xfId="0" applyNumberFormat="1" applyFont="1" applyFill="1" applyBorder="1" applyAlignment="1" applyProtection="1">
      <alignment horizontal="center" vertical="center"/>
      <protection locked="0"/>
    </xf>
    <xf numFmtId="188" fontId="0" fillId="20" borderId="3" xfId="1" applyNumberFormat="1" applyFont="1" applyFill="1" applyBorder="1" applyProtection="1">
      <alignment vertical="center"/>
      <protection locked="0"/>
    </xf>
    <xf numFmtId="0" fontId="6" fillId="0" borderId="0" xfId="0" applyFont="1">
      <alignment vertical="center"/>
    </xf>
    <xf numFmtId="0" fontId="0" fillId="10" borderId="0" xfId="0" applyFill="1">
      <alignment vertical="center"/>
    </xf>
    <xf numFmtId="194" fontId="0" fillId="0" borderId="0" xfId="0" applyNumberFormat="1">
      <alignment vertical="center"/>
    </xf>
    <xf numFmtId="42" fontId="6" fillId="0" borderId="0" xfId="4">
      <alignment vertical="center"/>
    </xf>
    <xf numFmtId="0" fontId="6" fillId="0" borderId="0" xfId="5">
      <alignment vertical="center"/>
    </xf>
    <xf numFmtId="0" fontId="6" fillId="0" borderId="0" xfId="5" applyAlignment="1">
      <alignment horizontal="center" vertical="center"/>
    </xf>
    <xf numFmtId="42" fontId="6" fillId="0" borderId="0" xfId="6" applyFont="1">
      <alignment vertical="center"/>
    </xf>
    <xf numFmtId="42" fontId="6" fillId="0" borderId="0" xfId="6" applyFont="1" applyAlignment="1">
      <alignment horizontal="center" vertical="center"/>
    </xf>
    <xf numFmtId="41" fontId="6" fillId="0" borderId="0" xfId="1" applyFont="1">
      <alignment vertical="center"/>
    </xf>
    <xf numFmtId="41" fontId="6" fillId="0" borderId="0" xfId="1" applyFont="1" applyAlignment="1">
      <alignment vertical="center"/>
    </xf>
    <xf numFmtId="41" fontId="6" fillId="0" borderId="0" xfId="1" applyFont="1" applyAlignment="1">
      <alignment horizontal="center" vertical="center"/>
    </xf>
    <xf numFmtId="195" fontId="6" fillId="0" borderId="0" xfId="4" applyNumberFormat="1" applyFill="1" applyAlignment="1">
      <alignment horizontal="center" vertical="center"/>
    </xf>
    <xf numFmtId="195" fontId="6" fillId="0" borderId="0" xfId="6" applyNumberFormat="1" applyFont="1" applyAlignment="1">
      <alignment horizontal="center" vertical="center"/>
    </xf>
    <xf numFmtId="0" fontId="6" fillId="4" borderId="0" xfId="5" applyFill="1" applyAlignment="1">
      <alignment horizontal="center" vertical="center"/>
    </xf>
    <xf numFmtId="0" fontId="18" fillId="6" borderId="45" xfId="0" applyFont="1" applyFill="1" applyBorder="1" applyAlignment="1">
      <alignment horizontal="center" vertical="center"/>
    </xf>
    <xf numFmtId="0" fontId="18" fillId="3" borderId="41" xfId="0" applyFont="1" applyFill="1" applyBorder="1" applyAlignment="1">
      <alignment horizontal="center" vertical="center"/>
    </xf>
    <xf numFmtId="0" fontId="18" fillId="10" borderId="22" xfId="0" applyFont="1" applyFill="1" applyBorder="1" applyAlignment="1">
      <alignment horizontal="center" vertical="center"/>
    </xf>
    <xf numFmtId="0" fontId="18" fillId="6" borderId="22" xfId="0" applyFont="1" applyFill="1" applyBorder="1" applyAlignment="1">
      <alignment horizontal="center" vertical="center"/>
    </xf>
    <xf numFmtId="0" fontId="18" fillId="15" borderId="23" xfId="0" applyFont="1" applyFill="1" applyBorder="1" applyAlignment="1">
      <alignment horizontal="center" vertical="center"/>
    </xf>
    <xf numFmtId="0" fontId="18" fillId="4" borderId="46" xfId="0" applyFont="1" applyFill="1" applyBorder="1" applyAlignment="1">
      <alignment horizontal="center" vertical="center"/>
    </xf>
    <xf numFmtId="0" fontId="18" fillId="3" borderId="44" xfId="0" applyFont="1" applyFill="1" applyBorder="1" applyAlignment="1">
      <alignment horizontal="center" vertical="center"/>
    </xf>
    <xf numFmtId="0" fontId="18" fillId="10" borderId="5" xfId="0" applyFont="1" applyFill="1" applyBorder="1" applyAlignment="1">
      <alignment horizontal="center" vertical="center"/>
    </xf>
    <xf numFmtId="0" fontId="18" fillId="5" borderId="5" xfId="0" applyFont="1" applyFill="1" applyBorder="1" applyAlignment="1">
      <alignment horizontal="center" vertical="center"/>
    </xf>
    <xf numFmtId="0" fontId="18" fillId="15" borderId="25" xfId="0" applyFont="1" applyFill="1" applyBorder="1" applyAlignment="1">
      <alignment horizontal="center" vertical="center"/>
    </xf>
    <xf numFmtId="0" fontId="18" fillId="10" borderId="46" xfId="0" applyFont="1" applyFill="1" applyBorder="1" applyAlignment="1">
      <alignment horizontal="center" vertical="center"/>
    </xf>
    <xf numFmtId="0" fontId="18" fillId="23" borderId="25" xfId="0" applyFont="1" applyFill="1" applyBorder="1">
      <alignment vertical="center"/>
    </xf>
    <xf numFmtId="0" fontId="18" fillId="14" borderId="46" xfId="0" applyFont="1" applyFill="1" applyBorder="1" applyAlignment="1">
      <alignment horizontal="center" vertical="center"/>
    </xf>
    <xf numFmtId="0" fontId="18" fillId="23" borderId="5" xfId="0" applyFont="1" applyFill="1" applyBorder="1" applyAlignment="1">
      <alignment horizontal="center" vertical="center"/>
    </xf>
    <xf numFmtId="0" fontId="18" fillId="24" borderId="46" xfId="0" applyFont="1" applyFill="1" applyBorder="1" applyAlignment="1">
      <alignment horizontal="center" vertical="center"/>
    </xf>
    <xf numFmtId="0" fontId="18" fillId="8" borderId="44" xfId="0" applyFont="1" applyFill="1" applyBorder="1" applyAlignment="1">
      <alignment horizontal="center" vertical="center"/>
    </xf>
    <xf numFmtId="0" fontId="18" fillId="16" borderId="47" xfId="5" applyFont="1" applyFill="1" applyBorder="1" applyAlignment="1">
      <alignment horizontal="center" vertical="center"/>
    </xf>
    <xf numFmtId="0" fontId="18" fillId="8" borderId="48" xfId="5" applyFont="1" applyFill="1" applyBorder="1" applyAlignment="1">
      <alignment horizontal="center" vertical="center"/>
    </xf>
    <xf numFmtId="42" fontId="18" fillId="2" borderId="19" xfId="6" applyFont="1" applyFill="1" applyBorder="1" applyAlignment="1">
      <alignment horizontal="center" vertical="center"/>
    </xf>
    <xf numFmtId="0" fontId="18" fillId="23" borderId="19" xfId="0" applyFont="1" applyFill="1" applyBorder="1" applyAlignment="1">
      <alignment horizontal="center" vertical="center"/>
    </xf>
    <xf numFmtId="0" fontId="18" fillId="23" borderId="20" xfId="0" applyFont="1" applyFill="1" applyBorder="1">
      <alignment vertical="center"/>
    </xf>
    <xf numFmtId="0" fontId="6" fillId="0" borderId="0" xfId="5" applyAlignment="1">
      <alignment horizontal="center" vertical="center"/>
    </xf>
    <xf numFmtId="0" fontId="6" fillId="0" borderId="0" xfId="5" applyFill="1">
      <alignment vertical="center"/>
    </xf>
    <xf numFmtId="0" fontId="6" fillId="0" borderId="0" xfId="5" applyFill="1" applyAlignment="1">
      <alignment horizontal="center" vertical="center"/>
    </xf>
    <xf numFmtId="41" fontId="6" fillId="0" borderId="0" xfId="1" applyFont="1" applyFill="1" applyAlignment="1">
      <alignment horizontal="center" vertical="center"/>
    </xf>
    <xf numFmtId="42" fontId="6" fillId="0" borderId="0" xfId="6" applyFont="1" applyFill="1" applyAlignment="1">
      <alignment horizontal="center" vertical="center"/>
    </xf>
    <xf numFmtId="41" fontId="6" fillId="0" borderId="0" xfId="1" applyFont="1" applyFill="1" applyAlignment="1">
      <alignment vertical="center"/>
    </xf>
    <xf numFmtId="195" fontId="6" fillId="0" borderId="0" xfId="6" applyNumberFormat="1" applyFont="1" applyFill="1" applyAlignment="1">
      <alignment horizontal="center" vertical="center"/>
    </xf>
    <xf numFmtId="0" fontId="6" fillId="10" borderId="0" xfId="5" applyFill="1" applyAlignment="1">
      <alignment horizontal="center" vertical="center"/>
    </xf>
    <xf numFmtId="0" fontId="6" fillId="0" borderId="0" xfId="5" applyAlignment="1">
      <alignment vertical="center"/>
    </xf>
    <xf numFmtId="0" fontId="6" fillId="6" borderId="0" xfId="5" applyFill="1" applyAlignment="1">
      <alignment horizontal="center" vertical="center"/>
    </xf>
    <xf numFmtId="0" fontId="6" fillId="14" borderId="0" xfId="5" applyFill="1" applyAlignment="1">
      <alignment horizontal="center" vertical="center"/>
    </xf>
    <xf numFmtId="0" fontId="6" fillId="25" borderId="0" xfId="5" applyFill="1" applyAlignment="1">
      <alignment horizontal="center" vertical="center"/>
    </xf>
    <xf numFmtId="0" fontId="6" fillId="9" borderId="0" xfId="5" applyFill="1" applyAlignment="1">
      <alignment horizontal="center" vertical="center"/>
    </xf>
    <xf numFmtId="0" fontId="6" fillId="13" borderId="0" xfId="5" applyFill="1" applyAlignment="1">
      <alignment horizontal="center" vertical="center"/>
    </xf>
    <xf numFmtId="0" fontId="3" fillId="0" borderId="0" xfId="3" applyAlignment="1">
      <alignment horizontal="center" vertical="center"/>
    </xf>
    <xf numFmtId="0" fontId="19" fillId="4" borderId="0" xfId="5" applyFont="1" applyFill="1" applyAlignment="1">
      <alignment horizontal="center" vertical="center"/>
    </xf>
    <xf numFmtId="0" fontId="19" fillId="0" borderId="0" xfId="5" applyFont="1" applyAlignment="1">
      <alignment horizontal="center" vertical="center"/>
    </xf>
    <xf numFmtId="42" fontId="19" fillId="0" borderId="0" xfId="6" applyFont="1" applyAlignment="1">
      <alignment horizontal="center" vertical="center"/>
    </xf>
    <xf numFmtId="0" fontId="19" fillId="0" borderId="0" xfId="5" applyFont="1" applyAlignment="1">
      <alignment vertical="center"/>
    </xf>
    <xf numFmtId="0" fontId="0" fillId="3" borderId="9" xfId="0" applyFill="1" applyBorder="1" applyAlignment="1">
      <alignment horizontal="center" vertical="center"/>
    </xf>
    <xf numFmtId="0" fontId="0" fillId="20" borderId="1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194" fontId="0" fillId="20" borderId="3" xfId="0" applyNumberForma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180" fontId="0" fillId="20" borderId="14" xfId="0" applyNumberFormat="1" applyFill="1" applyBorder="1" applyAlignment="1">
      <alignment horizontal="center" vertical="center"/>
    </xf>
    <xf numFmtId="0" fontId="11" fillId="10" borderId="0" xfId="0" applyFont="1" applyFill="1">
      <alignment vertical="center"/>
    </xf>
    <xf numFmtId="9" fontId="0" fillId="0" borderId="0" xfId="0" applyNumberFormat="1">
      <alignment vertical="center"/>
    </xf>
    <xf numFmtId="0" fontId="0" fillId="8" borderId="0" xfId="0" applyFill="1">
      <alignment vertical="center"/>
    </xf>
    <xf numFmtId="182" fontId="0" fillId="14" borderId="0" xfId="0" applyNumberFormat="1" applyFill="1">
      <alignment vertical="center"/>
    </xf>
    <xf numFmtId="0" fontId="0" fillId="14" borderId="0" xfId="0" applyFill="1">
      <alignment vertical="center"/>
    </xf>
    <xf numFmtId="0" fontId="0" fillId="2" borderId="0" xfId="0" applyFill="1">
      <alignment vertical="center"/>
    </xf>
    <xf numFmtId="0" fontId="0" fillId="10" borderId="1" xfId="0" applyFill="1" applyBorder="1" applyAlignment="1">
      <alignment horizontal="center" vertical="center"/>
    </xf>
    <xf numFmtId="0" fontId="0" fillId="12" borderId="15" xfId="0" applyFill="1" applyBorder="1" applyAlignment="1">
      <alignment horizontal="center" vertical="center"/>
    </xf>
    <xf numFmtId="0" fontId="0" fillId="10" borderId="4" xfId="0" applyFill="1" applyBorder="1" applyAlignment="1">
      <alignment horizontal="right" vertical="center"/>
    </xf>
    <xf numFmtId="0" fontId="0" fillId="14" borderId="22" xfId="0" applyFill="1" applyBorder="1" applyAlignment="1">
      <alignment horizontal="center" vertical="center"/>
    </xf>
    <xf numFmtId="182" fontId="0" fillId="0" borderId="5" xfId="0" applyNumberFormat="1" applyBorder="1" applyAlignment="1">
      <alignment horizontal="center" vertical="center"/>
    </xf>
    <xf numFmtId="182" fontId="0" fillId="0" borderId="25" xfId="0" applyNumberFormat="1" applyBorder="1" applyAlignment="1">
      <alignment horizontal="center" vertical="center"/>
    </xf>
    <xf numFmtId="0" fontId="10" fillId="16" borderId="20" xfId="0" applyFont="1" applyFill="1" applyBorder="1" applyAlignment="1" applyProtection="1">
      <alignment horizontal="center" vertical="center"/>
      <protection locked="0"/>
    </xf>
    <xf numFmtId="0" fontId="10" fillId="16" borderId="5" xfId="0" applyFont="1" applyFill="1" applyBorder="1" applyAlignment="1" applyProtection="1">
      <alignment horizontal="center" vertical="center"/>
      <protection locked="0"/>
    </xf>
    <xf numFmtId="0" fontId="10" fillId="16" borderId="25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26" borderId="0" xfId="0" applyFill="1">
      <alignment vertical="center"/>
    </xf>
    <xf numFmtId="176" fontId="0" fillId="26" borderId="0" xfId="2" applyNumberFormat="1" applyFont="1" applyFill="1">
      <alignment vertical="center"/>
    </xf>
    <xf numFmtId="0" fontId="0" fillId="26" borderId="0" xfId="0" applyFill="1" applyAlignment="1">
      <alignment vertical="center" wrapText="1"/>
    </xf>
    <xf numFmtId="0" fontId="0" fillId="26" borderId="0" xfId="0" applyFill="1" applyAlignment="1">
      <alignment horizontal="center" vertical="center"/>
    </xf>
    <xf numFmtId="176" fontId="0" fillId="26" borderId="0" xfId="2" applyNumberFormat="1" applyFont="1" applyFill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26" borderId="11" xfId="0" applyFill="1" applyBorder="1">
      <alignment vertical="center"/>
    </xf>
    <xf numFmtId="178" fontId="10" fillId="2" borderId="34" xfId="0" applyNumberFormat="1" applyFont="1" applyFill="1" applyBorder="1" applyAlignment="1">
      <alignment horizontal="center" vertical="center"/>
    </xf>
    <xf numFmtId="178" fontId="10" fillId="2" borderId="17" xfId="0" applyNumberFormat="1" applyFont="1" applyFill="1" applyBorder="1">
      <alignment vertical="center"/>
    </xf>
    <xf numFmtId="0" fontId="0" fillId="10" borderId="0" xfId="0" applyFill="1" applyAlignment="1">
      <alignment horizontal="right" vertical="center"/>
    </xf>
    <xf numFmtId="0" fontId="0" fillId="26" borderId="17" xfId="0" applyFill="1" applyBorder="1">
      <alignment vertical="center"/>
    </xf>
    <xf numFmtId="180" fontId="0" fillId="26" borderId="0" xfId="0" applyNumberFormat="1" applyFill="1" applyAlignment="1">
      <alignment horizontal="center" vertical="center"/>
    </xf>
    <xf numFmtId="0" fontId="0" fillId="26" borderId="14" xfId="0" applyFill="1" applyBorder="1">
      <alignment vertical="center"/>
    </xf>
    <xf numFmtId="179" fontId="0" fillId="26" borderId="0" xfId="0" applyNumberFormat="1" applyFill="1" applyAlignment="1">
      <alignment horizontal="center" vertical="center"/>
    </xf>
    <xf numFmtId="0" fontId="0" fillId="0" borderId="21" xfId="0" applyBorder="1">
      <alignment vertical="center"/>
    </xf>
    <xf numFmtId="0" fontId="0" fillId="10" borderId="22" xfId="0" applyFill="1" applyBorder="1">
      <alignment vertical="center"/>
    </xf>
    <xf numFmtId="0" fontId="0" fillId="6" borderId="23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6" fillId="26" borderId="0" xfId="0" applyFont="1" applyFill="1" applyAlignment="1">
      <alignment horizontal="center" vertical="center"/>
    </xf>
    <xf numFmtId="183" fontId="6" fillId="26" borderId="0" xfId="0" applyNumberFormat="1" applyFont="1" applyFill="1">
      <alignment vertical="center"/>
    </xf>
    <xf numFmtId="0" fontId="0" fillId="9" borderId="54" xfId="0" applyFill="1" applyBorder="1" applyAlignment="1">
      <alignment horizontal="center" vertical="center"/>
    </xf>
    <xf numFmtId="0" fontId="0" fillId="10" borderId="24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9" borderId="16" xfId="0" applyFill="1" applyBorder="1" applyAlignment="1">
      <alignment horizontal="center" vertical="center"/>
    </xf>
    <xf numFmtId="182" fontId="0" fillId="0" borderId="55" xfId="0" applyNumberFormat="1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1" fontId="7" fillId="26" borderId="0" xfId="0" applyNumberFormat="1" applyFont="1" applyFill="1">
      <alignment vertical="center"/>
    </xf>
    <xf numFmtId="183" fontId="6" fillId="0" borderId="24" xfId="0" applyNumberFormat="1" applyFont="1" applyBorder="1" applyAlignment="1">
      <alignment horizontal="center" vertical="center"/>
    </xf>
    <xf numFmtId="176" fontId="6" fillId="26" borderId="0" xfId="2" applyNumberFormat="1" applyFont="1" applyFill="1" applyAlignment="1">
      <alignment horizontal="center" vertical="center"/>
    </xf>
    <xf numFmtId="183" fontId="6" fillId="0" borderId="18" xfId="0" applyNumberFormat="1" applyFont="1" applyBorder="1" applyAlignment="1">
      <alignment horizontal="center" vertical="center"/>
    </xf>
    <xf numFmtId="182" fontId="0" fillId="0" borderId="20" xfId="0" applyNumberFormat="1" applyBorder="1" applyAlignment="1">
      <alignment horizontal="center" vertical="center"/>
    </xf>
    <xf numFmtId="0" fontId="6" fillId="26" borderId="0" xfId="0" applyFont="1" applyFill="1">
      <alignment vertical="center"/>
    </xf>
    <xf numFmtId="183" fontId="6" fillId="26" borderId="0" xfId="0" applyNumberFormat="1" applyFont="1" applyFill="1" applyAlignment="1">
      <alignment vertical="center" wrapText="1"/>
    </xf>
    <xf numFmtId="0" fontId="0" fillId="15" borderId="21" xfId="0" applyFill="1" applyBorder="1" applyAlignment="1" applyProtection="1">
      <alignment horizontal="center" vertical="center"/>
      <protection locked="0"/>
    </xf>
    <xf numFmtId="0" fontId="2" fillId="26" borderId="0" xfId="0" applyFont="1" applyFill="1">
      <alignment vertical="center"/>
    </xf>
    <xf numFmtId="183" fontId="6" fillId="15" borderId="18" xfId="0" applyNumberFormat="1" applyFont="1" applyFill="1" applyBorder="1" applyAlignment="1" applyProtection="1">
      <alignment horizontal="center" vertical="center"/>
      <protection locked="0"/>
    </xf>
    <xf numFmtId="182" fontId="0" fillId="26" borderId="25" xfId="0" applyNumberFormat="1" applyFill="1" applyBorder="1" applyAlignment="1">
      <alignment horizontal="center" vertical="center" wrapText="1"/>
    </xf>
    <xf numFmtId="0" fontId="7" fillId="26" borderId="0" xfId="0" applyFont="1" applyFill="1">
      <alignment vertical="center"/>
    </xf>
    <xf numFmtId="0" fontId="0" fillId="15" borderId="24" xfId="0" applyFill="1" applyBorder="1" applyAlignment="1">
      <alignment horizontal="center" vertical="center"/>
    </xf>
    <xf numFmtId="0" fontId="0" fillId="15" borderId="5" xfId="0" applyFill="1" applyBorder="1">
      <alignment vertical="center"/>
    </xf>
    <xf numFmtId="182" fontId="0" fillId="15" borderId="5" xfId="0" applyNumberFormat="1" applyFill="1" applyBorder="1" applyAlignment="1">
      <alignment horizontal="center" vertical="center"/>
    </xf>
    <xf numFmtId="182" fontId="0" fillId="26" borderId="25" xfId="0" applyNumberFormat="1" applyFill="1" applyBorder="1" applyAlignment="1">
      <alignment horizontal="center" vertical="center"/>
    </xf>
    <xf numFmtId="0" fontId="8" fillId="26" borderId="0" xfId="3" applyFont="1" applyFill="1">
      <alignment vertical="center"/>
    </xf>
    <xf numFmtId="185" fontId="0" fillId="11" borderId="19" xfId="0" applyNumberFormat="1" applyFill="1" applyBorder="1" applyAlignment="1">
      <alignment horizontal="center" vertical="center"/>
    </xf>
    <xf numFmtId="186" fontId="0" fillId="26" borderId="20" xfId="0" applyNumberFormat="1" applyFill="1" applyBorder="1">
      <alignment vertical="center"/>
    </xf>
    <xf numFmtId="0" fontId="7" fillId="26" borderId="0" xfId="3" applyFont="1" applyFill="1" applyAlignment="1">
      <alignment horizontal="center" vertical="center"/>
    </xf>
    <xf numFmtId="0" fontId="7" fillId="26" borderId="0" xfId="3" applyFont="1" applyFill="1" applyAlignment="1">
      <alignment horizontal="left" vertical="center" indent="1"/>
    </xf>
    <xf numFmtId="0" fontId="7" fillId="26" borderId="0" xfId="0" applyFont="1" applyFill="1" applyAlignment="1">
      <alignment horizontal="left" vertical="center" indent="1"/>
    </xf>
    <xf numFmtId="0" fontId="7" fillId="26" borderId="0" xfId="0" applyFont="1" applyFill="1" applyAlignment="1">
      <alignment horizontal="center" vertical="center"/>
    </xf>
    <xf numFmtId="182" fontId="7" fillId="26" borderId="0" xfId="0" applyNumberFormat="1" applyFont="1" applyFill="1" applyAlignment="1">
      <alignment horizontal="center" vertical="center"/>
    </xf>
    <xf numFmtId="176" fontId="6" fillId="26" borderId="0" xfId="2" applyNumberFormat="1" applyFont="1" applyFill="1">
      <alignment vertical="center"/>
    </xf>
    <xf numFmtId="9" fontId="6" fillId="26" borderId="0" xfId="2" applyFont="1" applyFill="1">
      <alignment vertical="center"/>
    </xf>
    <xf numFmtId="182" fontId="7" fillId="26" borderId="0" xfId="0" applyNumberFormat="1" applyFont="1" applyFill="1">
      <alignment vertical="center"/>
    </xf>
    <xf numFmtId="41" fontId="7" fillId="26" borderId="0" xfId="0" applyNumberFormat="1" applyFont="1" applyFill="1">
      <alignment vertical="center"/>
    </xf>
    <xf numFmtId="187" fontId="7" fillId="26" borderId="0" xfId="0" applyNumberFormat="1" applyFont="1" applyFill="1">
      <alignment vertical="center"/>
    </xf>
    <xf numFmtId="188" fontId="7" fillId="26" borderId="0" xfId="1" applyNumberFormat="1" applyFont="1" applyFill="1">
      <alignment vertical="center"/>
    </xf>
    <xf numFmtId="189" fontId="7" fillId="26" borderId="0" xfId="0" applyNumberFormat="1" applyFont="1" applyFill="1">
      <alignment vertical="center"/>
    </xf>
    <xf numFmtId="2" fontId="7" fillId="26" borderId="0" xfId="0" applyNumberFormat="1" applyFont="1" applyFill="1" applyAlignment="1">
      <alignment horizontal="center" vertical="center"/>
    </xf>
    <xf numFmtId="41" fontId="7" fillId="26" borderId="0" xfId="1" applyFont="1" applyFill="1">
      <alignment vertical="center"/>
    </xf>
    <xf numFmtId="190" fontId="7" fillId="26" borderId="0" xfId="0" applyNumberFormat="1" applyFont="1" applyFill="1">
      <alignment vertical="center"/>
    </xf>
    <xf numFmtId="9" fontId="7" fillId="26" borderId="0" xfId="2" applyFont="1" applyFill="1" applyAlignment="1">
      <alignment horizontal="center" vertical="center"/>
    </xf>
    <xf numFmtId="43" fontId="2" fillId="26" borderId="0" xfId="0" applyNumberFormat="1" applyFont="1" applyFill="1">
      <alignment vertical="center"/>
    </xf>
    <xf numFmtId="177" fontId="7" fillId="26" borderId="0" xfId="0" applyNumberFormat="1" applyFont="1" applyFill="1" applyAlignment="1">
      <alignment horizontal="center" vertical="center"/>
    </xf>
    <xf numFmtId="184" fontId="7" fillId="26" borderId="0" xfId="0" applyNumberFormat="1" applyFont="1" applyFill="1" applyAlignment="1">
      <alignment horizontal="center" vertical="center"/>
    </xf>
    <xf numFmtId="179" fontId="2" fillId="26" borderId="0" xfId="0" applyNumberFormat="1" applyFont="1" applyFill="1">
      <alignment vertical="center"/>
    </xf>
    <xf numFmtId="179" fontId="7" fillId="26" borderId="0" xfId="0" applyNumberFormat="1" applyFont="1" applyFill="1">
      <alignment vertical="center"/>
    </xf>
    <xf numFmtId="181" fontId="7" fillId="26" borderId="0" xfId="0" applyNumberFormat="1" applyFont="1" applyFill="1" applyAlignment="1">
      <alignment horizontal="center" vertical="center"/>
    </xf>
    <xf numFmtId="0" fontId="2" fillId="26" borderId="0" xfId="0" applyFont="1" applyFill="1" applyAlignment="1">
      <alignment horizontal="center" vertical="center"/>
    </xf>
    <xf numFmtId="182" fontId="2" fillId="26" borderId="0" xfId="0" applyNumberFormat="1" applyFont="1" applyFill="1">
      <alignment vertical="center"/>
    </xf>
    <xf numFmtId="191" fontId="2" fillId="26" borderId="0" xfId="0" applyNumberFormat="1" applyFont="1" applyFill="1" applyAlignment="1">
      <alignment horizontal="center" vertical="center"/>
    </xf>
    <xf numFmtId="41" fontId="2" fillId="26" borderId="0" xfId="1" applyFont="1" applyFill="1">
      <alignment vertical="center"/>
    </xf>
    <xf numFmtId="0" fontId="2" fillId="26" borderId="0" xfId="0" applyFont="1" applyFill="1" applyAlignment="1">
      <alignment horizontal="left" vertical="center" indent="1"/>
    </xf>
    <xf numFmtId="41" fontId="2" fillId="0" borderId="0" xfId="1" applyFont="1">
      <alignment vertical="center"/>
    </xf>
    <xf numFmtId="43" fontId="2" fillId="0" borderId="0" xfId="0" applyNumberFormat="1" applyFont="1">
      <alignment vertical="center"/>
    </xf>
    <xf numFmtId="0" fontId="6" fillId="15" borderId="1" xfId="0" applyFont="1" applyFill="1" applyBorder="1" applyAlignment="1">
      <alignment horizontal="center" vertical="center"/>
    </xf>
    <xf numFmtId="0" fontId="0" fillId="20" borderId="5" xfId="0" applyFill="1" applyBorder="1" applyAlignment="1" applyProtection="1">
      <alignment horizontal="center" vertical="center"/>
      <protection locked="0"/>
    </xf>
    <xf numFmtId="0" fontId="6" fillId="20" borderId="5" xfId="0" applyFont="1" applyFill="1" applyBorder="1" applyAlignment="1" applyProtection="1">
      <alignment horizontal="center" vertical="center"/>
      <protection locked="0"/>
    </xf>
    <xf numFmtId="0" fontId="6" fillId="20" borderId="19" xfId="0" applyFont="1" applyFill="1" applyBorder="1" applyAlignment="1" applyProtection="1">
      <alignment horizontal="center" vertical="center"/>
      <protection locked="0"/>
    </xf>
    <xf numFmtId="178" fontId="10" fillId="2" borderId="17" xfId="0" applyNumberFormat="1" applyFont="1" applyFill="1" applyBorder="1" applyAlignment="1" applyProtection="1">
      <alignment horizontal="center" vertical="center"/>
      <protection locked="0"/>
    </xf>
    <xf numFmtId="0" fontId="0" fillId="21" borderId="24" xfId="0" applyFill="1" applyBorder="1" applyAlignment="1" applyProtection="1">
      <alignment horizontal="center" vertical="center" wrapText="1"/>
      <protection locked="0"/>
    </xf>
    <xf numFmtId="0" fontId="0" fillId="21" borderId="5" xfId="0" applyFill="1" applyBorder="1" applyAlignment="1" applyProtection="1">
      <alignment horizontal="center" vertical="center" wrapText="1"/>
      <protection locked="0"/>
    </xf>
    <xf numFmtId="0" fontId="0" fillId="21" borderId="25" xfId="0" applyFill="1" applyBorder="1" applyAlignment="1" applyProtection="1">
      <alignment horizontal="center" vertical="center" wrapText="1"/>
      <protection locked="0"/>
    </xf>
    <xf numFmtId="0" fontId="0" fillId="21" borderId="18" xfId="0" applyFill="1" applyBorder="1" applyAlignment="1" applyProtection="1">
      <alignment horizontal="center" vertical="center" wrapText="1"/>
      <protection locked="0"/>
    </xf>
    <xf numFmtId="0" fontId="0" fillId="21" borderId="19" xfId="0" applyFill="1" applyBorder="1" applyAlignment="1" applyProtection="1">
      <alignment horizontal="center" vertical="center" wrapText="1"/>
      <protection locked="0"/>
    </xf>
    <xf numFmtId="0" fontId="0" fillId="21" borderId="20" xfId="0" applyFill="1" applyBorder="1" applyAlignment="1" applyProtection="1">
      <alignment horizontal="center" vertical="center" wrapText="1"/>
      <protection locked="0"/>
    </xf>
    <xf numFmtId="0" fontId="0" fillId="26" borderId="0" xfId="0" applyFill="1" applyAlignment="1">
      <alignment horizontal="center" vertical="center" wrapText="1"/>
    </xf>
    <xf numFmtId="0" fontId="5" fillId="26" borderId="0" xfId="0" applyFont="1" applyFill="1">
      <alignment vertical="center"/>
    </xf>
    <xf numFmtId="179" fontId="0" fillId="26" borderId="0" xfId="0" applyNumberFormat="1" applyFill="1">
      <alignment vertical="center"/>
    </xf>
    <xf numFmtId="179" fontId="7" fillId="26" borderId="0" xfId="0" applyNumberFormat="1" applyFont="1" applyFill="1" applyAlignment="1">
      <alignment horizontal="center" vertical="center"/>
    </xf>
    <xf numFmtId="0" fontId="7" fillId="26" borderId="0" xfId="0" applyFont="1" applyFill="1" applyAlignment="1">
      <alignment horizontal="center" vertical="center" wrapText="1"/>
    </xf>
    <xf numFmtId="0" fontId="15" fillId="26" borderId="0" xfId="0" applyFont="1" applyFill="1">
      <alignment vertical="center"/>
    </xf>
    <xf numFmtId="0" fontId="15" fillId="0" borderId="0" xfId="0" applyFont="1">
      <alignment vertical="center"/>
    </xf>
    <xf numFmtId="0" fontId="0" fillId="26" borderId="10" xfId="0" applyFill="1" applyBorder="1">
      <alignment vertical="center"/>
    </xf>
    <xf numFmtId="0" fontId="0" fillId="26" borderId="11" xfId="0" applyFill="1" applyBorder="1" applyAlignment="1">
      <alignment horizontal="center" vertical="center"/>
    </xf>
    <xf numFmtId="0" fontId="0" fillId="13" borderId="0" xfId="0" applyFill="1">
      <alignment vertical="center"/>
    </xf>
    <xf numFmtId="0" fontId="16" fillId="0" borderId="0" xfId="0" applyFont="1" applyAlignment="1">
      <alignment horizontal="center" vertical="center"/>
    </xf>
    <xf numFmtId="0" fontId="0" fillId="26" borderId="0" xfId="0" applyFill="1" applyAlignment="1">
      <alignment horizontal="left" vertical="center" indent="1"/>
    </xf>
    <xf numFmtId="182" fontId="0" fillId="26" borderId="0" xfId="0" applyNumberFormat="1" applyFill="1" applyAlignment="1">
      <alignment horizontal="center" vertical="center"/>
    </xf>
    <xf numFmtId="176" fontId="7" fillId="26" borderId="0" xfId="2" applyNumberFormat="1" applyFont="1" applyFill="1">
      <alignment vertical="center"/>
    </xf>
    <xf numFmtId="0" fontId="0" fillId="12" borderId="0" xfId="0" applyFill="1" applyAlignment="1">
      <alignment horizontal="center" vertical="center"/>
    </xf>
    <xf numFmtId="9" fontId="7" fillId="26" borderId="0" xfId="2" applyFont="1" applyFill="1">
      <alignment vertical="center"/>
    </xf>
    <xf numFmtId="0" fontId="10" fillId="20" borderId="0" xfId="0" applyFont="1" applyFill="1" applyAlignment="1" applyProtection="1">
      <alignment horizontal="center" vertical="center"/>
      <protection locked="0"/>
    </xf>
    <xf numFmtId="177" fontId="0" fillId="26" borderId="0" xfId="0" applyNumberFormat="1" applyFill="1" applyAlignment="1">
      <alignment horizontal="center" vertical="center"/>
    </xf>
    <xf numFmtId="9" fontId="0" fillId="26" borderId="0" xfId="2" applyFont="1" applyFill="1" applyAlignment="1">
      <alignment horizontal="center" vertical="center"/>
    </xf>
    <xf numFmtId="41" fontId="0" fillId="26" borderId="0" xfId="0" applyNumberFormat="1" applyFill="1">
      <alignment vertical="center"/>
    </xf>
    <xf numFmtId="43" fontId="7" fillId="26" borderId="0" xfId="0" applyNumberFormat="1" applyFont="1" applyFill="1">
      <alignment vertical="center"/>
    </xf>
    <xf numFmtId="0" fontId="0" fillId="26" borderId="9" xfId="0" applyFill="1" applyBorder="1">
      <alignment vertical="center"/>
    </xf>
    <xf numFmtId="0" fontId="0" fillId="26" borderId="4" xfId="0" applyFill="1" applyBorder="1">
      <alignment vertical="center"/>
    </xf>
    <xf numFmtId="0" fontId="0" fillId="26" borderId="12" xfId="0" applyFill="1" applyBorder="1">
      <alignment vertical="center"/>
    </xf>
    <xf numFmtId="0" fontId="0" fillId="26" borderId="13" xfId="0" applyFill="1" applyBorder="1">
      <alignment vertical="center"/>
    </xf>
    <xf numFmtId="176" fontId="10" fillId="20" borderId="0" xfId="2" applyNumberFormat="1" applyFont="1" applyFill="1" applyAlignment="1" applyProtection="1">
      <alignment horizontal="center" vertical="center"/>
      <protection locked="0"/>
    </xf>
    <xf numFmtId="9" fontId="10" fillId="20" borderId="0" xfId="2" applyFont="1" applyFill="1" applyAlignment="1" applyProtection="1">
      <alignment horizontal="center" vertical="center"/>
      <protection locked="0"/>
    </xf>
    <xf numFmtId="0" fontId="0" fillId="26" borderId="4" xfId="0" applyFill="1" applyBorder="1" applyAlignment="1">
      <alignment horizontal="center" vertical="center"/>
    </xf>
    <xf numFmtId="187" fontId="0" fillId="11" borderId="0" xfId="0" applyNumberFormat="1" applyFill="1" applyAlignment="1">
      <alignment horizontal="center" vertical="center"/>
    </xf>
    <xf numFmtId="0" fontId="0" fillId="22" borderId="12" xfId="0" applyFill="1" applyBorder="1">
      <alignment vertical="center"/>
    </xf>
    <xf numFmtId="0" fontId="0" fillId="22" borderId="13" xfId="0" applyFill="1" applyBorder="1">
      <alignment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6" fillId="0" borderId="0" xfId="5" applyAlignment="1">
      <alignment horizontal="center" vertical="center"/>
    </xf>
    <xf numFmtId="0" fontId="23" fillId="6" borderId="0" xfId="3" applyFont="1" applyFill="1" applyAlignment="1" applyProtection="1">
      <alignment horizontal="center" vertical="center"/>
      <protection locked="0"/>
    </xf>
    <xf numFmtId="0" fontId="12" fillId="6" borderId="0" xfId="3" applyFont="1" applyFill="1" applyAlignment="1">
      <alignment horizontal="center" vertical="center" wrapText="1"/>
    </xf>
    <xf numFmtId="0" fontId="24" fillId="2" borderId="0" xfId="3" applyFont="1" applyFill="1" applyAlignment="1">
      <alignment horizontal="center" vertical="center" wrapText="1"/>
    </xf>
    <xf numFmtId="0" fontId="23" fillId="2" borderId="0" xfId="3" applyFont="1" applyFill="1" applyAlignment="1">
      <alignment horizontal="center" vertical="center" wrapText="1"/>
    </xf>
    <xf numFmtId="0" fontId="13" fillId="6" borderId="0" xfId="3" applyFont="1" applyFill="1" applyAlignment="1">
      <alignment horizontal="center" vertical="center" wrapText="1"/>
    </xf>
    <xf numFmtId="0" fontId="13" fillId="10" borderId="0" xfId="3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23" fillId="10" borderId="0" xfId="3" applyFont="1" applyFill="1" applyAlignment="1">
      <alignment horizontal="center" vertical="center" wrapText="1"/>
    </xf>
    <xf numFmtId="0" fontId="23" fillId="6" borderId="0" xfId="3" applyFont="1" applyFill="1" applyAlignment="1">
      <alignment horizontal="center" vertical="center" wrapText="1"/>
    </xf>
    <xf numFmtId="0" fontId="23" fillId="3" borderId="0" xfId="3" applyFont="1" applyFill="1" applyAlignment="1">
      <alignment horizontal="center" vertical="center" wrapText="1"/>
    </xf>
    <xf numFmtId="0" fontId="24" fillId="3" borderId="0" xfId="3" applyFont="1" applyFill="1" applyAlignment="1">
      <alignment horizontal="center" vertical="center" wrapText="1"/>
    </xf>
    <xf numFmtId="0" fontId="25" fillId="0" borderId="0" xfId="0" applyFont="1">
      <alignment vertical="center"/>
    </xf>
    <xf numFmtId="0" fontId="0" fillId="0" borderId="0" xfId="0" applyAlignment="1">
      <alignment vertical="center" wrapText="1"/>
    </xf>
    <xf numFmtId="0" fontId="24" fillId="10" borderId="0" xfId="3" applyFont="1" applyFill="1" applyAlignment="1">
      <alignment horizontal="center" vertical="center" wrapText="1"/>
    </xf>
    <xf numFmtId="0" fontId="24" fillId="6" borderId="0" xfId="3" applyFont="1" applyFill="1" applyAlignment="1">
      <alignment horizontal="center" vertical="center" wrapText="1"/>
    </xf>
    <xf numFmtId="0" fontId="0" fillId="13" borderId="57" xfId="0" applyFill="1" applyBorder="1" applyAlignment="1">
      <alignment horizontal="center" vertical="center" wrapText="1"/>
    </xf>
    <xf numFmtId="182" fontId="0" fillId="0" borderId="0" xfId="0" applyNumberFormat="1">
      <alignment vertical="center"/>
    </xf>
    <xf numFmtId="0" fontId="7" fillId="26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23" fillId="10" borderId="0" xfId="3" applyFont="1" applyFill="1" applyAlignment="1">
      <alignment horizontal="center" vertical="center" wrapText="1"/>
    </xf>
    <xf numFmtId="0" fontId="23" fillId="6" borderId="0" xfId="3" applyFont="1" applyFill="1" applyAlignment="1">
      <alignment horizontal="center" vertical="center" wrapText="1"/>
    </xf>
    <xf numFmtId="0" fontId="23" fillId="3" borderId="0" xfId="3" applyFont="1" applyFill="1" applyAlignment="1">
      <alignment horizontal="center" vertical="center" wrapText="1"/>
    </xf>
    <xf numFmtId="0" fontId="6" fillId="26" borderId="0" xfId="0" applyFont="1" applyFill="1" applyAlignment="1">
      <alignment horizontal="left" vertical="center" indent="1"/>
    </xf>
    <xf numFmtId="0" fontId="0" fillId="0" borderId="0" xfId="0" applyFill="1" applyBorder="1" applyAlignment="1">
      <alignment horizontal="center" vertical="center" wrapText="1"/>
    </xf>
    <xf numFmtId="0" fontId="23" fillId="0" borderId="0" xfId="3" applyFont="1" applyFill="1" applyAlignment="1">
      <alignment horizontal="center" vertical="center" wrapText="1"/>
    </xf>
    <xf numFmtId="0" fontId="24" fillId="0" borderId="0" xfId="3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0" xfId="3" applyAlignment="1">
      <alignment vertical="center"/>
    </xf>
    <xf numFmtId="0" fontId="0" fillId="4" borderId="12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184" fontId="0" fillId="11" borderId="13" xfId="0" applyNumberFormat="1" applyFill="1" applyBorder="1" applyAlignment="1">
      <alignment horizontal="center" vertical="center"/>
    </xf>
    <xf numFmtId="184" fontId="0" fillId="11" borderId="14" xfId="0" applyNumberForma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14" fillId="16" borderId="0" xfId="3" applyFont="1" applyFill="1" applyProtection="1">
      <alignment vertical="center"/>
      <protection locked="0"/>
    </xf>
    <xf numFmtId="0" fontId="10" fillId="16" borderId="0" xfId="0" applyFont="1" applyFill="1">
      <alignment vertical="center"/>
    </xf>
    <xf numFmtId="0" fontId="10" fillId="16" borderId="0" xfId="0" applyFont="1" applyFill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/>
      <protection locked="0"/>
    </xf>
    <xf numFmtId="0" fontId="14" fillId="0" borderId="0" xfId="3" applyFont="1" applyProtection="1">
      <alignment vertical="center"/>
      <protection locked="0"/>
    </xf>
    <xf numFmtId="181" fontId="0" fillId="11" borderId="0" xfId="0" applyNumberFormat="1" applyFill="1" applyAlignment="1">
      <alignment horizontal="center" vertical="center"/>
    </xf>
    <xf numFmtId="184" fontId="0" fillId="11" borderId="0" xfId="0" applyNumberFormat="1" applyFill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181" fontId="0" fillId="14" borderId="0" xfId="0" applyNumberFormat="1" applyFill="1" applyAlignment="1">
      <alignment horizontal="center" vertical="center"/>
    </xf>
    <xf numFmtId="184" fontId="0" fillId="14" borderId="0" xfId="0" applyNumberFormat="1" applyFill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181" fontId="0" fillId="13" borderId="0" xfId="0" applyNumberFormat="1" applyFill="1" applyAlignment="1">
      <alignment horizontal="center" vertical="center"/>
    </xf>
    <xf numFmtId="184" fontId="0" fillId="13" borderId="0" xfId="0" applyNumberFormat="1" applyFill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181" fontId="0" fillId="9" borderId="0" xfId="0" applyNumberFormat="1" applyFill="1" applyAlignment="1">
      <alignment horizontal="center" vertical="center"/>
    </xf>
    <xf numFmtId="184" fontId="0" fillId="9" borderId="0" xfId="0" applyNumberFormat="1" applyFill="1" applyAlignment="1">
      <alignment horizontal="center" vertical="center"/>
    </xf>
    <xf numFmtId="177" fontId="10" fillId="11" borderId="0" xfId="0" applyNumberFormat="1" applyFont="1" applyFill="1" applyAlignment="1">
      <alignment horizontal="center" vertical="center"/>
    </xf>
    <xf numFmtId="1" fontId="0" fillId="11" borderId="0" xfId="0" applyNumberFormat="1" applyFill="1" applyAlignment="1">
      <alignment horizontal="center" vertical="center"/>
    </xf>
    <xf numFmtId="178" fontId="10" fillId="11" borderId="0" xfId="0" applyNumberFormat="1" applyFont="1" applyFill="1" applyAlignment="1">
      <alignment horizontal="center" vertical="center"/>
    </xf>
    <xf numFmtId="184" fontId="10" fillId="11" borderId="0" xfId="0" applyNumberFormat="1" applyFont="1" applyFill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184" fontId="10" fillId="11" borderId="13" xfId="0" applyNumberFormat="1" applyFont="1" applyFill="1" applyBorder="1" applyAlignment="1">
      <alignment horizontal="center" vertical="center"/>
    </xf>
    <xf numFmtId="0" fontId="0" fillId="10" borderId="9" xfId="0" applyFill="1" applyBorder="1">
      <alignment vertical="center"/>
    </xf>
    <xf numFmtId="180" fontId="10" fillId="16" borderId="0" xfId="0" applyNumberFormat="1" applyFont="1" applyFill="1" applyAlignment="1" applyProtection="1">
      <alignment horizontal="center" vertical="center"/>
      <protection locked="0"/>
    </xf>
    <xf numFmtId="1" fontId="0" fillId="11" borderId="17" xfId="0" applyNumberFormat="1" applyFill="1" applyBorder="1" applyAlignment="1">
      <alignment horizontal="center" vertical="center"/>
    </xf>
    <xf numFmtId="179" fontId="10" fillId="16" borderId="0" xfId="0" applyNumberFormat="1" applyFont="1" applyFill="1" applyAlignment="1" applyProtection="1">
      <alignment horizontal="center" vertical="center"/>
      <protection locked="0"/>
    </xf>
    <xf numFmtId="1" fontId="0" fillId="11" borderId="14" xfId="0" applyNumberFormat="1" applyFill="1" applyBorder="1" applyAlignment="1">
      <alignment horizontal="center" vertical="center"/>
    </xf>
    <xf numFmtId="9" fontId="0" fillId="0" borderId="0" xfId="2" applyFont="1">
      <alignment vertical="center"/>
    </xf>
    <xf numFmtId="180" fontId="0" fillId="16" borderId="61" xfId="0" applyNumberFormat="1" applyFill="1" applyBorder="1" applyAlignment="1" applyProtection="1">
      <alignment horizontal="center" vertical="center"/>
      <protection locked="0"/>
    </xf>
    <xf numFmtId="0" fontId="0" fillId="28" borderId="0" xfId="0" applyFill="1" applyAlignment="1">
      <alignment horizontal="center" vertical="center"/>
    </xf>
    <xf numFmtId="0" fontId="0" fillId="29" borderId="5" xfId="0" applyFill="1" applyBorder="1" applyAlignment="1">
      <alignment horizontal="center" vertical="center"/>
    </xf>
    <xf numFmtId="0" fontId="0" fillId="30" borderId="25" xfId="0" applyFill="1" applyBorder="1" applyAlignment="1">
      <alignment horizontal="center" vertical="center"/>
    </xf>
    <xf numFmtId="0" fontId="0" fillId="28" borderId="5" xfId="0" applyFill="1" applyBorder="1" applyAlignment="1" applyProtection="1">
      <alignment horizontal="center" vertical="center"/>
      <protection locked="0"/>
    </xf>
    <xf numFmtId="0" fontId="0" fillId="29" borderId="63" xfId="0" applyFill="1" applyBorder="1" applyAlignment="1" applyProtection="1">
      <alignment horizontal="center" vertical="center"/>
      <protection locked="0"/>
    </xf>
    <xf numFmtId="0" fontId="0" fillId="30" borderId="64" xfId="0" applyFill="1" applyBorder="1" applyAlignment="1" applyProtection="1">
      <alignment horizontal="center" vertical="center"/>
      <protection locked="0"/>
    </xf>
    <xf numFmtId="0" fontId="0" fillId="11" borderId="4" xfId="0" applyFill="1" applyBorder="1" applyAlignment="1">
      <alignment horizontal="left" vertical="center"/>
    </xf>
    <xf numFmtId="3" fontId="0" fillId="13" borderId="4" xfId="0" applyNumberFormat="1" applyFill="1" applyBorder="1">
      <alignment vertical="center"/>
    </xf>
    <xf numFmtId="0" fontId="10" fillId="13" borderId="12" xfId="0" applyFont="1" applyFill="1" applyBorder="1">
      <alignment vertical="center"/>
    </xf>
    <xf numFmtId="0" fontId="10" fillId="13" borderId="13" xfId="0" applyFont="1" applyFill="1" applyBorder="1">
      <alignment vertical="center"/>
    </xf>
    <xf numFmtId="0" fontId="0" fillId="13" borderId="9" xfId="0" applyFill="1" applyBorder="1">
      <alignment vertical="center"/>
    </xf>
    <xf numFmtId="0" fontId="0" fillId="13" borderId="10" xfId="0" applyFill="1" applyBorder="1">
      <alignment vertical="center"/>
    </xf>
    <xf numFmtId="0" fontId="0" fillId="13" borderId="11" xfId="0" applyFill="1" applyBorder="1">
      <alignment vertical="center"/>
    </xf>
    <xf numFmtId="0" fontId="10" fillId="13" borderId="4" xfId="0" applyFont="1" applyFill="1" applyBorder="1">
      <alignment vertical="center"/>
    </xf>
    <xf numFmtId="0" fontId="3" fillId="16" borderId="17" xfId="3" applyFill="1" applyBorder="1" applyAlignment="1" applyProtection="1">
      <alignment horizontal="center" vertical="center"/>
      <protection locked="0"/>
    </xf>
    <xf numFmtId="0" fontId="0" fillId="13" borderId="9" xfId="0" applyFill="1" applyBorder="1" applyAlignment="1">
      <alignment horizontal="left" vertical="center"/>
    </xf>
    <xf numFmtId="0" fontId="0" fillId="3" borderId="15" xfId="0" applyFill="1" applyBorder="1" applyAlignment="1">
      <alignment horizontal="center" vertical="center"/>
    </xf>
    <xf numFmtId="0" fontId="0" fillId="16" borderId="11" xfId="0" applyFill="1" applyBorder="1" applyAlignment="1" applyProtection="1">
      <alignment horizontal="center" vertical="center"/>
      <protection locked="0"/>
    </xf>
    <xf numFmtId="0" fontId="0" fillId="13" borderId="4" xfId="0" applyFill="1" applyBorder="1" applyAlignment="1">
      <alignment horizontal="left" vertical="center"/>
    </xf>
    <xf numFmtId="0" fontId="0" fillId="13" borderId="0" xfId="0" applyFill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76" fontId="0" fillId="16" borderId="66" xfId="0" applyNumberFormat="1" applyFill="1" applyBorder="1" applyAlignment="1" applyProtection="1">
      <alignment horizontal="center" vertical="center"/>
      <protection locked="0"/>
    </xf>
    <xf numFmtId="0" fontId="0" fillId="13" borderId="12" xfId="0" applyFill="1" applyBorder="1" applyAlignment="1">
      <alignment horizontal="left" vertical="center"/>
    </xf>
    <xf numFmtId="0" fontId="0" fillId="13" borderId="13" xfId="0" applyFill="1" applyBorder="1" applyAlignment="1">
      <alignment horizontal="center" vertical="center"/>
    </xf>
    <xf numFmtId="0" fontId="0" fillId="16" borderId="67" xfId="0" applyFill="1" applyBorder="1" applyAlignment="1" applyProtection="1">
      <alignment horizontal="center" vertical="center"/>
      <protection locked="0"/>
    </xf>
    <xf numFmtId="1" fontId="0" fillId="26" borderId="0" xfId="0" applyNumberFormat="1" applyFill="1" applyAlignment="1">
      <alignment horizontal="center" vertical="center"/>
    </xf>
    <xf numFmtId="1" fontId="0" fillId="8" borderId="1" xfId="0" applyNumberFormat="1" applyFill="1" applyBorder="1" applyAlignment="1">
      <alignment horizontal="center" vertical="center"/>
    </xf>
    <xf numFmtId="198" fontId="0" fillId="16" borderId="3" xfId="0" applyNumberFormat="1" applyFill="1" applyBorder="1" applyAlignment="1" applyProtection="1">
      <alignment horizontal="center" vertical="center"/>
      <protection locked="0"/>
    </xf>
    <xf numFmtId="1" fontId="0" fillId="8" borderId="9" xfId="0" applyNumberFormat="1" applyFill="1" applyBorder="1" applyAlignment="1">
      <alignment horizontal="center" vertical="center"/>
    </xf>
    <xf numFmtId="0" fontId="0" fillId="29" borderId="11" xfId="0" applyFill="1" applyBorder="1" applyAlignment="1" applyProtection="1">
      <alignment horizontal="center" vertical="center" wrapText="1"/>
      <protection locked="0"/>
    </xf>
    <xf numFmtId="1" fontId="0" fillId="8" borderId="4" xfId="0" applyNumberFormat="1" applyFill="1" applyBorder="1" applyAlignment="1">
      <alignment horizontal="center" vertical="center"/>
    </xf>
    <xf numFmtId="0" fontId="0" fillId="29" borderId="17" xfId="0" applyFill="1" applyBorder="1" applyAlignment="1" applyProtection="1">
      <alignment horizontal="center" vertical="center" wrapText="1"/>
      <protection locked="0"/>
    </xf>
    <xf numFmtId="0" fontId="0" fillId="0" borderId="4" xfId="0" applyBorder="1">
      <alignment vertical="center"/>
    </xf>
    <xf numFmtId="0" fontId="0" fillId="8" borderId="0" xfId="0" applyFill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177" fontId="0" fillId="14" borderId="0" xfId="0" applyNumberFormat="1" applyFill="1" applyAlignment="1">
      <alignment horizontal="center" vertical="center"/>
    </xf>
    <xf numFmtId="177" fontId="0" fillId="14" borderId="17" xfId="0" applyNumberFormat="1" applyFill="1" applyBorder="1" applyAlignment="1">
      <alignment horizontal="center" vertical="center"/>
    </xf>
    <xf numFmtId="177" fontId="0" fillId="14" borderId="13" xfId="0" applyNumberFormat="1" applyFill="1" applyBorder="1" applyAlignment="1">
      <alignment horizontal="center" vertical="center"/>
    </xf>
    <xf numFmtId="177" fontId="0" fillId="14" borderId="14" xfId="0" applyNumberFormat="1" applyFill="1" applyBorder="1" applyAlignment="1">
      <alignment horizontal="center" vertical="center"/>
    </xf>
    <xf numFmtId="177" fontId="0" fillId="26" borderId="0" xfId="0" applyNumberFormat="1" applyFill="1">
      <alignment vertical="center"/>
    </xf>
    <xf numFmtId="0" fontId="0" fillId="26" borderId="0" xfId="0" applyFill="1" applyProtection="1">
      <alignment vertical="center"/>
      <protection locked="0"/>
    </xf>
    <xf numFmtId="199" fontId="0" fillId="16" borderId="10" xfId="0" applyNumberFormat="1" applyFill="1" applyBorder="1" applyAlignment="1" applyProtection="1">
      <alignment horizontal="center" vertical="center"/>
      <protection locked="0"/>
    </xf>
    <xf numFmtId="0" fontId="0" fillId="4" borderId="10" xfId="0" applyFill="1" applyBorder="1">
      <alignment vertical="center"/>
    </xf>
    <xf numFmtId="0" fontId="0" fillId="4" borderId="11" xfId="0" applyFill="1" applyBorder="1">
      <alignment vertical="center"/>
    </xf>
    <xf numFmtId="0" fontId="0" fillId="1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4" borderId="17" xfId="0" applyFill="1" applyBorder="1">
      <alignment vertical="center"/>
    </xf>
    <xf numFmtId="0" fontId="0" fillId="11" borderId="13" xfId="0" applyFill="1" applyBorder="1" applyAlignment="1">
      <alignment horizontal="center" vertical="center"/>
    </xf>
    <xf numFmtId="0" fontId="0" fillId="14" borderId="13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11" borderId="5" xfId="0" applyFill="1" applyBorder="1" applyAlignment="1">
      <alignment horizontal="center" vertical="center"/>
    </xf>
    <xf numFmtId="178" fontId="0" fillId="14" borderId="0" xfId="0" applyNumberFormat="1" applyFill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23" borderId="5" xfId="0" applyFill="1" applyBorder="1" applyAlignment="1" applyProtection="1">
      <alignment horizontal="center" vertical="center"/>
      <protection locked="0"/>
    </xf>
    <xf numFmtId="0" fontId="0" fillId="18" borderId="5" xfId="0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52" xfId="0" applyBorder="1">
      <alignment vertical="center"/>
    </xf>
    <xf numFmtId="0" fontId="0" fillId="0" borderId="50" xfId="0" applyBorder="1">
      <alignment vertical="center"/>
    </xf>
    <xf numFmtId="0" fontId="0" fillId="19" borderId="50" xfId="0" applyFill="1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0" fontId="0" fillId="8" borderId="50" xfId="0" applyFill="1" applyBorder="1" applyAlignment="1">
      <alignment horizontal="center" vertical="center"/>
    </xf>
    <xf numFmtId="0" fontId="0" fillId="5" borderId="53" xfId="0" applyFill="1" applyBorder="1" applyAlignment="1">
      <alignment horizontal="center" vertical="center"/>
    </xf>
    <xf numFmtId="178" fontId="0" fillId="11" borderId="0" xfId="0" applyNumberFormat="1" applyFill="1" applyAlignment="1">
      <alignment horizontal="center" vertical="center"/>
    </xf>
    <xf numFmtId="178" fontId="0" fillId="9" borderId="17" xfId="0" applyNumberFormat="1" applyFill="1" applyBorder="1" applyAlignment="1">
      <alignment horizontal="center" vertical="center"/>
    </xf>
    <xf numFmtId="9" fontId="0" fillId="11" borderId="13" xfId="2" applyFont="1" applyFill="1" applyBorder="1" applyAlignment="1">
      <alignment horizontal="center" vertical="center"/>
    </xf>
    <xf numFmtId="9" fontId="0" fillId="14" borderId="13" xfId="2" applyFont="1" applyFill="1" applyBorder="1" applyAlignment="1">
      <alignment horizontal="center" vertical="center"/>
    </xf>
    <xf numFmtId="9" fontId="0" fillId="9" borderId="14" xfId="2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22" borderId="24" xfId="0" applyFill="1" applyBorder="1" applyAlignment="1">
      <alignment horizontal="center" vertical="center"/>
    </xf>
    <xf numFmtId="0" fontId="0" fillId="23" borderId="25" xfId="0" applyFill="1" applyBorder="1" applyAlignment="1" applyProtection="1">
      <alignment horizontal="center" vertical="center"/>
      <protection locked="0"/>
    </xf>
    <xf numFmtId="0" fontId="2" fillId="26" borderId="0" xfId="0" applyFont="1" applyFill="1" applyAlignment="1">
      <alignment horizontal="center" vertical="center"/>
    </xf>
    <xf numFmtId="9" fontId="2" fillId="26" borderId="0" xfId="0" applyNumberFormat="1" applyFont="1" applyFill="1" applyAlignment="1">
      <alignment horizontal="center" vertical="center"/>
    </xf>
    <xf numFmtId="0" fontId="3" fillId="15" borderId="56" xfId="3" applyFill="1" applyBorder="1" applyAlignment="1" applyProtection="1">
      <alignment horizontal="center" vertical="center"/>
      <protection locked="0"/>
    </xf>
    <xf numFmtId="0" fontId="6" fillId="15" borderId="3" xfId="0" applyFont="1" applyFill="1" applyBorder="1" applyAlignment="1" applyProtection="1">
      <alignment horizontal="center" vertical="center"/>
      <protection locked="0"/>
    </xf>
    <xf numFmtId="9" fontId="2" fillId="26" borderId="0" xfId="2" applyFont="1" applyFill="1" applyAlignment="1">
      <alignment horizontal="center" vertical="center"/>
    </xf>
    <xf numFmtId="0" fontId="7" fillId="26" borderId="0" xfId="0" applyFont="1" applyFill="1" applyAlignment="1">
      <alignment horizontal="center" vertical="center"/>
    </xf>
    <xf numFmtId="0" fontId="0" fillId="4" borderId="9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9" fontId="7" fillId="26" borderId="0" xfId="2" applyFont="1" applyFill="1" applyAlignment="1">
      <alignment horizontal="center" vertical="center"/>
    </xf>
    <xf numFmtId="0" fontId="9" fillId="26" borderId="0" xfId="0" applyFont="1" applyFill="1" applyAlignment="1">
      <alignment horizontal="center" vertical="center"/>
    </xf>
    <xf numFmtId="179" fontId="7" fillId="26" borderId="0" xfId="0" applyNumberFormat="1" applyFont="1" applyFill="1" applyAlignment="1">
      <alignment horizontal="center" vertical="center"/>
    </xf>
    <xf numFmtId="184" fontId="7" fillId="26" borderId="0" xfId="0" applyNumberFormat="1" applyFont="1" applyFill="1" applyAlignment="1">
      <alignment horizontal="center" vertical="center"/>
    </xf>
    <xf numFmtId="184" fontId="0" fillId="11" borderId="10" xfId="0" applyNumberFormat="1" applyFill="1" applyBorder="1" applyAlignment="1">
      <alignment horizontal="center" vertical="center"/>
    </xf>
    <xf numFmtId="184" fontId="0" fillId="11" borderId="11" xfId="0" applyNumberFormat="1" applyFill="1" applyBorder="1" applyAlignment="1">
      <alignment horizontal="center" vertical="center"/>
    </xf>
    <xf numFmtId="0" fontId="6" fillId="14" borderId="4" xfId="0" applyFont="1" applyFill="1" applyBorder="1" applyAlignment="1">
      <alignment horizontal="center" vertical="center"/>
    </xf>
    <xf numFmtId="0" fontId="6" fillId="14" borderId="17" xfId="0" applyFont="1" applyFill="1" applyBorder="1" applyAlignment="1">
      <alignment horizontal="center" vertical="center"/>
    </xf>
    <xf numFmtId="0" fontId="3" fillId="15" borderId="22" xfId="3" applyFill="1" applyBorder="1" applyAlignment="1" applyProtection="1">
      <alignment horizontal="center" vertical="center"/>
      <protection locked="0"/>
    </xf>
    <xf numFmtId="0" fontId="3" fillId="15" borderId="23" xfId="3" applyFill="1" applyBorder="1" applyAlignment="1" applyProtection="1">
      <alignment horizontal="center" vertical="center"/>
      <protection locked="0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15" borderId="19" xfId="0" applyFill="1" applyBorder="1" applyAlignment="1" applyProtection="1">
      <alignment horizontal="center" vertical="center"/>
      <protection locked="0"/>
    </xf>
    <xf numFmtId="0" fontId="0" fillId="15" borderId="20" xfId="0" applyFill="1" applyBorder="1" applyAlignment="1" applyProtection="1">
      <alignment horizontal="center" vertical="center"/>
      <protection locked="0"/>
    </xf>
    <xf numFmtId="0" fontId="0" fillId="11" borderId="18" xfId="0" applyFill="1" applyBorder="1" applyAlignment="1">
      <alignment horizontal="center" vertical="center"/>
    </xf>
    <xf numFmtId="0" fontId="0" fillId="11" borderId="19" xfId="0" applyFill="1" applyBorder="1" applyAlignment="1">
      <alignment horizontal="center" vertical="center"/>
    </xf>
    <xf numFmtId="177" fontId="0" fillId="11" borderId="19" xfId="0" applyNumberFormat="1" applyFill="1" applyBorder="1" applyAlignment="1">
      <alignment horizontal="center" vertical="center"/>
    </xf>
    <xf numFmtId="0" fontId="6" fillId="14" borderId="9" xfId="0" applyFont="1" applyFill="1" applyBorder="1" applyAlignment="1">
      <alignment horizontal="center" vertical="center"/>
    </xf>
    <xf numFmtId="0" fontId="6" fillId="14" borderId="11" xfId="0" applyFont="1" applyFill="1" applyBorder="1" applyAlignment="1">
      <alignment horizontal="center" vertical="center"/>
    </xf>
    <xf numFmtId="183" fontId="6" fillId="3" borderId="9" xfId="0" applyNumberFormat="1" applyFont="1" applyFill="1" applyBorder="1" applyAlignment="1">
      <alignment horizontal="center" vertical="center"/>
    </xf>
    <xf numFmtId="183" fontId="6" fillId="3" borderId="11" xfId="0" applyNumberFormat="1" applyFont="1" applyFill="1" applyBorder="1" applyAlignment="1">
      <alignment horizontal="center" vertical="center"/>
    </xf>
    <xf numFmtId="180" fontId="10" fillId="16" borderId="12" xfId="0" applyNumberFormat="1" applyFont="1" applyFill="1" applyBorder="1" applyAlignment="1" applyProtection="1">
      <alignment horizontal="center" vertical="center"/>
      <protection locked="0"/>
    </xf>
    <xf numFmtId="180" fontId="10" fillId="16" borderId="14" xfId="0" applyNumberFormat="1" applyFont="1" applyFill="1" applyBorder="1" applyAlignment="1" applyProtection="1">
      <alignment horizontal="center" vertical="center"/>
      <protection locked="0"/>
    </xf>
    <xf numFmtId="0" fontId="0" fillId="11" borderId="24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177" fontId="0" fillId="11" borderId="5" xfId="0" applyNumberFormat="1" applyFill="1" applyBorder="1" applyAlignment="1">
      <alignment horizontal="center" vertical="center"/>
    </xf>
    <xf numFmtId="178" fontId="0" fillId="14" borderId="0" xfId="0" applyNumberFormat="1" applyFill="1" applyAlignment="1">
      <alignment horizontal="center" vertical="center"/>
    </xf>
    <xf numFmtId="178" fontId="0" fillId="14" borderId="17" xfId="0" applyNumberFormat="1" applyFill="1" applyBorder="1" applyAlignment="1">
      <alignment horizontal="center" vertical="center"/>
    </xf>
    <xf numFmtId="178" fontId="10" fillId="2" borderId="50" xfId="0" applyNumberFormat="1" applyFont="1" applyFill="1" applyBorder="1" applyAlignment="1" applyProtection="1">
      <alignment horizontal="center" vertical="center"/>
      <protection locked="0"/>
    </xf>
    <xf numFmtId="178" fontId="10" fillId="2" borderId="51" xfId="0" applyNumberFormat="1" applyFont="1" applyFill="1" applyBorder="1" applyAlignment="1" applyProtection="1">
      <alignment horizontal="center" vertical="center"/>
      <protection locked="0"/>
    </xf>
    <xf numFmtId="0" fontId="0" fillId="13" borderId="52" xfId="0" applyFill="1" applyBorder="1" applyAlignment="1">
      <alignment horizontal="center" vertical="center" wrapText="1"/>
    </xf>
    <xf numFmtId="0" fontId="0" fillId="13" borderId="50" xfId="0" applyFill="1" applyBorder="1" applyAlignment="1">
      <alignment horizontal="center" vertical="center" wrapText="1"/>
    </xf>
    <xf numFmtId="0" fontId="0" fillId="13" borderId="53" xfId="0" applyFill="1" applyBorder="1" applyAlignment="1">
      <alignment horizontal="center" vertical="center" wrapText="1"/>
    </xf>
    <xf numFmtId="0" fontId="0" fillId="13" borderId="12" xfId="0" applyFill="1" applyBorder="1" applyAlignment="1">
      <alignment horizontal="center" vertical="center" wrapText="1"/>
    </xf>
    <xf numFmtId="0" fontId="0" fillId="13" borderId="13" xfId="0" applyFill="1" applyBorder="1" applyAlignment="1">
      <alignment horizontal="center" vertical="center" wrapText="1"/>
    </xf>
    <xf numFmtId="0" fontId="0" fillId="13" borderId="14" xfId="0" applyFill="1" applyBorder="1" applyAlignment="1">
      <alignment horizontal="center" vertical="center" wrapText="1"/>
    </xf>
    <xf numFmtId="0" fontId="0" fillId="14" borderId="21" xfId="0" applyFill="1" applyBorder="1" applyAlignment="1">
      <alignment horizontal="center" vertical="center"/>
    </xf>
    <xf numFmtId="0" fontId="0" fillId="14" borderId="22" xfId="0" applyFill="1" applyBorder="1" applyAlignment="1">
      <alignment horizontal="center" vertical="center"/>
    </xf>
    <xf numFmtId="0" fontId="0" fillId="14" borderId="23" xfId="0" applyFill="1" applyBorder="1" applyAlignment="1">
      <alignment horizontal="center" vertical="center"/>
    </xf>
    <xf numFmtId="182" fontId="0" fillId="0" borderId="5" xfId="0" applyNumberFormat="1" applyBorder="1" applyAlignment="1">
      <alignment horizontal="center" vertical="center"/>
    </xf>
    <xf numFmtId="182" fontId="0" fillId="0" borderId="25" xfId="0" applyNumberFormat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10" fillId="16" borderId="19" xfId="0" applyFont="1" applyFill="1" applyBorder="1" applyAlignment="1" applyProtection="1">
      <alignment horizontal="center" vertical="center"/>
      <protection locked="0"/>
    </xf>
    <xf numFmtId="0" fontId="10" fillId="16" borderId="20" xfId="0" applyFont="1" applyFill="1" applyBorder="1" applyAlignment="1" applyProtection="1">
      <alignment horizontal="center" vertical="center"/>
      <protection locked="0"/>
    </xf>
    <xf numFmtId="0" fontId="0" fillId="10" borderId="1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0" fillId="16" borderId="1" xfId="0" applyFont="1" applyFill="1" applyBorder="1" applyAlignment="1">
      <alignment horizontal="center" vertical="center"/>
    </xf>
    <xf numFmtId="0" fontId="10" fillId="16" borderId="2" xfId="0" applyFont="1" applyFill="1" applyBorder="1" applyAlignment="1">
      <alignment horizontal="center" vertical="center"/>
    </xf>
    <xf numFmtId="0" fontId="10" fillId="16" borderId="3" xfId="0" applyFont="1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176" fontId="10" fillId="16" borderId="19" xfId="2" applyNumberFormat="1" applyFont="1" applyFill="1" applyBorder="1" applyAlignment="1" applyProtection="1">
      <alignment horizontal="center" vertical="center"/>
      <protection locked="0"/>
    </xf>
    <xf numFmtId="176" fontId="10" fillId="16" borderId="20" xfId="2" applyNumberFormat="1" applyFont="1" applyFill="1" applyBorder="1" applyAlignment="1" applyProtection="1">
      <alignment horizontal="center" vertical="center"/>
      <protection locked="0"/>
    </xf>
    <xf numFmtId="9" fontId="0" fillId="10" borderId="7" xfId="2" applyFont="1" applyFill="1" applyBorder="1" applyAlignment="1">
      <alignment horizontal="center" vertical="center"/>
    </xf>
    <xf numFmtId="9" fontId="0" fillId="10" borderId="8" xfId="2" applyFont="1" applyFill="1" applyBorder="1" applyAlignment="1">
      <alignment horizontal="center" vertical="center"/>
    </xf>
    <xf numFmtId="9" fontId="10" fillId="16" borderId="7" xfId="2" applyFont="1" applyFill="1" applyBorder="1" applyAlignment="1" applyProtection="1">
      <alignment horizontal="center" vertical="center"/>
      <protection locked="0"/>
    </xf>
    <xf numFmtId="9" fontId="10" fillId="16" borderId="8" xfId="2" applyFont="1" applyFill="1" applyBorder="1" applyAlignment="1" applyProtection="1">
      <alignment horizontal="center" vertical="center"/>
      <protection locked="0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10" fillId="16" borderId="5" xfId="0" applyFont="1" applyFill="1" applyBorder="1" applyAlignment="1" applyProtection="1">
      <alignment horizontal="center" vertical="center"/>
      <protection locked="0"/>
    </xf>
    <xf numFmtId="0" fontId="10" fillId="16" borderId="25" xfId="0" applyFont="1" applyFill="1" applyBorder="1" applyAlignment="1" applyProtection="1">
      <alignment horizontal="center" vertical="center"/>
      <protection locked="0"/>
    </xf>
    <xf numFmtId="0" fontId="0" fillId="10" borderId="33" xfId="0" applyFill="1" applyBorder="1" applyAlignment="1">
      <alignment horizontal="right" vertical="center"/>
    </xf>
    <xf numFmtId="0" fontId="0" fillId="10" borderId="35" xfId="0" applyFill="1" applyBorder="1" applyAlignment="1">
      <alignment horizontal="right" vertical="center"/>
    </xf>
    <xf numFmtId="178" fontId="10" fillId="2" borderId="35" xfId="0" applyNumberFormat="1" applyFont="1" applyFill="1" applyBorder="1" applyAlignment="1">
      <alignment horizontal="center" vertical="center"/>
    </xf>
    <xf numFmtId="178" fontId="10" fillId="2" borderId="49" xfId="0" applyNumberFormat="1" applyFont="1" applyFill="1" applyBorder="1" applyAlignment="1">
      <alignment horizontal="center" vertical="center"/>
    </xf>
    <xf numFmtId="179" fontId="0" fillId="4" borderId="9" xfId="0" applyNumberFormat="1" applyFill="1" applyBorder="1" applyAlignment="1">
      <alignment horizontal="center" vertical="center" wrapText="1"/>
    </xf>
    <xf numFmtId="179" fontId="0" fillId="4" borderId="10" xfId="0" applyNumberFormat="1" applyFill="1" applyBorder="1" applyAlignment="1">
      <alignment horizontal="center" vertical="center" wrapText="1"/>
    </xf>
    <xf numFmtId="179" fontId="0" fillId="4" borderId="11" xfId="0" applyNumberFormat="1" applyFill="1" applyBorder="1" applyAlignment="1">
      <alignment horizontal="center" vertical="center" wrapText="1"/>
    </xf>
    <xf numFmtId="179" fontId="0" fillId="4" borderId="12" xfId="0" applyNumberFormat="1" applyFill="1" applyBorder="1" applyAlignment="1">
      <alignment horizontal="center" vertical="center" wrapText="1"/>
    </xf>
    <xf numFmtId="179" fontId="0" fillId="4" borderId="13" xfId="0" applyNumberFormat="1" applyFill="1" applyBorder="1" applyAlignment="1">
      <alignment horizontal="center" vertical="center" wrapText="1"/>
    </xf>
    <xf numFmtId="179" fontId="0" fillId="4" borderId="14" xfId="0" applyNumberFormat="1" applyFill="1" applyBorder="1" applyAlignment="1">
      <alignment horizontal="center" vertical="center" wrapText="1"/>
    </xf>
    <xf numFmtId="0" fontId="0" fillId="12" borderId="9" xfId="0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12" borderId="36" xfId="0" applyFill="1" applyBorder="1" applyAlignment="1">
      <alignment horizontal="center" vertical="center"/>
    </xf>
    <xf numFmtId="9" fontId="0" fillId="4" borderId="7" xfId="2" applyFont="1" applyFill="1" applyBorder="1" applyAlignment="1">
      <alignment horizontal="center" vertical="center"/>
    </xf>
    <xf numFmtId="9" fontId="0" fillId="4" borderId="8" xfId="2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9" fontId="10" fillId="20" borderId="7" xfId="2" applyFont="1" applyFill="1" applyBorder="1" applyAlignment="1" applyProtection="1">
      <alignment horizontal="center" vertical="center"/>
      <protection locked="0"/>
    </xf>
    <xf numFmtId="9" fontId="10" fillId="20" borderId="8" xfId="2" applyFont="1" applyFill="1" applyBorder="1" applyAlignment="1" applyProtection="1">
      <alignment horizontal="center" vertical="center"/>
      <protection locked="0"/>
    </xf>
    <xf numFmtId="179" fontId="10" fillId="20" borderId="7" xfId="0" applyNumberFormat="1" applyFont="1" applyFill="1" applyBorder="1" applyAlignment="1" applyProtection="1">
      <alignment horizontal="center" vertical="center"/>
      <protection locked="0"/>
    </xf>
    <xf numFmtId="179" fontId="10" fillId="20" borderId="8" xfId="0" applyNumberFormat="1" applyFont="1" applyFill="1" applyBorder="1" applyAlignment="1" applyProtection="1">
      <alignment horizontal="center" vertical="center"/>
      <protection locked="0"/>
    </xf>
    <xf numFmtId="184" fontId="0" fillId="4" borderId="7" xfId="0" applyNumberFormat="1" applyFill="1" applyBorder="1" applyAlignment="1">
      <alignment horizontal="center" vertical="center"/>
    </xf>
    <xf numFmtId="184" fontId="0" fillId="4" borderId="8" xfId="0" applyNumberFormat="1" applyFill="1" applyBorder="1" applyAlignment="1">
      <alignment horizontal="center" vertical="center"/>
    </xf>
    <xf numFmtId="9" fontId="7" fillId="26" borderId="0" xfId="0" applyNumberFormat="1" applyFont="1" applyFill="1" applyAlignment="1">
      <alignment horizontal="center" vertical="center"/>
    </xf>
    <xf numFmtId="41" fontId="0" fillId="3" borderId="9" xfId="0" applyNumberFormat="1" applyFill="1" applyBorder="1" applyAlignment="1">
      <alignment horizontal="center" vertical="center" wrapText="1"/>
    </xf>
    <xf numFmtId="41" fontId="0" fillId="3" borderId="10" xfId="0" applyNumberFormat="1" applyFill="1" applyBorder="1" applyAlignment="1">
      <alignment horizontal="center" vertical="center" wrapText="1"/>
    </xf>
    <xf numFmtId="41" fontId="0" fillId="3" borderId="11" xfId="0" applyNumberFormat="1" applyFill="1" applyBorder="1" applyAlignment="1">
      <alignment horizontal="center" vertical="center" wrapText="1"/>
    </xf>
    <xf numFmtId="41" fontId="0" fillId="3" borderId="4" xfId="0" applyNumberFormat="1" applyFill="1" applyBorder="1" applyAlignment="1">
      <alignment horizontal="center" vertical="center" wrapText="1"/>
    </xf>
    <xf numFmtId="41" fontId="0" fillId="3" borderId="0" xfId="0" applyNumberFormat="1" applyFill="1" applyAlignment="1">
      <alignment horizontal="center" vertical="center" wrapText="1"/>
    </xf>
    <xf numFmtId="41" fontId="0" fillId="3" borderId="17" xfId="0" applyNumberFormat="1" applyFill="1" applyBorder="1" applyAlignment="1">
      <alignment horizontal="center" vertical="center" wrapText="1"/>
    </xf>
    <xf numFmtId="41" fontId="0" fillId="3" borderId="12" xfId="0" applyNumberFormat="1" applyFill="1" applyBorder="1" applyAlignment="1">
      <alignment horizontal="center" vertical="center" wrapText="1"/>
    </xf>
    <xf numFmtId="41" fontId="0" fillId="3" borderId="13" xfId="0" applyNumberFormat="1" applyFill="1" applyBorder="1" applyAlignment="1">
      <alignment horizontal="center" vertical="center" wrapText="1"/>
    </xf>
    <xf numFmtId="41" fontId="0" fillId="3" borderId="14" xfId="0" applyNumberFormat="1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10" fillId="20" borderId="2" xfId="0" applyFont="1" applyFill="1" applyBorder="1" applyAlignment="1" applyProtection="1">
      <alignment horizontal="center" vertical="center"/>
      <protection locked="0"/>
    </xf>
    <xf numFmtId="0" fontId="10" fillId="20" borderId="3" xfId="0" applyFont="1" applyFill="1" applyBorder="1" applyAlignment="1" applyProtection="1">
      <alignment horizontal="center" vertical="center"/>
      <protection locked="0"/>
    </xf>
    <xf numFmtId="0" fontId="10" fillId="4" borderId="9" xfId="3" applyFont="1" applyFill="1" applyBorder="1" applyAlignment="1">
      <alignment horizontal="center" vertical="center"/>
    </xf>
    <xf numFmtId="0" fontId="10" fillId="4" borderId="10" xfId="3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 wrapText="1"/>
    </xf>
    <xf numFmtId="0" fontId="0" fillId="10" borderId="10" xfId="0" applyFill="1" applyBorder="1" applyAlignment="1">
      <alignment horizontal="center" vertical="center" wrapText="1"/>
    </xf>
    <xf numFmtId="0" fontId="0" fillId="10" borderId="11" xfId="0" applyFill="1" applyBorder="1" applyAlignment="1">
      <alignment horizontal="center" vertical="center" wrapText="1"/>
    </xf>
    <xf numFmtId="0" fontId="0" fillId="10" borderId="12" xfId="0" applyFill="1" applyBorder="1" applyAlignment="1">
      <alignment horizontal="center" vertical="center" wrapText="1"/>
    </xf>
    <xf numFmtId="0" fontId="0" fillId="10" borderId="13" xfId="0" applyFill="1" applyBorder="1" applyAlignment="1">
      <alignment horizontal="center" vertical="center" wrapText="1"/>
    </xf>
    <xf numFmtId="0" fontId="0" fillId="10" borderId="14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184" fontId="0" fillId="11" borderId="12" xfId="0" applyNumberFormat="1" applyFill="1" applyBorder="1" applyAlignment="1">
      <alignment horizontal="center" vertical="center"/>
    </xf>
    <xf numFmtId="184" fontId="0" fillId="11" borderId="13" xfId="0" applyNumberFormat="1" applyFill="1" applyBorder="1" applyAlignment="1">
      <alignment horizontal="center" vertical="center"/>
    </xf>
    <xf numFmtId="184" fontId="0" fillId="11" borderId="14" xfId="0" applyNumberForma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3" borderId="1" xfId="0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 wrapText="1"/>
    </xf>
    <xf numFmtId="0" fontId="0" fillId="13" borderId="3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23" fillId="10" borderId="0" xfId="3" applyFont="1" applyFill="1" applyAlignment="1">
      <alignment horizontal="center" vertical="center" wrapText="1"/>
    </xf>
    <xf numFmtId="0" fontId="24" fillId="10" borderId="0" xfId="3" applyFont="1" applyFill="1" applyAlignment="1">
      <alignment horizontal="center" vertical="center"/>
    </xf>
    <xf numFmtId="0" fontId="23" fillId="6" borderId="0" xfId="3" applyFont="1" applyFill="1" applyAlignment="1">
      <alignment horizontal="center" vertical="center" wrapText="1"/>
    </xf>
    <xf numFmtId="0" fontId="24" fillId="6" borderId="0" xfId="3" applyFont="1" applyFill="1" applyAlignment="1">
      <alignment horizontal="center" vertical="center"/>
    </xf>
    <xf numFmtId="0" fontId="23" fillId="3" borderId="0" xfId="3" applyFont="1" applyFill="1" applyAlignment="1">
      <alignment horizontal="center" vertical="center" wrapText="1"/>
    </xf>
    <xf numFmtId="0" fontId="24" fillId="3" borderId="0" xfId="3" applyFont="1" applyFill="1" applyAlignment="1">
      <alignment horizontal="center" vertical="center"/>
    </xf>
    <xf numFmtId="0" fontId="14" fillId="0" borderId="1" xfId="3" applyFont="1" applyBorder="1" applyAlignment="1">
      <alignment horizontal="center" vertical="center"/>
    </xf>
    <xf numFmtId="0" fontId="14" fillId="0" borderId="2" xfId="3" applyFont="1" applyBorder="1" applyAlignment="1">
      <alignment horizontal="center" vertical="center"/>
    </xf>
    <xf numFmtId="0" fontId="14" fillId="0" borderId="10" xfId="3" applyFont="1" applyBorder="1" applyAlignment="1">
      <alignment horizontal="center" vertical="center"/>
    </xf>
    <xf numFmtId="0" fontId="14" fillId="0" borderId="11" xfId="3" applyFont="1" applyBorder="1" applyAlignment="1">
      <alignment horizontal="center" vertical="center"/>
    </xf>
    <xf numFmtId="0" fontId="0" fillId="22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0" fillId="10" borderId="9" xfId="0" applyFont="1" applyFill="1" applyBorder="1" applyAlignment="1">
      <alignment horizontal="center" vertical="center"/>
    </xf>
    <xf numFmtId="0" fontId="10" fillId="10" borderId="10" xfId="0" applyFont="1" applyFill="1" applyBorder="1" applyAlignment="1">
      <alignment horizontal="center" vertical="center"/>
    </xf>
    <xf numFmtId="0" fontId="10" fillId="10" borderId="11" xfId="0" applyFont="1" applyFill="1" applyBorder="1" applyAlignment="1">
      <alignment horizontal="center" vertical="center"/>
    </xf>
    <xf numFmtId="0" fontId="10" fillId="10" borderId="12" xfId="0" applyFont="1" applyFill="1" applyBorder="1" applyAlignment="1">
      <alignment horizontal="center" vertical="center"/>
    </xf>
    <xf numFmtId="0" fontId="10" fillId="10" borderId="13" xfId="0" applyFont="1" applyFill="1" applyBorder="1" applyAlignment="1">
      <alignment horizontal="center" vertical="center"/>
    </xf>
    <xf numFmtId="0" fontId="10" fillId="10" borderId="14" xfId="0" applyFont="1" applyFill="1" applyBorder="1" applyAlignment="1">
      <alignment horizontal="center" vertical="center"/>
    </xf>
    <xf numFmtId="0" fontId="10" fillId="10" borderId="0" xfId="0" applyFont="1" applyFill="1" applyAlignment="1">
      <alignment horizontal="center" vertical="center"/>
    </xf>
    <xf numFmtId="0" fontId="10" fillId="11" borderId="0" xfId="0" applyFont="1" applyFill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2" fillId="10" borderId="9" xfId="0" applyFont="1" applyFill="1" applyBorder="1" applyAlignment="1">
      <alignment horizontal="center" vertical="center"/>
    </xf>
    <xf numFmtId="0" fontId="22" fillId="10" borderId="10" xfId="0" applyFont="1" applyFill="1" applyBorder="1" applyAlignment="1">
      <alignment horizontal="center" vertical="center"/>
    </xf>
    <xf numFmtId="0" fontId="22" fillId="10" borderId="11" xfId="0" applyFont="1" applyFill="1" applyBorder="1" applyAlignment="1">
      <alignment horizontal="center" vertical="center"/>
    </xf>
    <xf numFmtId="0" fontId="22" fillId="10" borderId="12" xfId="0" applyFont="1" applyFill="1" applyBorder="1" applyAlignment="1">
      <alignment horizontal="center" vertical="center"/>
    </xf>
    <xf numFmtId="0" fontId="22" fillId="10" borderId="13" xfId="0" applyFont="1" applyFill="1" applyBorder="1" applyAlignment="1">
      <alignment horizontal="center" vertical="center"/>
    </xf>
    <xf numFmtId="0" fontId="22" fillId="10" borderId="14" xfId="0" applyFont="1" applyFill="1" applyBorder="1" applyAlignment="1">
      <alignment horizontal="center" vertical="center"/>
    </xf>
    <xf numFmtId="0" fontId="10" fillId="10" borderId="9" xfId="0" applyFont="1" applyFill="1" applyBorder="1" applyAlignment="1">
      <alignment horizontal="center" vertical="center" wrapText="1"/>
    </xf>
    <xf numFmtId="0" fontId="0" fillId="10" borderId="0" xfId="0" applyFill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0" fontId="26" fillId="14" borderId="9" xfId="0" applyFont="1" applyFill="1" applyBorder="1" applyAlignment="1">
      <alignment horizontal="center" vertical="center"/>
    </xf>
    <xf numFmtId="0" fontId="26" fillId="14" borderId="10" xfId="0" applyFont="1" applyFill="1" applyBorder="1" applyAlignment="1">
      <alignment horizontal="center" vertical="center"/>
    </xf>
    <xf numFmtId="0" fontId="26" fillId="14" borderId="11" xfId="0" applyFont="1" applyFill="1" applyBorder="1" applyAlignment="1">
      <alignment horizontal="center" vertical="center"/>
    </xf>
    <xf numFmtId="0" fontId="26" fillId="14" borderId="12" xfId="0" applyFont="1" applyFill="1" applyBorder="1" applyAlignment="1">
      <alignment horizontal="center" vertical="center"/>
    </xf>
    <xf numFmtId="0" fontId="26" fillId="14" borderId="13" xfId="0" applyFont="1" applyFill="1" applyBorder="1" applyAlignment="1">
      <alignment horizontal="center" vertical="center"/>
    </xf>
    <xf numFmtId="0" fontId="26" fillId="14" borderId="14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20" fillId="12" borderId="9" xfId="0" applyFont="1" applyFill="1" applyBorder="1" applyAlignment="1">
      <alignment horizontal="center" vertical="center"/>
    </xf>
    <xf numFmtId="0" fontId="20" fillId="12" borderId="10" xfId="0" applyFont="1" applyFill="1" applyBorder="1" applyAlignment="1">
      <alignment horizontal="center" vertical="center"/>
    </xf>
    <xf numFmtId="0" fontId="20" fillId="12" borderId="11" xfId="0" applyFont="1" applyFill="1" applyBorder="1" applyAlignment="1">
      <alignment horizontal="center" vertical="center"/>
    </xf>
    <xf numFmtId="0" fontId="20" fillId="12" borderId="4" xfId="0" applyFont="1" applyFill="1" applyBorder="1" applyAlignment="1">
      <alignment horizontal="center" vertical="center"/>
    </xf>
    <xf numFmtId="0" fontId="20" fillId="12" borderId="0" xfId="0" applyFont="1" applyFill="1" applyAlignment="1">
      <alignment horizontal="center" vertical="center"/>
    </xf>
    <xf numFmtId="0" fontId="20" fillId="12" borderId="17" xfId="0" applyFont="1" applyFill="1" applyBorder="1" applyAlignment="1">
      <alignment horizontal="center" vertical="center"/>
    </xf>
    <xf numFmtId="193" fontId="21" fillId="13" borderId="4" xfId="0" applyNumberFormat="1" applyFont="1" applyFill="1" applyBorder="1" applyAlignment="1">
      <alignment horizontal="center" vertical="center"/>
    </xf>
    <xf numFmtId="193" fontId="21" fillId="13" borderId="0" xfId="0" applyNumberFormat="1" applyFont="1" applyFill="1" applyAlignment="1">
      <alignment horizontal="center" vertical="center"/>
    </xf>
    <xf numFmtId="193" fontId="21" fillId="13" borderId="17" xfId="0" applyNumberFormat="1" applyFont="1" applyFill="1" applyBorder="1" applyAlignment="1">
      <alignment horizontal="center" vertical="center"/>
    </xf>
    <xf numFmtId="193" fontId="21" fillId="13" borderId="12" xfId="0" applyNumberFormat="1" applyFont="1" applyFill="1" applyBorder="1" applyAlignment="1">
      <alignment horizontal="center" vertical="center"/>
    </xf>
    <xf numFmtId="193" fontId="21" fillId="13" borderId="13" xfId="0" applyNumberFormat="1" applyFont="1" applyFill="1" applyBorder="1" applyAlignment="1">
      <alignment horizontal="center" vertical="center"/>
    </xf>
    <xf numFmtId="193" fontId="21" fillId="13" borderId="14" xfId="0" applyNumberFormat="1" applyFont="1" applyFill="1" applyBorder="1" applyAlignment="1">
      <alignment horizontal="center" vertical="center"/>
    </xf>
    <xf numFmtId="0" fontId="6" fillId="11" borderId="4" xfId="0" applyFont="1" applyFill="1" applyBorder="1" applyAlignment="1">
      <alignment horizontal="center" vertical="center" wrapText="1"/>
    </xf>
    <xf numFmtId="0" fontId="6" fillId="11" borderId="0" xfId="0" applyFont="1" applyFill="1" applyAlignment="1">
      <alignment horizontal="center" vertical="center" wrapText="1"/>
    </xf>
    <xf numFmtId="0" fontId="6" fillId="11" borderId="17" xfId="0" applyFont="1" applyFill="1" applyBorder="1" applyAlignment="1">
      <alignment horizontal="center" vertical="center" wrapText="1"/>
    </xf>
    <xf numFmtId="0" fontId="20" fillId="12" borderId="15" xfId="0" applyFont="1" applyFill="1" applyBorder="1" applyAlignment="1">
      <alignment horizontal="center" vertical="center"/>
    </xf>
    <xf numFmtId="0" fontId="20" fillId="12" borderId="39" xfId="0" applyFont="1" applyFill="1" applyBorder="1" applyAlignment="1">
      <alignment horizontal="center" vertical="center"/>
    </xf>
    <xf numFmtId="0" fontId="0" fillId="8" borderId="58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180" fontId="0" fillId="16" borderId="59" xfId="0" applyNumberFormat="1" applyFill="1" applyBorder="1" applyAlignment="1" applyProtection="1">
      <alignment horizontal="center" vertical="center"/>
      <protection locked="0"/>
    </xf>
    <xf numFmtId="180" fontId="0" fillId="16" borderId="35" xfId="0" applyNumberFormat="1" applyFill="1" applyBorder="1" applyAlignment="1" applyProtection="1">
      <alignment horizontal="center" vertical="center"/>
      <protection locked="0"/>
    </xf>
    <xf numFmtId="180" fontId="0" fillId="16" borderId="34" xfId="0" applyNumberFormat="1" applyFill="1" applyBorder="1" applyAlignment="1" applyProtection="1">
      <alignment horizontal="center" vertical="center"/>
      <protection locked="0"/>
    </xf>
    <xf numFmtId="189" fontId="27" fillId="16" borderId="39" xfId="0" applyNumberFormat="1" applyFont="1" applyFill="1" applyBorder="1" applyAlignment="1" applyProtection="1">
      <alignment horizontal="center" vertical="center"/>
      <protection locked="0"/>
    </xf>
    <xf numFmtId="189" fontId="27" fillId="16" borderId="61" xfId="0" applyNumberFormat="1" applyFont="1" applyFill="1" applyBorder="1" applyAlignment="1" applyProtection="1">
      <alignment horizontal="center" vertical="center"/>
      <protection locked="0"/>
    </xf>
    <xf numFmtId="0" fontId="6" fillId="8" borderId="60" xfId="0" applyFont="1" applyFill="1" applyBorder="1" applyAlignment="1">
      <alignment horizontal="center" vertical="center"/>
    </xf>
    <xf numFmtId="0" fontId="6" fillId="8" borderId="50" xfId="0" applyFont="1" applyFill="1" applyBorder="1" applyAlignment="1">
      <alignment horizontal="center" vertical="center"/>
    </xf>
    <xf numFmtId="0" fontId="6" fillId="8" borderId="53" xfId="0" applyFont="1" applyFill="1" applyBorder="1" applyAlignment="1">
      <alignment horizontal="center" vertical="center"/>
    </xf>
    <xf numFmtId="177" fontId="26" fillId="14" borderId="62" xfId="0" applyNumberFormat="1" applyFont="1" applyFill="1" applyBorder="1" applyAlignment="1">
      <alignment horizontal="center" vertical="center"/>
    </xf>
    <xf numFmtId="177" fontId="26" fillId="14" borderId="0" xfId="0" applyNumberFormat="1" applyFont="1" applyFill="1" applyAlignment="1">
      <alignment horizontal="center" vertical="center"/>
    </xf>
    <xf numFmtId="177" fontId="26" fillId="14" borderId="17" xfId="0" applyNumberFormat="1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177" fontId="28" fillId="3" borderId="60" xfId="0" applyNumberFormat="1" applyFont="1" applyFill="1" applyBorder="1" applyAlignment="1">
      <alignment horizontal="center" vertical="center"/>
    </xf>
    <xf numFmtId="177" fontId="28" fillId="3" borderId="50" xfId="0" applyNumberFormat="1" applyFont="1" applyFill="1" applyBorder="1" applyAlignment="1">
      <alignment horizontal="center" vertical="center"/>
    </xf>
    <xf numFmtId="177" fontId="28" fillId="3" borderId="53" xfId="0" applyNumberFormat="1" applyFont="1" applyFill="1" applyBorder="1" applyAlignment="1">
      <alignment horizontal="center" vertical="center"/>
    </xf>
    <xf numFmtId="177" fontId="28" fillId="3" borderId="62" xfId="0" applyNumberFormat="1" applyFont="1" applyFill="1" applyBorder="1" applyAlignment="1">
      <alignment horizontal="center" vertical="center"/>
    </xf>
    <xf numFmtId="177" fontId="28" fillId="3" borderId="0" xfId="0" applyNumberFormat="1" applyFont="1" applyFill="1" applyAlignment="1">
      <alignment horizontal="center" vertical="center"/>
    </xf>
    <xf numFmtId="177" fontId="28" fillId="3" borderId="17" xfId="0" applyNumberFormat="1" applyFont="1" applyFill="1" applyBorder="1" applyAlignment="1">
      <alignment horizontal="center" vertical="center"/>
    </xf>
    <xf numFmtId="0" fontId="26" fillId="6" borderId="26" xfId="0" applyFont="1" applyFill="1" applyBorder="1" applyAlignment="1">
      <alignment horizontal="center" vertical="center"/>
    </xf>
    <xf numFmtId="0" fontId="26" fillId="6" borderId="39" xfId="0" applyFont="1" applyFill="1" applyBorder="1" applyAlignment="1">
      <alignment horizontal="center" vertical="center"/>
    </xf>
    <xf numFmtId="177" fontId="29" fillId="14" borderId="62" xfId="0" applyNumberFormat="1" applyFont="1" applyFill="1" applyBorder="1" applyAlignment="1">
      <alignment horizontal="center" vertical="center"/>
    </xf>
    <xf numFmtId="177" fontId="29" fillId="14" borderId="0" xfId="0" applyNumberFormat="1" applyFont="1" applyFill="1" applyAlignment="1">
      <alignment horizontal="center" vertical="center"/>
    </xf>
    <xf numFmtId="177" fontId="29" fillId="14" borderId="17" xfId="0" applyNumberFormat="1" applyFont="1" applyFill="1" applyBorder="1" applyAlignment="1">
      <alignment horizontal="center" vertical="center"/>
    </xf>
    <xf numFmtId="177" fontId="29" fillId="14" borderId="59" xfId="0" applyNumberFormat="1" applyFont="1" applyFill="1" applyBorder="1" applyAlignment="1">
      <alignment horizontal="center" vertical="center"/>
    </xf>
    <xf numFmtId="177" fontId="29" fillId="14" borderId="35" xfId="0" applyNumberFormat="1" applyFont="1" applyFill="1" applyBorder="1" applyAlignment="1">
      <alignment horizontal="center" vertical="center"/>
    </xf>
    <xf numFmtId="177" fontId="29" fillId="14" borderId="34" xfId="0" applyNumberFormat="1" applyFont="1" applyFill="1" applyBorder="1" applyAlignment="1">
      <alignment horizontal="center" vertical="center"/>
    </xf>
    <xf numFmtId="196" fontId="26" fillId="9" borderId="39" xfId="0" applyNumberFormat="1" applyFont="1" applyFill="1" applyBorder="1" applyAlignment="1">
      <alignment horizontal="center" vertical="center"/>
    </xf>
    <xf numFmtId="196" fontId="26" fillId="9" borderId="61" xfId="0" applyNumberFormat="1" applyFont="1" applyFill="1" applyBorder="1" applyAlignment="1">
      <alignment horizontal="center" vertical="center"/>
    </xf>
    <xf numFmtId="197" fontId="26" fillId="10" borderId="4" xfId="0" applyNumberFormat="1" applyFont="1" applyFill="1" applyBorder="1" applyAlignment="1">
      <alignment horizontal="center" vertical="center"/>
    </xf>
    <xf numFmtId="197" fontId="26" fillId="10" borderId="0" xfId="0" applyNumberFormat="1" applyFont="1" applyFill="1" applyAlignment="1">
      <alignment horizontal="center" vertical="center"/>
    </xf>
    <xf numFmtId="197" fontId="26" fillId="10" borderId="17" xfId="0" applyNumberFormat="1" applyFont="1" applyFill="1" applyBorder="1" applyAlignment="1">
      <alignment horizontal="center" vertical="center"/>
    </xf>
    <xf numFmtId="197" fontId="26" fillId="10" borderId="12" xfId="0" applyNumberFormat="1" applyFont="1" applyFill="1" applyBorder="1" applyAlignment="1">
      <alignment horizontal="center" vertical="center"/>
    </xf>
    <xf numFmtId="197" fontId="26" fillId="10" borderId="13" xfId="0" applyNumberFormat="1" applyFont="1" applyFill="1" applyBorder="1" applyAlignment="1">
      <alignment horizontal="center" vertical="center"/>
    </xf>
    <xf numFmtId="197" fontId="26" fillId="10" borderId="14" xfId="0" applyNumberFormat="1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14" fillId="16" borderId="12" xfId="3" applyFont="1" applyFill="1" applyBorder="1" applyAlignment="1" applyProtection="1">
      <alignment horizontal="center" vertical="center"/>
      <protection locked="0"/>
    </xf>
    <xf numFmtId="0" fontId="14" fillId="16" borderId="14" xfId="3" applyFont="1" applyFill="1" applyBorder="1" applyAlignment="1" applyProtection="1">
      <alignment horizontal="center" vertical="center"/>
      <protection locked="0"/>
    </xf>
    <xf numFmtId="0" fontId="0" fillId="17" borderId="9" xfId="0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11" xfId="0" applyFill="1" applyBorder="1" applyAlignment="1">
      <alignment horizontal="center" vertical="center"/>
    </xf>
    <xf numFmtId="181" fontId="0" fillId="19" borderId="9" xfId="0" applyNumberFormat="1" applyFill="1" applyBorder="1" applyAlignment="1">
      <alignment horizontal="center" vertical="center"/>
    </xf>
    <xf numFmtId="181" fontId="0" fillId="19" borderId="4" xfId="0" applyNumberForma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13" borderId="30" xfId="0" applyFill="1" applyBorder="1" applyAlignment="1">
      <alignment horizontal="center" vertical="center" wrapText="1"/>
    </xf>
    <xf numFmtId="0" fontId="0" fillId="13" borderId="31" xfId="0" applyFill="1" applyBorder="1" applyAlignment="1">
      <alignment horizontal="center" vertical="center"/>
    </xf>
    <xf numFmtId="0" fontId="0" fillId="13" borderId="32" xfId="0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3" fillId="16" borderId="0" xfId="3" applyFill="1" applyAlignment="1" applyProtection="1">
      <alignment horizontal="center" vertical="center"/>
      <protection locked="0"/>
    </xf>
    <xf numFmtId="0" fontId="0" fillId="11" borderId="12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181" fontId="0" fillId="19" borderId="11" xfId="0" applyNumberFormat="1" applyFill="1" applyBorder="1" applyAlignment="1">
      <alignment horizontal="center" vertical="center"/>
    </xf>
    <xf numFmtId="181" fontId="0" fillId="19" borderId="14" xfId="0" applyNumberForma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10" borderId="31" xfId="0" applyFill="1" applyBorder="1" applyAlignment="1">
      <alignment horizontal="center" vertical="center"/>
    </xf>
    <xf numFmtId="184" fontId="0" fillId="18" borderId="4" xfId="0" applyNumberFormat="1" applyFill="1" applyBorder="1" applyAlignment="1">
      <alignment horizontal="center" vertical="center"/>
    </xf>
    <xf numFmtId="181" fontId="0" fillId="14" borderId="0" xfId="0" applyNumberFormat="1" applyFill="1" applyAlignment="1">
      <alignment horizontal="center" vertical="center"/>
    </xf>
    <xf numFmtId="9" fontId="0" fillId="11" borderId="17" xfId="2" applyFont="1" applyFill="1" applyBorder="1" applyAlignment="1">
      <alignment horizontal="center" vertical="center"/>
    </xf>
    <xf numFmtId="0" fontId="0" fillId="10" borderId="32" xfId="0" applyFill="1" applyBorder="1" applyAlignment="1">
      <alignment horizontal="center" vertical="center"/>
    </xf>
    <xf numFmtId="184" fontId="0" fillId="18" borderId="12" xfId="0" applyNumberFormat="1" applyFill="1" applyBorder="1" applyAlignment="1">
      <alignment horizontal="center" vertical="center"/>
    </xf>
    <xf numFmtId="181" fontId="0" fillId="14" borderId="13" xfId="0" applyNumberFormat="1" applyFill="1" applyBorder="1" applyAlignment="1">
      <alignment horizontal="center" vertical="center"/>
    </xf>
    <xf numFmtId="9" fontId="0" fillId="11" borderId="14" xfId="2" applyFont="1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14" borderId="0" xfId="0" applyFill="1" applyAlignment="1" applyProtection="1">
      <alignment horizontal="center" vertical="center"/>
      <protection locked="0"/>
    </xf>
    <xf numFmtId="0" fontId="0" fillId="14" borderId="17" xfId="0" applyFill="1" applyBorder="1" applyAlignment="1" applyProtection="1">
      <alignment horizontal="center" vertical="center"/>
      <protection locked="0"/>
    </xf>
    <xf numFmtId="0" fontId="19" fillId="0" borderId="0" xfId="5" applyFont="1" applyAlignment="1">
      <alignment horizontal="center" vertical="center"/>
    </xf>
    <xf numFmtId="0" fontId="6" fillId="13" borderId="9" xfId="5" applyFill="1" applyBorder="1" applyAlignment="1">
      <alignment horizontal="center" vertical="center"/>
    </xf>
    <xf numFmtId="0" fontId="6" fillId="13" borderId="10" xfId="5" applyFill="1" applyBorder="1" applyAlignment="1">
      <alignment horizontal="center" vertical="center"/>
    </xf>
    <xf numFmtId="0" fontId="6" fillId="13" borderId="11" xfId="5" applyFill="1" applyBorder="1" applyAlignment="1">
      <alignment horizontal="center" vertical="center"/>
    </xf>
    <xf numFmtId="0" fontId="6" fillId="13" borderId="12" xfId="5" applyFill="1" applyBorder="1" applyAlignment="1">
      <alignment horizontal="center" vertical="center"/>
    </xf>
    <xf numFmtId="0" fontId="6" fillId="13" borderId="13" xfId="5" applyFill="1" applyBorder="1" applyAlignment="1">
      <alignment horizontal="center" vertical="center"/>
    </xf>
    <xf numFmtId="0" fontId="6" fillId="13" borderId="14" xfId="5" applyFill="1" applyBorder="1" applyAlignment="1">
      <alignment horizontal="center" vertical="center"/>
    </xf>
    <xf numFmtId="0" fontId="6" fillId="13" borderId="1" xfId="5" applyFill="1" applyBorder="1" applyAlignment="1">
      <alignment horizontal="center" vertical="center"/>
    </xf>
    <xf numFmtId="0" fontId="6" fillId="13" borderId="3" xfId="5" applyFill="1" applyBorder="1" applyAlignment="1">
      <alignment horizontal="center" vertical="center"/>
    </xf>
    <xf numFmtId="0" fontId="6" fillId="13" borderId="9" xfId="5" applyFill="1" applyBorder="1" applyAlignment="1">
      <alignment horizontal="center" vertical="center" wrapText="1"/>
    </xf>
    <xf numFmtId="0" fontId="6" fillId="13" borderId="10" xfId="5" applyFill="1" applyBorder="1" applyAlignment="1">
      <alignment horizontal="center" vertical="center" wrapText="1"/>
    </xf>
    <xf numFmtId="0" fontId="6" fillId="13" borderId="11" xfId="5" applyFill="1" applyBorder="1" applyAlignment="1">
      <alignment horizontal="center" vertical="center" wrapText="1"/>
    </xf>
    <xf numFmtId="0" fontId="6" fillId="13" borderId="12" xfId="5" applyFill="1" applyBorder="1" applyAlignment="1">
      <alignment horizontal="center" vertical="center" wrapText="1"/>
    </xf>
    <xf numFmtId="0" fontId="6" fillId="13" borderId="13" xfId="5" applyFill="1" applyBorder="1" applyAlignment="1">
      <alignment horizontal="center" vertical="center" wrapText="1"/>
    </xf>
    <xf numFmtId="0" fontId="6" fillId="13" borderId="14" xfId="5" applyFill="1" applyBorder="1" applyAlignment="1">
      <alignment horizontal="center" vertical="center" wrapText="1"/>
    </xf>
    <xf numFmtId="0" fontId="6" fillId="13" borderId="4" xfId="5" applyFill="1" applyBorder="1" applyAlignment="1">
      <alignment horizontal="center" vertical="center" wrapText="1"/>
    </xf>
    <xf numFmtId="0" fontId="6" fillId="13" borderId="0" xfId="5" applyFill="1" applyBorder="1" applyAlignment="1">
      <alignment horizontal="center" vertical="center" wrapText="1"/>
    </xf>
    <xf numFmtId="0" fontId="6" fillId="13" borderId="17" xfId="5" applyFill="1" applyBorder="1" applyAlignment="1">
      <alignment horizontal="center" vertical="center" wrapText="1"/>
    </xf>
    <xf numFmtId="0" fontId="0" fillId="13" borderId="0" xfId="0" applyFill="1" applyAlignment="1">
      <alignment horizontal="center" vertical="center" wrapText="1"/>
    </xf>
    <xf numFmtId="0" fontId="0" fillId="14" borderId="9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14" borderId="11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4" borderId="0" xfId="0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3" fillId="3" borderId="12" xfId="3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20" fillId="13" borderId="9" xfId="0" applyFont="1" applyFill="1" applyBorder="1" applyAlignment="1">
      <alignment horizontal="center" vertical="center"/>
    </xf>
    <xf numFmtId="0" fontId="20" fillId="13" borderId="10" xfId="0" applyFont="1" applyFill="1" applyBorder="1" applyAlignment="1">
      <alignment horizontal="center" vertical="center"/>
    </xf>
    <xf numFmtId="0" fontId="20" fillId="13" borderId="11" xfId="0" applyFont="1" applyFill="1" applyBorder="1" applyAlignment="1">
      <alignment horizontal="center" vertical="center"/>
    </xf>
    <xf numFmtId="0" fontId="20" fillId="13" borderId="4" xfId="0" applyFont="1" applyFill="1" applyBorder="1" applyAlignment="1">
      <alignment horizontal="center" vertical="center"/>
    </xf>
    <xf numFmtId="0" fontId="20" fillId="13" borderId="0" xfId="0" applyFont="1" applyFill="1" applyBorder="1" applyAlignment="1">
      <alignment horizontal="center" vertical="center"/>
    </xf>
    <xf numFmtId="0" fontId="20" fillId="13" borderId="17" xfId="0" applyFont="1" applyFill="1" applyBorder="1" applyAlignment="1">
      <alignment horizontal="center" vertical="center"/>
    </xf>
    <xf numFmtId="0" fontId="20" fillId="13" borderId="12" xfId="0" applyFont="1" applyFill="1" applyBorder="1" applyAlignment="1">
      <alignment horizontal="center" vertical="center"/>
    </xf>
    <xf numFmtId="0" fontId="20" fillId="13" borderId="13" xfId="0" applyFont="1" applyFill="1" applyBorder="1" applyAlignment="1">
      <alignment horizontal="center" vertical="center"/>
    </xf>
    <xf numFmtId="0" fontId="20" fillId="13" borderId="14" xfId="0" applyFont="1" applyFill="1" applyBorder="1" applyAlignment="1">
      <alignment horizontal="center" vertical="center"/>
    </xf>
    <xf numFmtId="0" fontId="30" fillId="10" borderId="0" xfId="0" applyFont="1" applyFill="1" applyAlignment="1">
      <alignment horizontal="center" vertical="center"/>
    </xf>
    <xf numFmtId="0" fontId="31" fillId="4" borderId="9" xfId="0" applyFont="1" applyFill="1" applyBorder="1" applyAlignment="1">
      <alignment horizontal="center" vertical="center"/>
    </xf>
    <xf numFmtId="0" fontId="31" fillId="4" borderId="10" xfId="0" applyFont="1" applyFill="1" applyBorder="1" applyAlignment="1">
      <alignment horizontal="center" vertical="center"/>
    </xf>
    <xf numFmtId="0" fontId="31" fillId="4" borderId="11" xfId="0" applyFont="1" applyFill="1" applyBorder="1" applyAlignment="1">
      <alignment horizontal="center" vertical="center"/>
    </xf>
    <xf numFmtId="0" fontId="31" fillId="4" borderId="12" xfId="0" applyFont="1" applyFill="1" applyBorder="1" applyAlignment="1">
      <alignment horizontal="center" vertical="center"/>
    </xf>
    <xf numFmtId="0" fontId="31" fillId="4" borderId="13" xfId="0" applyFont="1" applyFill="1" applyBorder="1" applyAlignment="1">
      <alignment horizontal="center" vertical="center"/>
    </xf>
    <xf numFmtId="0" fontId="31" fillId="4" borderId="14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10" borderId="58" xfId="0" applyFill="1" applyBorder="1" applyAlignment="1">
      <alignment horizontal="center" vertical="center"/>
    </xf>
    <xf numFmtId="0" fontId="0" fillId="5" borderId="52" xfId="0" applyFill="1" applyBorder="1" applyAlignment="1">
      <alignment horizontal="center" vertical="center" wrapText="1"/>
    </xf>
    <xf numFmtId="0" fontId="0" fillId="5" borderId="51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37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38" xfId="0" applyFill="1" applyBorder="1" applyAlignment="1">
      <alignment horizontal="center" vertical="center"/>
    </xf>
    <xf numFmtId="0" fontId="0" fillId="6" borderId="62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65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32" fillId="3" borderId="9" xfId="0" applyFont="1" applyFill="1" applyBorder="1" applyAlignment="1">
      <alignment horizontal="center" vertical="center" wrapText="1"/>
    </xf>
    <xf numFmtId="0" fontId="33" fillId="3" borderId="10" xfId="0" applyFont="1" applyFill="1" applyBorder="1" applyAlignment="1">
      <alignment horizontal="center" vertical="center"/>
    </xf>
    <xf numFmtId="0" fontId="33" fillId="3" borderId="4" xfId="0" applyFont="1" applyFill="1" applyBorder="1" applyAlignment="1">
      <alignment horizontal="center" vertical="center"/>
    </xf>
    <xf numFmtId="0" fontId="33" fillId="3" borderId="0" xfId="0" applyFont="1" applyFill="1" applyAlignment="1">
      <alignment horizontal="center" vertical="center"/>
    </xf>
    <xf numFmtId="177" fontId="28" fillId="14" borderId="9" xfId="0" applyNumberFormat="1" applyFont="1" applyFill="1" applyBorder="1" applyAlignment="1">
      <alignment horizontal="center" vertical="center"/>
    </xf>
    <xf numFmtId="177" fontId="28" fillId="14" borderId="11" xfId="0" applyNumberFormat="1" applyFont="1" applyFill="1" applyBorder="1" applyAlignment="1">
      <alignment horizontal="center" vertical="center"/>
    </xf>
    <xf numFmtId="177" fontId="28" fillId="14" borderId="4" xfId="0" applyNumberFormat="1" applyFont="1" applyFill="1" applyBorder="1" applyAlignment="1">
      <alignment horizontal="center" vertical="center"/>
    </xf>
    <xf numFmtId="177" fontId="28" fillId="14" borderId="17" xfId="0" applyNumberFormat="1" applyFont="1" applyFill="1" applyBorder="1" applyAlignment="1">
      <alignment horizontal="center" vertical="center"/>
    </xf>
    <xf numFmtId="177" fontId="28" fillId="14" borderId="12" xfId="0" applyNumberFormat="1" applyFont="1" applyFill="1" applyBorder="1" applyAlignment="1">
      <alignment horizontal="center" vertical="center"/>
    </xf>
    <xf numFmtId="177" fontId="28" fillId="14" borderId="14" xfId="0" applyNumberFormat="1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1" fontId="0" fillId="9" borderId="1" xfId="0" applyNumberFormat="1" applyFill="1" applyBorder="1" applyAlignment="1">
      <alignment horizontal="center" vertical="center"/>
    </xf>
    <xf numFmtId="1" fontId="0" fillId="9" borderId="3" xfId="0" applyNumberForma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27" fillId="8" borderId="9" xfId="0" applyFont="1" applyFill="1" applyBorder="1" applyAlignment="1">
      <alignment horizontal="center" vertical="center"/>
    </xf>
    <xf numFmtId="0" fontId="27" fillId="8" borderId="11" xfId="0" applyFont="1" applyFill="1" applyBorder="1" applyAlignment="1">
      <alignment horizontal="center" vertical="center"/>
    </xf>
    <xf numFmtId="0" fontId="27" fillId="8" borderId="4" xfId="0" applyFont="1" applyFill="1" applyBorder="1" applyAlignment="1">
      <alignment horizontal="center" vertical="center"/>
    </xf>
    <xf numFmtId="0" fontId="27" fillId="8" borderId="17" xfId="0" applyFont="1" applyFill="1" applyBorder="1" applyAlignment="1">
      <alignment horizontal="center" vertical="center"/>
    </xf>
    <xf numFmtId="9" fontId="28" fillId="16" borderId="4" xfId="0" applyNumberFormat="1" applyFont="1" applyFill="1" applyBorder="1" applyAlignment="1" applyProtection="1">
      <alignment horizontal="center" vertical="center"/>
      <protection locked="0"/>
    </xf>
    <xf numFmtId="9" fontId="28" fillId="16" borderId="17" xfId="0" applyNumberFormat="1" applyFont="1" applyFill="1" applyBorder="1" applyAlignment="1" applyProtection="1">
      <alignment horizontal="center" vertical="center"/>
      <protection locked="0"/>
    </xf>
    <xf numFmtId="0" fontId="0" fillId="11" borderId="4" xfId="0" applyFill="1" applyBorder="1" applyAlignment="1" applyProtection="1">
      <alignment horizontal="center" vertical="center"/>
      <protection locked="0"/>
    </xf>
    <xf numFmtId="0" fontId="0" fillId="11" borderId="0" xfId="0" applyFill="1" applyAlignment="1" applyProtection="1">
      <alignment horizontal="center" vertical="center"/>
      <protection locked="0"/>
    </xf>
    <xf numFmtId="0" fontId="0" fillId="11" borderId="12" xfId="0" applyFill="1" applyBorder="1" applyAlignment="1" applyProtection="1">
      <alignment horizontal="center" vertical="center"/>
      <protection locked="0"/>
    </xf>
    <xf numFmtId="0" fontId="0" fillId="11" borderId="13" xfId="0" applyFill="1" applyBorder="1" applyAlignment="1" applyProtection="1">
      <alignment horizontal="center" vertical="center"/>
      <protection locked="0"/>
    </xf>
    <xf numFmtId="0" fontId="34" fillId="26" borderId="9" xfId="0" applyFont="1" applyFill="1" applyBorder="1" applyAlignment="1">
      <alignment horizontal="center" vertical="center"/>
    </xf>
    <xf numFmtId="0" fontId="34" fillId="26" borderId="10" xfId="0" applyFont="1" applyFill="1" applyBorder="1" applyAlignment="1">
      <alignment horizontal="center" vertical="center"/>
    </xf>
    <xf numFmtId="0" fontId="34" fillId="26" borderId="11" xfId="0" applyFont="1" applyFill="1" applyBorder="1" applyAlignment="1">
      <alignment horizontal="center" vertical="center"/>
    </xf>
    <xf numFmtId="0" fontId="34" fillId="26" borderId="12" xfId="0" applyFont="1" applyFill="1" applyBorder="1" applyAlignment="1">
      <alignment horizontal="center" vertical="center"/>
    </xf>
    <xf numFmtId="0" fontId="34" fillId="26" borderId="13" xfId="0" applyFont="1" applyFill="1" applyBorder="1" applyAlignment="1">
      <alignment horizontal="center" vertical="center"/>
    </xf>
    <xf numFmtId="0" fontId="34" fillId="26" borderId="14" xfId="0" applyFont="1" applyFill="1" applyBorder="1" applyAlignment="1">
      <alignment horizontal="center" vertical="center"/>
    </xf>
    <xf numFmtId="0" fontId="3" fillId="11" borderId="4" xfId="3" applyFill="1" applyBorder="1" applyAlignment="1" applyProtection="1">
      <alignment horizontal="center" vertical="center"/>
      <protection locked="0"/>
    </xf>
    <xf numFmtId="0" fontId="3" fillId="11" borderId="0" xfId="3" applyFill="1" applyAlignment="1" applyProtection="1">
      <alignment horizontal="center" vertical="center"/>
      <protection locked="0"/>
    </xf>
    <xf numFmtId="0" fontId="0" fillId="0" borderId="52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8" borderId="13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13" borderId="0" xfId="0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13" xfId="0" applyNumberFormat="1" applyBorder="1" applyAlignment="1">
      <alignment horizontal="center" vertical="center"/>
    </xf>
    <xf numFmtId="0" fontId="35" fillId="4" borderId="9" xfId="0" applyFont="1" applyFill="1" applyBorder="1" applyAlignment="1">
      <alignment horizontal="center" vertical="center"/>
    </xf>
    <xf numFmtId="0" fontId="35" fillId="4" borderId="10" xfId="0" applyFont="1" applyFill="1" applyBorder="1" applyAlignment="1">
      <alignment horizontal="center" vertical="center"/>
    </xf>
    <xf numFmtId="0" fontId="35" fillId="4" borderId="11" xfId="0" applyFont="1" applyFill="1" applyBorder="1" applyAlignment="1">
      <alignment horizontal="center" vertical="center"/>
    </xf>
    <xf numFmtId="0" fontId="35" fillId="4" borderId="4" xfId="0" applyFont="1" applyFill="1" applyBorder="1" applyAlignment="1">
      <alignment horizontal="center" vertical="center"/>
    </xf>
    <xf numFmtId="0" fontId="35" fillId="4" borderId="0" xfId="0" applyFont="1" applyFill="1" applyAlignment="1">
      <alignment horizontal="center" vertical="center"/>
    </xf>
    <xf numFmtId="0" fontId="35" fillId="4" borderId="17" xfId="0" applyFont="1" applyFill="1" applyBorder="1" applyAlignment="1">
      <alignment horizontal="center" vertical="center"/>
    </xf>
  </cellXfs>
  <cellStyles count="7">
    <cellStyle name="백분율" xfId="2" builtinId="5"/>
    <cellStyle name="쉼표 [0]" xfId="1" builtinId="6"/>
    <cellStyle name="통화 [0]" xfId="6" builtinId="7"/>
    <cellStyle name="통화 [0] 2" xfId="4" xr:uid="{40A2A0DD-4A53-498F-9951-5A86D927548A}"/>
    <cellStyle name="표준" xfId="0" builtinId="0"/>
    <cellStyle name="표준 2" xfId="5" xr:uid="{252EE5FE-EF62-4E09-94E8-0B081D5C2CA1}"/>
    <cellStyle name="하이퍼링크" xfId="3" builtinId="8"/>
  </cellStyles>
  <dxfs count="0"/>
  <tableStyles count="0" defaultTableStyle="TableStyleMedium2" defaultPivotStyle="PivotStyleLight16"/>
  <colors>
    <mruColors>
      <color rgb="FFE4D2F2"/>
      <color rgb="FFCCCCFF"/>
      <color rgb="FFCC99FF"/>
      <color rgb="FFF0F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9445679311743788E-3"/>
                  <c:y val="-0.131893672697753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cat>
            <c:numRef>
              <c:f>'체중변화_도우미(다이어트, 벌크업)'!$F$4:$AW$4</c:f>
              <c:numCache>
                <c:formatCode>mm"월"\ dd"일"</c:formatCode>
                <c:ptCount val="44"/>
                <c:pt idx="0">
                  <c:v>43640</c:v>
                </c:pt>
                <c:pt idx="1">
                  <c:v>43641</c:v>
                </c:pt>
                <c:pt idx="2">
                  <c:v>43642</c:v>
                </c:pt>
                <c:pt idx="3">
                  <c:v>43643</c:v>
                </c:pt>
                <c:pt idx="4">
                  <c:v>43644</c:v>
                </c:pt>
                <c:pt idx="5">
                  <c:v>43645</c:v>
                </c:pt>
                <c:pt idx="6">
                  <c:v>43646</c:v>
                </c:pt>
                <c:pt idx="7">
                  <c:v>43647</c:v>
                </c:pt>
                <c:pt idx="8">
                  <c:v>43648</c:v>
                </c:pt>
                <c:pt idx="9">
                  <c:v>43649</c:v>
                </c:pt>
                <c:pt idx="10">
                  <c:v>43650</c:v>
                </c:pt>
                <c:pt idx="11">
                  <c:v>43651</c:v>
                </c:pt>
                <c:pt idx="12">
                  <c:v>43652</c:v>
                </c:pt>
                <c:pt idx="13">
                  <c:v>43653</c:v>
                </c:pt>
                <c:pt idx="14">
                  <c:v>43654</c:v>
                </c:pt>
                <c:pt idx="15">
                  <c:v>43655</c:v>
                </c:pt>
                <c:pt idx="16">
                  <c:v>43656</c:v>
                </c:pt>
                <c:pt idx="17">
                  <c:v>43657</c:v>
                </c:pt>
                <c:pt idx="18">
                  <c:v>43658</c:v>
                </c:pt>
                <c:pt idx="19">
                  <c:v>43659</c:v>
                </c:pt>
                <c:pt idx="20">
                  <c:v>43660</c:v>
                </c:pt>
                <c:pt idx="21">
                  <c:v>43661</c:v>
                </c:pt>
                <c:pt idx="22">
                  <c:v>43662</c:v>
                </c:pt>
                <c:pt idx="23">
                  <c:v>43663</c:v>
                </c:pt>
                <c:pt idx="24">
                  <c:v>43664</c:v>
                </c:pt>
                <c:pt idx="25">
                  <c:v>43665</c:v>
                </c:pt>
                <c:pt idx="26">
                  <c:v>43666</c:v>
                </c:pt>
                <c:pt idx="27">
                  <c:v>43667</c:v>
                </c:pt>
                <c:pt idx="28">
                  <c:v>43668</c:v>
                </c:pt>
                <c:pt idx="29">
                  <c:v>43669</c:v>
                </c:pt>
                <c:pt idx="30">
                  <c:v>43670</c:v>
                </c:pt>
                <c:pt idx="31">
                  <c:v>43671</c:v>
                </c:pt>
                <c:pt idx="32">
                  <c:v>43672</c:v>
                </c:pt>
                <c:pt idx="33">
                  <c:v>43673</c:v>
                </c:pt>
                <c:pt idx="34">
                  <c:v>43674</c:v>
                </c:pt>
                <c:pt idx="35">
                  <c:v>43675</c:v>
                </c:pt>
                <c:pt idx="36">
                  <c:v>43676</c:v>
                </c:pt>
                <c:pt idx="37">
                  <c:v>43677</c:v>
                </c:pt>
                <c:pt idx="38">
                  <c:v>43678</c:v>
                </c:pt>
                <c:pt idx="39">
                  <c:v>43679</c:v>
                </c:pt>
                <c:pt idx="40">
                  <c:v>43680</c:v>
                </c:pt>
                <c:pt idx="41">
                  <c:v>43681</c:v>
                </c:pt>
                <c:pt idx="42">
                  <c:v>43682</c:v>
                </c:pt>
                <c:pt idx="43">
                  <c:v>43683</c:v>
                </c:pt>
              </c:numCache>
            </c:numRef>
          </c:cat>
          <c:val>
            <c:numRef>
              <c:f>'체중변화_도우미(다이어트, 벌크업)'!$F$5:$AW$5</c:f>
              <c:numCache>
                <c:formatCode>0.0</c:formatCode>
                <c:ptCount val="44"/>
                <c:pt idx="0">
                  <c:v>62</c:v>
                </c:pt>
                <c:pt idx="1">
                  <c:v>61.928571428571431</c:v>
                </c:pt>
                <c:pt idx="2">
                  <c:v>61.857142857142854</c:v>
                </c:pt>
                <c:pt idx="3">
                  <c:v>61.785714285714285</c:v>
                </c:pt>
                <c:pt idx="4">
                  <c:v>61.714285714285715</c:v>
                </c:pt>
                <c:pt idx="5">
                  <c:v>61.642857142857146</c:v>
                </c:pt>
                <c:pt idx="6">
                  <c:v>61.571428571428569</c:v>
                </c:pt>
                <c:pt idx="7">
                  <c:v>61.5</c:v>
                </c:pt>
                <c:pt idx="8">
                  <c:v>61.428571428571431</c:v>
                </c:pt>
                <c:pt idx="9">
                  <c:v>61.357142857142854</c:v>
                </c:pt>
                <c:pt idx="10">
                  <c:v>61.285714285714285</c:v>
                </c:pt>
                <c:pt idx="11">
                  <c:v>61.214285714285715</c:v>
                </c:pt>
                <c:pt idx="12">
                  <c:v>61.142857142857146</c:v>
                </c:pt>
                <c:pt idx="13">
                  <c:v>61.071428571428569</c:v>
                </c:pt>
                <c:pt idx="14">
                  <c:v>61</c:v>
                </c:pt>
                <c:pt idx="15">
                  <c:v>60.928571428571431</c:v>
                </c:pt>
                <c:pt idx="16">
                  <c:v>60.857142857142854</c:v>
                </c:pt>
                <c:pt idx="17">
                  <c:v>60.785714285714285</c:v>
                </c:pt>
                <c:pt idx="18">
                  <c:v>60.714285714285715</c:v>
                </c:pt>
                <c:pt idx="19">
                  <c:v>60.642857142857146</c:v>
                </c:pt>
                <c:pt idx="20">
                  <c:v>60.571428571428569</c:v>
                </c:pt>
                <c:pt idx="21">
                  <c:v>60.5</c:v>
                </c:pt>
                <c:pt idx="22">
                  <c:v>60.428571428571431</c:v>
                </c:pt>
                <c:pt idx="23">
                  <c:v>60.357142857142854</c:v>
                </c:pt>
                <c:pt idx="24">
                  <c:v>60.285714285714285</c:v>
                </c:pt>
                <c:pt idx="25">
                  <c:v>60.214285714285715</c:v>
                </c:pt>
                <c:pt idx="26">
                  <c:v>60.142857142857146</c:v>
                </c:pt>
                <c:pt idx="27">
                  <c:v>60.071428571428569</c:v>
                </c:pt>
                <c:pt idx="28">
                  <c:v>60</c:v>
                </c:pt>
                <c:pt idx="29">
                  <c:v>59.928571428571431</c:v>
                </c:pt>
                <c:pt idx="30">
                  <c:v>59.857142857142854</c:v>
                </c:pt>
                <c:pt idx="31">
                  <c:v>59.785714285714285</c:v>
                </c:pt>
                <c:pt idx="32">
                  <c:v>59.714285714285715</c:v>
                </c:pt>
                <c:pt idx="33">
                  <c:v>59.642857142857146</c:v>
                </c:pt>
                <c:pt idx="34">
                  <c:v>59.571428571428569</c:v>
                </c:pt>
                <c:pt idx="35">
                  <c:v>59.5</c:v>
                </c:pt>
                <c:pt idx="36">
                  <c:v>59.428571428571431</c:v>
                </c:pt>
                <c:pt idx="37">
                  <c:v>59.357142857142854</c:v>
                </c:pt>
                <c:pt idx="38">
                  <c:v>59.285714285714285</c:v>
                </c:pt>
                <c:pt idx="39">
                  <c:v>59.214285714285715</c:v>
                </c:pt>
                <c:pt idx="40">
                  <c:v>59.142857142857146</c:v>
                </c:pt>
                <c:pt idx="41">
                  <c:v>59.071428571428569</c:v>
                </c:pt>
                <c:pt idx="42">
                  <c:v>59</c:v>
                </c:pt>
                <c:pt idx="43">
                  <c:v>58.928571428571431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28-47B5-9AF5-5C8F67C45B2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8462030609671165E-4"/>
                  <c:y val="5.15477845718520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cat>
            <c:numRef>
              <c:f>'체중변화_도우미(다이어트, 벌크업)'!$F$4:$AW$4</c:f>
              <c:numCache>
                <c:formatCode>mm"월"\ dd"일"</c:formatCode>
                <c:ptCount val="44"/>
                <c:pt idx="0">
                  <c:v>43640</c:v>
                </c:pt>
                <c:pt idx="1">
                  <c:v>43641</c:v>
                </c:pt>
                <c:pt idx="2">
                  <c:v>43642</c:v>
                </c:pt>
                <c:pt idx="3">
                  <c:v>43643</c:v>
                </c:pt>
                <c:pt idx="4">
                  <c:v>43644</c:v>
                </c:pt>
                <c:pt idx="5">
                  <c:v>43645</c:v>
                </c:pt>
                <c:pt idx="6">
                  <c:v>43646</c:v>
                </c:pt>
                <c:pt idx="7">
                  <c:v>43647</c:v>
                </c:pt>
                <c:pt idx="8">
                  <c:v>43648</c:v>
                </c:pt>
                <c:pt idx="9">
                  <c:v>43649</c:v>
                </c:pt>
                <c:pt idx="10">
                  <c:v>43650</c:v>
                </c:pt>
                <c:pt idx="11">
                  <c:v>43651</c:v>
                </c:pt>
                <c:pt idx="12">
                  <c:v>43652</c:v>
                </c:pt>
                <c:pt idx="13">
                  <c:v>43653</c:v>
                </c:pt>
                <c:pt idx="14">
                  <c:v>43654</c:v>
                </c:pt>
                <c:pt idx="15">
                  <c:v>43655</c:v>
                </c:pt>
                <c:pt idx="16">
                  <c:v>43656</c:v>
                </c:pt>
                <c:pt idx="17">
                  <c:v>43657</c:v>
                </c:pt>
                <c:pt idx="18">
                  <c:v>43658</c:v>
                </c:pt>
                <c:pt idx="19">
                  <c:v>43659</c:v>
                </c:pt>
                <c:pt idx="20">
                  <c:v>43660</c:v>
                </c:pt>
                <c:pt idx="21">
                  <c:v>43661</c:v>
                </c:pt>
                <c:pt idx="22">
                  <c:v>43662</c:v>
                </c:pt>
                <c:pt idx="23">
                  <c:v>43663</c:v>
                </c:pt>
                <c:pt idx="24">
                  <c:v>43664</c:v>
                </c:pt>
                <c:pt idx="25">
                  <c:v>43665</c:v>
                </c:pt>
                <c:pt idx="26">
                  <c:v>43666</c:v>
                </c:pt>
                <c:pt idx="27">
                  <c:v>43667</c:v>
                </c:pt>
                <c:pt idx="28">
                  <c:v>43668</c:v>
                </c:pt>
                <c:pt idx="29">
                  <c:v>43669</c:v>
                </c:pt>
                <c:pt idx="30">
                  <c:v>43670</c:v>
                </c:pt>
                <c:pt idx="31">
                  <c:v>43671</c:v>
                </c:pt>
                <c:pt idx="32">
                  <c:v>43672</c:v>
                </c:pt>
                <c:pt idx="33">
                  <c:v>43673</c:v>
                </c:pt>
                <c:pt idx="34">
                  <c:v>43674</c:v>
                </c:pt>
                <c:pt idx="35">
                  <c:v>43675</c:v>
                </c:pt>
                <c:pt idx="36">
                  <c:v>43676</c:v>
                </c:pt>
                <c:pt idx="37">
                  <c:v>43677</c:v>
                </c:pt>
                <c:pt idx="38">
                  <c:v>43678</c:v>
                </c:pt>
                <c:pt idx="39">
                  <c:v>43679</c:v>
                </c:pt>
                <c:pt idx="40">
                  <c:v>43680</c:v>
                </c:pt>
                <c:pt idx="41">
                  <c:v>43681</c:v>
                </c:pt>
                <c:pt idx="42">
                  <c:v>43682</c:v>
                </c:pt>
                <c:pt idx="43">
                  <c:v>43683</c:v>
                </c:pt>
              </c:numCache>
            </c:numRef>
          </c:cat>
          <c:val>
            <c:numRef>
              <c:f>'체중변화_도우미(다이어트, 벌크업)'!$F$6:$AW$6</c:f>
              <c:numCache>
                <c:formatCode>General</c:formatCode>
                <c:ptCount val="44"/>
                <c:pt idx="0">
                  <c:v>62</c:v>
                </c:pt>
                <c:pt idx="1">
                  <c:v>61.7</c:v>
                </c:pt>
                <c:pt idx="2">
                  <c:v>61.5</c:v>
                </c:pt>
                <c:pt idx="3">
                  <c:v>61.2</c:v>
                </c:pt>
                <c:pt idx="4">
                  <c:v>61.099999999999994</c:v>
                </c:pt>
                <c:pt idx="5">
                  <c:v>61.3</c:v>
                </c:pt>
                <c:pt idx="6">
                  <c:v>61.099999999999994</c:v>
                </c:pt>
                <c:pt idx="7">
                  <c:v>61</c:v>
                </c:pt>
                <c:pt idx="8">
                  <c:v>60.900000000000006</c:v>
                </c:pt>
                <c:pt idx="9">
                  <c:v>60.900000000000006</c:v>
                </c:pt>
                <c:pt idx="10">
                  <c:v>61.099999999999994</c:v>
                </c:pt>
                <c:pt idx="11">
                  <c:v>61.099999999999994</c:v>
                </c:pt>
                <c:pt idx="12">
                  <c:v>61</c:v>
                </c:pt>
                <c:pt idx="13">
                  <c:v>61.2</c:v>
                </c:pt>
                <c:pt idx="14">
                  <c:v>60.8</c:v>
                </c:pt>
                <c:pt idx="15">
                  <c:v>60.7</c:v>
                </c:pt>
                <c:pt idx="16">
                  <c:v>60.7</c:v>
                </c:pt>
                <c:pt idx="17">
                  <c:v>60.7</c:v>
                </c:pt>
                <c:pt idx="18">
                  <c:v>60.7</c:v>
                </c:pt>
                <c:pt idx="19">
                  <c:v>60.7</c:v>
                </c:pt>
                <c:pt idx="20">
                  <c:v>60.7</c:v>
                </c:pt>
                <c:pt idx="21">
                  <c:v>60.599999999999994</c:v>
                </c:pt>
                <c:pt idx="22">
                  <c:v>60.650000000000006</c:v>
                </c:pt>
                <c:pt idx="23">
                  <c:v>60.5</c:v>
                </c:pt>
                <c:pt idx="24">
                  <c:v>60.3</c:v>
                </c:pt>
                <c:pt idx="25">
                  <c:v>60.2</c:v>
                </c:pt>
                <c:pt idx="26">
                  <c:v>60</c:v>
                </c:pt>
                <c:pt idx="27">
                  <c:v>59</c:v>
                </c:pt>
                <c:pt idx="28">
                  <c:v>59.2</c:v>
                </c:pt>
                <c:pt idx="29">
                  <c:v>59</c:v>
                </c:pt>
                <c:pt idx="30">
                  <c:v>59.3</c:v>
                </c:pt>
                <c:pt idx="31">
                  <c:v>59.2</c:v>
                </c:pt>
                <c:pt idx="32">
                  <c:v>59.099999999999994</c:v>
                </c:pt>
                <c:pt idx="33">
                  <c:v>58.8</c:v>
                </c:pt>
                <c:pt idx="34">
                  <c:v>58.5</c:v>
                </c:pt>
                <c:pt idx="35">
                  <c:v>57.7</c:v>
                </c:pt>
                <c:pt idx="36">
                  <c:v>60</c:v>
                </c:pt>
                <c:pt idx="37">
                  <c:v>59.599999999999994</c:v>
                </c:pt>
                <c:pt idx="38">
                  <c:v>59.400000000000006</c:v>
                </c:pt>
                <c:pt idx="39">
                  <c:v>59.400000000000006</c:v>
                </c:pt>
                <c:pt idx="40">
                  <c:v>59.3</c:v>
                </c:pt>
                <c:pt idx="41">
                  <c:v>59.2</c:v>
                </c:pt>
                <c:pt idx="42">
                  <c:v>59.099999999999994</c:v>
                </c:pt>
                <c:pt idx="43">
                  <c:v>58.989999999999995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28-47B5-9AF5-5C8F67C45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7360879"/>
        <c:axId val="969117151"/>
      </c:lineChart>
      <c:dateAx>
        <c:axId val="967360879"/>
        <c:scaling>
          <c:orientation val="minMax"/>
        </c:scaling>
        <c:delete val="0"/>
        <c:axPos val="b"/>
        <c:numFmt formatCode="mm&quot;월&quot;\ dd&quot;일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9117151"/>
        <c:crosses val="autoZero"/>
        <c:auto val="1"/>
        <c:lblOffset val="100"/>
        <c:baseTimeUnit val="days"/>
      </c:dateAx>
      <c:valAx>
        <c:axId val="96911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7360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9034979664942464E-4"/>
                  <c:y val="0.186310219829557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cat>
            <c:numRef>
              <c:f>'체중변화_도우미(벌크업, 예시)'!$F$4:$AY$4</c:f>
              <c:numCache>
                <c:formatCode>mm"월"\ dd"일"</c:formatCode>
                <c:ptCount val="46"/>
                <c:pt idx="0">
                  <c:v>43685</c:v>
                </c:pt>
                <c:pt idx="1">
                  <c:v>43686</c:v>
                </c:pt>
                <c:pt idx="2">
                  <c:v>43687</c:v>
                </c:pt>
                <c:pt idx="3">
                  <c:v>43688</c:v>
                </c:pt>
                <c:pt idx="4">
                  <c:v>43689</c:v>
                </c:pt>
                <c:pt idx="5">
                  <c:v>43690</c:v>
                </c:pt>
                <c:pt idx="6">
                  <c:v>43691</c:v>
                </c:pt>
                <c:pt idx="7">
                  <c:v>43692</c:v>
                </c:pt>
                <c:pt idx="8">
                  <c:v>43693</c:v>
                </c:pt>
                <c:pt idx="9">
                  <c:v>43694</c:v>
                </c:pt>
                <c:pt idx="10">
                  <c:v>43695</c:v>
                </c:pt>
                <c:pt idx="11">
                  <c:v>43696</c:v>
                </c:pt>
                <c:pt idx="12">
                  <c:v>43697</c:v>
                </c:pt>
                <c:pt idx="13">
                  <c:v>43698</c:v>
                </c:pt>
                <c:pt idx="14">
                  <c:v>43699</c:v>
                </c:pt>
                <c:pt idx="15">
                  <c:v>43700</c:v>
                </c:pt>
                <c:pt idx="16">
                  <c:v>43701</c:v>
                </c:pt>
                <c:pt idx="17">
                  <c:v>43702</c:v>
                </c:pt>
                <c:pt idx="18">
                  <c:v>43703</c:v>
                </c:pt>
                <c:pt idx="19">
                  <c:v>43704</c:v>
                </c:pt>
                <c:pt idx="20">
                  <c:v>43705</c:v>
                </c:pt>
                <c:pt idx="21">
                  <c:v>43706</c:v>
                </c:pt>
                <c:pt idx="22">
                  <c:v>43707</c:v>
                </c:pt>
                <c:pt idx="23">
                  <c:v>43708</c:v>
                </c:pt>
                <c:pt idx="24">
                  <c:v>43709</c:v>
                </c:pt>
                <c:pt idx="25">
                  <c:v>43710</c:v>
                </c:pt>
                <c:pt idx="26">
                  <c:v>43711</c:v>
                </c:pt>
                <c:pt idx="27">
                  <c:v>43712</c:v>
                </c:pt>
                <c:pt idx="28">
                  <c:v>43713</c:v>
                </c:pt>
                <c:pt idx="29">
                  <c:v>43714</c:v>
                </c:pt>
                <c:pt idx="30">
                  <c:v>43715</c:v>
                </c:pt>
                <c:pt idx="31">
                  <c:v>43716</c:v>
                </c:pt>
                <c:pt idx="32">
                  <c:v>43717</c:v>
                </c:pt>
                <c:pt idx="33">
                  <c:v>43718</c:v>
                </c:pt>
                <c:pt idx="34">
                  <c:v>43719</c:v>
                </c:pt>
                <c:pt idx="35">
                  <c:v>43720</c:v>
                </c:pt>
                <c:pt idx="36">
                  <c:v>43721</c:v>
                </c:pt>
                <c:pt idx="37">
                  <c:v>43722</c:v>
                </c:pt>
                <c:pt idx="38">
                  <c:v>43723</c:v>
                </c:pt>
                <c:pt idx="39">
                  <c:v>43724</c:v>
                </c:pt>
                <c:pt idx="40">
                  <c:v>43725</c:v>
                </c:pt>
                <c:pt idx="41">
                  <c:v>43726</c:v>
                </c:pt>
                <c:pt idx="42">
                  <c:v>43727</c:v>
                </c:pt>
                <c:pt idx="43">
                  <c:v>43728</c:v>
                </c:pt>
                <c:pt idx="44">
                  <c:v>43729</c:v>
                </c:pt>
                <c:pt idx="45">
                  <c:v>43730</c:v>
                </c:pt>
              </c:numCache>
            </c:numRef>
          </c:cat>
          <c:val>
            <c:numRef>
              <c:f>'체중변화_도우미(벌크업, 예시)'!$F$5:$AY$5</c:f>
              <c:numCache>
                <c:formatCode>0.0</c:formatCode>
                <c:ptCount val="46"/>
                <c:pt idx="0">
                  <c:v>102.3</c:v>
                </c:pt>
                <c:pt idx="1">
                  <c:v>102.34285714285714</c:v>
                </c:pt>
                <c:pt idx="2">
                  <c:v>102.38571428571429</c:v>
                </c:pt>
                <c:pt idx="3">
                  <c:v>102.42857142857143</c:v>
                </c:pt>
                <c:pt idx="4">
                  <c:v>102.47142857142858</c:v>
                </c:pt>
                <c:pt idx="5">
                  <c:v>102.51428571428571</c:v>
                </c:pt>
                <c:pt idx="6">
                  <c:v>102.55714285714285</c:v>
                </c:pt>
                <c:pt idx="7">
                  <c:v>102.6</c:v>
                </c:pt>
                <c:pt idx="8">
                  <c:v>102.64285714285714</c:v>
                </c:pt>
                <c:pt idx="9">
                  <c:v>102.68571428571428</c:v>
                </c:pt>
                <c:pt idx="10">
                  <c:v>102.72857142857143</c:v>
                </c:pt>
                <c:pt idx="11">
                  <c:v>102.77142857142857</c:v>
                </c:pt>
                <c:pt idx="12">
                  <c:v>102.81428571428572</c:v>
                </c:pt>
                <c:pt idx="13">
                  <c:v>102.85714285714286</c:v>
                </c:pt>
                <c:pt idx="14">
                  <c:v>102.89999999999999</c:v>
                </c:pt>
                <c:pt idx="15">
                  <c:v>102.94285714285714</c:v>
                </c:pt>
                <c:pt idx="16">
                  <c:v>102.98571428571428</c:v>
                </c:pt>
                <c:pt idx="17">
                  <c:v>103.02857142857142</c:v>
                </c:pt>
                <c:pt idx="18">
                  <c:v>103.07142857142857</c:v>
                </c:pt>
                <c:pt idx="19">
                  <c:v>103.11428571428571</c:v>
                </c:pt>
                <c:pt idx="20">
                  <c:v>103.15714285714286</c:v>
                </c:pt>
                <c:pt idx="21">
                  <c:v>103.2</c:v>
                </c:pt>
                <c:pt idx="22">
                  <c:v>103.24285714285713</c:v>
                </c:pt>
                <c:pt idx="23">
                  <c:v>103.28571428571428</c:v>
                </c:pt>
                <c:pt idx="24">
                  <c:v>103.32857142857142</c:v>
                </c:pt>
                <c:pt idx="25">
                  <c:v>103.37142857142857</c:v>
                </c:pt>
                <c:pt idx="26">
                  <c:v>103.41428571428571</c:v>
                </c:pt>
                <c:pt idx="27">
                  <c:v>103.45714285714286</c:v>
                </c:pt>
                <c:pt idx="28">
                  <c:v>103.5</c:v>
                </c:pt>
                <c:pt idx="29">
                  <c:v>103.54285714285714</c:v>
                </c:pt>
                <c:pt idx="30">
                  <c:v>103.58571428571429</c:v>
                </c:pt>
                <c:pt idx="31">
                  <c:v>103.62857142857142</c:v>
                </c:pt>
                <c:pt idx="32">
                  <c:v>103.67142857142856</c:v>
                </c:pt>
                <c:pt idx="33">
                  <c:v>103.71428571428571</c:v>
                </c:pt>
                <c:pt idx="34">
                  <c:v>103.75714285714285</c:v>
                </c:pt>
                <c:pt idx="35">
                  <c:v>103.8</c:v>
                </c:pt>
                <c:pt idx="36">
                  <c:v>103.84285714285714</c:v>
                </c:pt>
                <c:pt idx="37">
                  <c:v>103.88571428571429</c:v>
                </c:pt>
                <c:pt idx="38">
                  <c:v>103.92857142857143</c:v>
                </c:pt>
                <c:pt idx="39">
                  <c:v>103.97142857142858</c:v>
                </c:pt>
                <c:pt idx="40">
                  <c:v>104.01428571428571</c:v>
                </c:pt>
                <c:pt idx="41">
                  <c:v>104.05714285714285</c:v>
                </c:pt>
                <c:pt idx="42">
                  <c:v>104.1</c:v>
                </c:pt>
                <c:pt idx="43">
                  <c:v>104.14285714285714</c:v>
                </c:pt>
                <c:pt idx="44">
                  <c:v>104.18571428571428</c:v>
                </c:pt>
                <c:pt idx="45">
                  <c:v>104.22857142857143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B-47F8-9459-6AD2AA162F1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107400692226978"/>
                  <c:y val="-5.0287253635339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cat>
            <c:numRef>
              <c:f>'체중변화_도우미(벌크업, 예시)'!$F$4:$AY$4</c:f>
              <c:numCache>
                <c:formatCode>mm"월"\ dd"일"</c:formatCode>
                <c:ptCount val="46"/>
                <c:pt idx="0">
                  <c:v>43685</c:v>
                </c:pt>
                <c:pt idx="1">
                  <c:v>43686</c:v>
                </c:pt>
                <c:pt idx="2">
                  <c:v>43687</c:v>
                </c:pt>
                <c:pt idx="3">
                  <c:v>43688</c:v>
                </c:pt>
                <c:pt idx="4">
                  <c:v>43689</c:v>
                </c:pt>
                <c:pt idx="5">
                  <c:v>43690</c:v>
                </c:pt>
                <c:pt idx="6">
                  <c:v>43691</c:v>
                </c:pt>
                <c:pt idx="7">
                  <c:v>43692</c:v>
                </c:pt>
                <c:pt idx="8">
                  <c:v>43693</c:v>
                </c:pt>
                <c:pt idx="9">
                  <c:v>43694</c:v>
                </c:pt>
                <c:pt idx="10">
                  <c:v>43695</c:v>
                </c:pt>
                <c:pt idx="11">
                  <c:v>43696</c:v>
                </c:pt>
                <c:pt idx="12">
                  <c:v>43697</c:v>
                </c:pt>
                <c:pt idx="13">
                  <c:v>43698</c:v>
                </c:pt>
                <c:pt idx="14">
                  <c:v>43699</c:v>
                </c:pt>
                <c:pt idx="15">
                  <c:v>43700</c:v>
                </c:pt>
                <c:pt idx="16">
                  <c:v>43701</c:v>
                </c:pt>
                <c:pt idx="17">
                  <c:v>43702</c:v>
                </c:pt>
                <c:pt idx="18">
                  <c:v>43703</c:v>
                </c:pt>
                <c:pt idx="19">
                  <c:v>43704</c:v>
                </c:pt>
                <c:pt idx="20">
                  <c:v>43705</c:v>
                </c:pt>
                <c:pt idx="21">
                  <c:v>43706</c:v>
                </c:pt>
                <c:pt idx="22">
                  <c:v>43707</c:v>
                </c:pt>
                <c:pt idx="23">
                  <c:v>43708</c:v>
                </c:pt>
                <c:pt idx="24">
                  <c:v>43709</c:v>
                </c:pt>
                <c:pt idx="25">
                  <c:v>43710</c:v>
                </c:pt>
                <c:pt idx="26">
                  <c:v>43711</c:v>
                </c:pt>
                <c:pt idx="27">
                  <c:v>43712</c:v>
                </c:pt>
                <c:pt idx="28">
                  <c:v>43713</c:v>
                </c:pt>
                <c:pt idx="29">
                  <c:v>43714</c:v>
                </c:pt>
                <c:pt idx="30">
                  <c:v>43715</c:v>
                </c:pt>
                <c:pt idx="31">
                  <c:v>43716</c:v>
                </c:pt>
                <c:pt idx="32">
                  <c:v>43717</c:v>
                </c:pt>
                <c:pt idx="33">
                  <c:v>43718</c:v>
                </c:pt>
                <c:pt idx="34">
                  <c:v>43719</c:v>
                </c:pt>
                <c:pt idx="35">
                  <c:v>43720</c:v>
                </c:pt>
                <c:pt idx="36">
                  <c:v>43721</c:v>
                </c:pt>
                <c:pt idx="37">
                  <c:v>43722</c:v>
                </c:pt>
                <c:pt idx="38">
                  <c:v>43723</c:v>
                </c:pt>
                <c:pt idx="39">
                  <c:v>43724</c:v>
                </c:pt>
                <c:pt idx="40">
                  <c:v>43725</c:v>
                </c:pt>
                <c:pt idx="41">
                  <c:v>43726</c:v>
                </c:pt>
                <c:pt idx="42">
                  <c:v>43727</c:v>
                </c:pt>
                <c:pt idx="43">
                  <c:v>43728</c:v>
                </c:pt>
                <c:pt idx="44">
                  <c:v>43729</c:v>
                </c:pt>
                <c:pt idx="45">
                  <c:v>43730</c:v>
                </c:pt>
              </c:numCache>
            </c:numRef>
          </c:cat>
          <c:val>
            <c:numRef>
              <c:f>'체중변화_도우미(벌크업, 예시)'!$F$6:$AY$6</c:f>
              <c:numCache>
                <c:formatCode>General</c:formatCode>
                <c:ptCount val="46"/>
                <c:pt idx="0">
                  <c:v>102.3</c:v>
                </c:pt>
                <c:pt idx="1">
                  <c:v>102.3</c:v>
                </c:pt>
                <c:pt idx="2">
                  <c:v>101.8</c:v>
                </c:pt>
                <c:pt idx="3">
                  <c:v>102.5</c:v>
                </c:pt>
                <c:pt idx="4">
                  <c:v>102.3</c:v>
                </c:pt>
                <c:pt idx="5">
                  <c:v>102.9</c:v>
                </c:pt>
                <c:pt idx="6">
                  <c:v>102.3</c:v>
                </c:pt>
                <c:pt idx="7">
                  <c:v>102.3</c:v>
                </c:pt>
                <c:pt idx="8">
                  <c:v>102.3</c:v>
                </c:pt>
                <c:pt idx="9">
                  <c:v>102.6</c:v>
                </c:pt>
                <c:pt idx="10">
                  <c:v>103.7</c:v>
                </c:pt>
                <c:pt idx="11">
                  <c:v>103.2</c:v>
                </c:pt>
                <c:pt idx="12">
                  <c:v>103.2</c:v>
                </c:pt>
                <c:pt idx="13">
                  <c:v>103.6</c:v>
                </c:pt>
                <c:pt idx="14">
                  <c:v>102.9</c:v>
                </c:pt>
                <c:pt idx="15">
                  <c:v>103.2</c:v>
                </c:pt>
                <c:pt idx="16">
                  <c:v>103.4</c:v>
                </c:pt>
                <c:pt idx="17">
                  <c:v>103.6</c:v>
                </c:pt>
                <c:pt idx="18">
                  <c:v>103.6</c:v>
                </c:pt>
                <c:pt idx="19">
                  <c:v>103.3</c:v>
                </c:pt>
                <c:pt idx="20">
                  <c:v>103.6</c:v>
                </c:pt>
                <c:pt idx="21">
                  <c:v>103.4</c:v>
                </c:pt>
                <c:pt idx="22">
                  <c:v>103.2</c:v>
                </c:pt>
                <c:pt idx="23">
                  <c:v>103.5</c:v>
                </c:pt>
                <c:pt idx="24">
                  <c:v>103.5</c:v>
                </c:pt>
                <c:pt idx="25">
                  <c:v>103.5</c:v>
                </c:pt>
                <c:pt idx="26">
                  <c:v>103.5</c:v>
                </c:pt>
                <c:pt idx="27">
                  <c:v>103.5</c:v>
                </c:pt>
                <c:pt idx="28">
                  <c:v>103.5</c:v>
                </c:pt>
                <c:pt idx="29">
                  <c:v>103.4</c:v>
                </c:pt>
                <c:pt idx="30">
                  <c:v>103.8</c:v>
                </c:pt>
                <c:pt idx="31">
                  <c:v>104.1</c:v>
                </c:pt>
                <c:pt idx="32">
                  <c:v>104.1</c:v>
                </c:pt>
                <c:pt idx="33">
                  <c:v>104.2</c:v>
                </c:pt>
                <c:pt idx="34">
                  <c:v>104</c:v>
                </c:pt>
                <c:pt idx="35">
                  <c:v>104.1</c:v>
                </c:pt>
                <c:pt idx="36">
                  <c:v>103.7</c:v>
                </c:pt>
                <c:pt idx="37">
                  <c:v>103.7</c:v>
                </c:pt>
                <c:pt idx="38">
                  <c:v>104.3</c:v>
                </c:pt>
                <c:pt idx="39">
                  <c:v>103.9</c:v>
                </c:pt>
                <c:pt idx="40">
                  <c:v>103.9</c:v>
                </c:pt>
                <c:pt idx="41">
                  <c:v>103.9</c:v>
                </c:pt>
                <c:pt idx="42">
                  <c:v>104.1</c:v>
                </c:pt>
                <c:pt idx="43">
                  <c:v>103.9</c:v>
                </c:pt>
                <c:pt idx="44">
                  <c:v>104.1</c:v>
                </c:pt>
                <c:pt idx="45">
                  <c:v>104.1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5B-47F8-9459-6AD2AA162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7360879"/>
        <c:axId val="969117151"/>
      </c:lineChart>
      <c:dateAx>
        <c:axId val="967360879"/>
        <c:scaling>
          <c:orientation val="minMax"/>
        </c:scaling>
        <c:delete val="0"/>
        <c:axPos val="b"/>
        <c:numFmt formatCode="mm&quot;월&quot;\ dd&quot;일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9117151"/>
        <c:crosses val="autoZero"/>
        <c:auto val="1"/>
        <c:lblOffset val="100"/>
        <c:baseTimeUnit val="days"/>
      </c:dateAx>
      <c:valAx>
        <c:axId val="96911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7360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'단백질 보충제 만능활용 도우미'!$E$7</c:f>
              <c:strCache>
                <c:ptCount val="1"/>
                <c:pt idx="0">
                  <c:v>탄수화물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'단백질 보충제 만능활용 도우미'!$E$8</c:f>
              <c:numCache>
                <c:formatCode>0"g"</c:formatCode>
                <c:ptCount val="1"/>
                <c:pt idx="0">
                  <c:v>93.5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9A-49DE-8397-6C5B6B1E5BF0}"/>
            </c:ext>
          </c:extLst>
        </c:ser>
        <c:ser>
          <c:idx val="1"/>
          <c:order val="1"/>
          <c:tx>
            <c:strRef>
              <c:f>'단백질 보충제 만능활용 도우미'!$F$7</c:f>
              <c:strCache>
                <c:ptCount val="1"/>
                <c:pt idx="0">
                  <c:v>단백질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'단백질 보충제 만능활용 도우미'!$F$8</c:f>
              <c:numCache>
                <c:formatCode>0"g"</c:formatCode>
                <c:ptCount val="1"/>
                <c:pt idx="0">
                  <c:v>67.5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9A-49DE-8397-6C5B6B1E5BF0}"/>
            </c:ext>
          </c:extLst>
        </c:ser>
        <c:ser>
          <c:idx val="2"/>
          <c:order val="2"/>
          <c:tx>
            <c:strRef>
              <c:f>'단백질 보충제 만능활용 도우미'!$G$7</c:f>
              <c:strCache>
                <c:ptCount val="1"/>
                <c:pt idx="0">
                  <c:v>지방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'단백질 보충제 만능활용 도우미'!$G$8</c:f>
              <c:numCache>
                <c:formatCode>0"g"</c:formatCode>
                <c:ptCount val="1"/>
                <c:pt idx="0">
                  <c:v>26.150000000000002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9A-49DE-8397-6C5B6B1E5BF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09298096"/>
        <c:axId val="1665877328"/>
      </c:barChart>
      <c:catAx>
        <c:axId val="20092980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65877328"/>
        <c:crosses val="autoZero"/>
        <c:auto val="1"/>
        <c:lblAlgn val="ctr"/>
        <c:lblOffset val="100"/>
        <c:noMultiLvlLbl val="0"/>
      </c:catAx>
      <c:valAx>
        <c:axId val="166587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&quot;g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0929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'단백질 보충제 만능활용 도우미'!$E$7</c:f>
              <c:strCache>
                <c:ptCount val="1"/>
                <c:pt idx="0">
                  <c:v>탄수화물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'단백질 보충제 만능활용 도우미'!$E$23</c:f>
              <c:numCache>
                <c:formatCode>0"g"</c:formatCode>
                <c:ptCount val="1"/>
                <c:pt idx="0">
                  <c:v>39.6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72-4E1D-B814-82D6E3B0C54F}"/>
            </c:ext>
          </c:extLst>
        </c:ser>
        <c:ser>
          <c:idx val="1"/>
          <c:order val="1"/>
          <c:tx>
            <c:strRef>
              <c:f>'단백질 보충제 만능활용 도우미'!$F$7</c:f>
              <c:strCache>
                <c:ptCount val="1"/>
                <c:pt idx="0">
                  <c:v>단백질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'단백질 보충제 만능활용 도우미'!$F$23</c:f>
              <c:numCache>
                <c:formatCode>0"g"</c:formatCode>
                <c:ptCount val="1"/>
                <c:pt idx="0">
                  <c:v>77.7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72-4E1D-B814-82D6E3B0C54F}"/>
            </c:ext>
          </c:extLst>
        </c:ser>
        <c:ser>
          <c:idx val="2"/>
          <c:order val="2"/>
          <c:tx>
            <c:strRef>
              <c:f>'단백질 보충제 만능활용 도우미'!$G$7</c:f>
              <c:strCache>
                <c:ptCount val="1"/>
                <c:pt idx="0">
                  <c:v>지방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'단백질 보충제 만능활용 도우미'!$G$23</c:f>
              <c:numCache>
                <c:formatCode>0"g"</c:formatCode>
                <c:ptCount val="1"/>
                <c:pt idx="0">
                  <c:v>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72-4E1D-B814-82D6E3B0C54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09298096"/>
        <c:axId val="1665877328"/>
      </c:barChart>
      <c:catAx>
        <c:axId val="20092980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65877328"/>
        <c:crosses val="autoZero"/>
        <c:auto val="1"/>
        <c:lblAlgn val="ctr"/>
        <c:lblOffset val="100"/>
        <c:noMultiLvlLbl val="0"/>
      </c:catAx>
      <c:valAx>
        <c:axId val="166587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&quot;g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0929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33619</xdr:colOff>
      <xdr:row>9</xdr:row>
      <xdr:rowOff>123265</xdr:rowOff>
    </xdr:from>
    <xdr:to>
      <xdr:col>27</xdr:col>
      <xdr:colOff>168088</xdr:colOff>
      <xdr:row>43</xdr:row>
      <xdr:rowOff>67235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BAA7ECE-9A77-43EB-8EE8-A459860177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33619</xdr:colOff>
      <xdr:row>9</xdr:row>
      <xdr:rowOff>123265</xdr:rowOff>
    </xdr:from>
    <xdr:to>
      <xdr:col>27</xdr:col>
      <xdr:colOff>168088</xdr:colOff>
      <xdr:row>43</xdr:row>
      <xdr:rowOff>67235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B0CC4EB-6E04-4F2B-9805-16CC66DDE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12423</xdr:colOff>
      <xdr:row>1</xdr:row>
      <xdr:rowOff>207066</xdr:rowOff>
    </xdr:from>
    <xdr:to>
      <xdr:col>12</xdr:col>
      <xdr:colOff>687456</xdr:colOff>
      <xdr:row>24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D14514C-6A95-4ED6-86AD-03C8C52AA0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</xdr:colOff>
      <xdr:row>1</xdr:row>
      <xdr:rowOff>207066</xdr:rowOff>
    </xdr:from>
    <xdr:to>
      <xdr:col>17</xdr:col>
      <xdr:colOff>679174</xdr:colOff>
      <xdr:row>24</xdr:row>
      <xdr:rowOff>33129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6EF7D4C-3FF9-43E4-83DA-56D387A189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ejin%20hyun\Downloads\&#46041;&#47732;&#51473;&#51032;_&#50868;&#46041;_&#46020;&#50864;&#48120;(ver2.50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46041;&#47732;&#51473;&#51032;_&#50868;&#46041;_&#46020;&#50864;&#48120;(ver2.60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초보자용"/>
      <sheetName val="중_고급자용"/>
      <sheetName val="보충제_추천제품_우선순위"/>
      <sheetName val="다이어트_기간_계산기"/>
      <sheetName val="식단계산기"/>
      <sheetName val="식단계산기(확장판)"/>
      <sheetName val="닭가슴살 도우미"/>
      <sheetName val="체중변화_도우미(다이어트, 벌크업)"/>
      <sheetName val="체중변화_도우미(벌크업, 예시)"/>
      <sheetName val="치팅데이_도우미"/>
    </sheetNames>
    <sheetDataSet>
      <sheetData sheetId="0">
        <row r="4">
          <cell r="J4">
            <v>1344.6732000000002</v>
          </cell>
          <cell r="K4">
            <v>336.16830000000004</v>
          </cell>
        </row>
        <row r="6">
          <cell r="J6">
            <v>373.76</v>
          </cell>
          <cell r="K6">
            <v>93.44</v>
          </cell>
        </row>
        <row r="8">
          <cell r="J8">
            <v>350.29479999999995</v>
          </cell>
          <cell r="K8">
            <v>38.921644444444439</v>
          </cell>
        </row>
      </sheetData>
      <sheetData sheetId="1">
        <row r="24">
          <cell r="H24">
            <v>435</v>
          </cell>
        </row>
        <row r="25">
          <cell r="G25">
            <v>170</v>
          </cell>
        </row>
        <row r="27">
          <cell r="G27">
            <v>53.333333333333336</v>
          </cell>
        </row>
        <row r="35">
          <cell r="F35">
            <v>2900</v>
          </cell>
        </row>
        <row r="39">
          <cell r="H39">
            <v>420</v>
          </cell>
        </row>
        <row r="40">
          <cell r="G40">
            <v>170</v>
          </cell>
        </row>
        <row r="42">
          <cell r="G42">
            <v>48.888888888888886</v>
          </cell>
        </row>
        <row r="50">
          <cell r="F50">
            <v>2800</v>
          </cell>
        </row>
        <row r="54">
          <cell r="H54">
            <v>405</v>
          </cell>
        </row>
        <row r="55">
          <cell r="G55">
            <v>170</v>
          </cell>
        </row>
        <row r="57">
          <cell r="G57">
            <v>44.444444444444443</v>
          </cell>
        </row>
        <row r="65">
          <cell r="F65">
            <v>2700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초보자용"/>
      <sheetName val="중_고급자용"/>
      <sheetName val="보충제_추천제품_우선순위"/>
      <sheetName val="다이어트_기간_계산기"/>
      <sheetName val="식단계산기"/>
      <sheetName val="식단계산기(확장판)"/>
      <sheetName val="닭가슴살 도우미"/>
      <sheetName val="체중변화_도우미(다이어트, 벌크업)"/>
      <sheetName val="체중변화_도우미(벌크업, 예시)"/>
      <sheetName val="치팅데이_도우미"/>
      <sheetName val="단백질 보충제 만능활용 도우미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7">
          <cell r="E7" t="str">
            <v>탄수화물</v>
          </cell>
          <cell r="F7" t="str">
            <v>단백질</v>
          </cell>
          <cell r="G7" t="str">
            <v>지방</v>
          </cell>
        </row>
        <row r="8">
          <cell r="E8">
            <v>93.5</v>
          </cell>
          <cell r="F8">
            <v>67.5</v>
          </cell>
          <cell r="G8">
            <v>26.150000000000002</v>
          </cell>
        </row>
        <row r="23">
          <cell r="E23">
            <v>39.6</v>
          </cell>
          <cell r="F23">
            <v>77.7</v>
          </cell>
          <cell r="G23">
            <v>3.3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upa.ng/bh9nka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0.bin"/><Relationship Id="rId3" Type="http://schemas.openxmlformats.org/officeDocument/2006/relationships/hyperlink" Target="https://iherb.co/g11QSE9G" TargetMode="External"/><Relationship Id="rId7" Type="http://schemas.openxmlformats.org/officeDocument/2006/relationships/hyperlink" Target="https://iherb.co/C8wtKnam" TargetMode="External"/><Relationship Id="rId2" Type="http://schemas.openxmlformats.org/officeDocument/2006/relationships/hyperlink" Target="https://coupa.ng/bi1R42" TargetMode="External"/><Relationship Id="rId1" Type="http://schemas.openxmlformats.org/officeDocument/2006/relationships/hyperlink" Target="https://www.awin1.com/cread.php?awinmid=10751&amp;awinaffid=504921&amp;clickref=&amp;p=%5B%5Bhttps%253A%252F%252Fwww.myprotein.co.kr%252Fsports-nutrition%252F100-cyclic-dextrin-carbs%252F11281390.html%5D%5D" TargetMode="External"/><Relationship Id="rId6" Type="http://schemas.openxmlformats.org/officeDocument/2006/relationships/hyperlink" Target="http://bit.ly/2kZFR1A" TargetMode="External"/><Relationship Id="rId5" Type="http://schemas.openxmlformats.org/officeDocument/2006/relationships/hyperlink" Target="https://coupa.ng/bi1Smm" TargetMode="External"/><Relationship Id="rId4" Type="http://schemas.openxmlformats.org/officeDocument/2006/relationships/hyperlink" Target="https://www.awin1.com/cread.php?awinmid=10751&amp;awinaffid=504921&amp;clickref=&amp;p=%5B%5Bhttps%253A%252F%252Fwww.myprotein.co.kr%252Fsports-nutrition%252F100-essential-electrolyte-powder%252F10529892.html%253Fautocomplete%253Dproductsuggestion%5D%5D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iherb.co/HED6VN81" TargetMode="External"/><Relationship Id="rId21" Type="http://schemas.openxmlformats.org/officeDocument/2006/relationships/hyperlink" Target="https://coupa.ng/bg2Cbk" TargetMode="External"/><Relationship Id="rId42" Type="http://schemas.openxmlformats.org/officeDocument/2006/relationships/hyperlink" Target="https://coupa.ng/bg2EUi" TargetMode="External"/><Relationship Id="rId47" Type="http://schemas.openxmlformats.org/officeDocument/2006/relationships/hyperlink" Target="https://iherb.co/sCGskhux" TargetMode="External"/><Relationship Id="rId63" Type="http://schemas.openxmlformats.org/officeDocument/2006/relationships/hyperlink" Target="http://bit.ly/2KUJIJm" TargetMode="External"/><Relationship Id="rId68" Type="http://schemas.openxmlformats.org/officeDocument/2006/relationships/hyperlink" Target="https://youtu.be/mDXAkP_BJV4" TargetMode="External"/><Relationship Id="rId84" Type="http://schemas.openxmlformats.org/officeDocument/2006/relationships/hyperlink" Target="https://iherb.co/8YZS5iL6" TargetMode="External"/><Relationship Id="rId89" Type="http://schemas.openxmlformats.org/officeDocument/2006/relationships/hyperlink" Target="http://bit.ly/33exvod" TargetMode="External"/><Relationship Id="rId16" Type="http://schemas.openxmlformats.org/officeDocument/2006/relationships/hyperlink" Target="https://iherb.co/jkZzFcFK" TargetMode="External"/><Relationship Id="rId11" Type="http://schemas.openxmlformats.org/officeDocument/2006/relationships/hyperlink" Target="https://kr.iherb.com/pr/California-Gold-Nutrition-Creatine-Powder-Micronized-Creatine-Monohydrate-Creapure-Unflavored-16-oz-454-g/71026?rcode=ARM5054" TargetMode="External"/><Relationship Id="rId32" Type="http://schemas.openxmlformats.org/officeDocument/2006/relationships/hyperlink" Target="https://iherb.co/qjf6Y3Bh" TargetMode="External"/><Relationship Id="rId37" Type="http://schemas.openxmlformats.org/officeDocument/2006/relationships/hyperlink" Target="https://iherb.co/DiHunehd" TargetMode="External"/><Relationship Id="rId53" Type="http://schemas.openxmlformats.org/officeDocument/2006/relationships/hyperlink" Target="http://bit.ly/2UM3V8V" TargetMode="External"/><Relationship Id="rId58" Type="http://schemas.openxmlformats.org/officeDocument/2006/relationships/hyperlink" Target="http://bit.ly/2vmdsUR" TargetMode="External"/><Relationship Id="rId74" Type="http://schemas.openxmlformats.org/officeDocument/2006/relationships/hyperlink" Target="https://iherb.co/f7nYzeYq" TargetMode="External"/><Relationship Id="rId79" Type="http://schemas.openxmlformats.org/officeDocument/2006/relationships/hyperlink" Target="https://coupa.ng/bhRruh" TargetMode="External"/><Relationship Id="rId102" Type="http://schemas.openxmlformats.org/officeDocument/2006/relationships/hyperlink" Target="https://coupa.ng/biwb1E" TargetMode="External"/><Relationship Id="rId5" Type="http://schemas.openxmlformats.org/officeDocument/2006/relationships/hyperlink" Target="https://iherb.co/4Whed7Fz" TargetMode="External"/><Relationship Id="rId90" Type="http://schemas.openxmlformats.org/officeDocument/2006/relationships/hyperlink" Target="https://iherb.co/sr8b6j6T" TargetMode="External"/><Relationship Id="rId95" Type="http://schemas.openxmlformats.org/officeDocument/2006/relationships/hyperlink" Target="https://iherb.co/LFzyWGU9" TargetMode="External"/><Relationship Id="rId22" Type="http://schemas.openxmlformats.org/officeDocument/2006/relationships/hyperlink" Target="https://coupa.ng/bg2Cpi" TargetMode="External"/><Relationship Id="rId27" Type="http://schemas.openxmlformats.org/officeDocument/2006/relationships/hyperlink" Target="https://iherb.co/hpQzJi29" TargetMode="External"/><Relationship Id="rId43" Type="http://schemas.openxmlformats.org/officeDocument/2006/relationships/hyperlink" Target="https://coupa.ng/bg2EUz" TargetMode="External"/><Relationship Id="rId48" Type="http://schemas.openxmlformats.org/officeDocument/2006/relationships/hyperlink" Target="https://coupa.ng/bg2E07" TargetMode="External"/><Relationship Id="rId64" Type="http://schemas.openxmlformats.org/officeDocument/2006/relationships/hyperlink" Target="http://bit.ly/SportKoreanMP" TargetMode="External"/><Relationship Id="rId69" Type="http://schemas.openxmlformats.org/officeDocument/2006/relationships/hyperlink" Target="http://bit.ly/2DyJvpo" TargetMode="External"/><Relationship Id="rId80" Type="http://schemas.openxmlformats.org/officeDocument/2006/relationships/hyperlink" Target="http://bit.ly/31lFbTC" TargetMode="External"/><Relationship Id="rId85" Type="http://schemas.openxmlformats.org/officeDocument/2006/relationships/hyperlink" Target="https://iherb.co/CySpLiS6" TargetMode="External"/><Relationship Id="rId12" Type="http://schemas.openxmlformats.org/officeDocument/2006/relationships/hyperlink" Target="https://coupa.ng/bg2BhQ" TargetMode="External"/><Relationship Id="rId17" Type="http://schemas.openxmlformats.org/officeDocument/2006/relationships/hyperlink" Target="https://iherb.co/6rBBBiqg" TargetMode="External"/><Relationship Id="rId33" Type="http://schemas.openxmlformats.org/officeDocument/2006/relationships/hyperlink" Target="https://coupa.ng/bg2Esw" TargetMode="External"/><Relationship Id="rId38" Type="http://schemas.openxmlformats.org/officeDocument/2006/relationships/hyperlink" Target="https://iherb.co/AjEgncLa" TargetMode="External"/><Relationship Id="rId59" Type="http://schemas.openxmlformats.org/officeDocument/2006/relationships/hyperlink" Target="http://bit.ly/2UOZ4nt" TargetMode="External"/><Relationship Id="rId103" Type="http://schemas.openxmlformats.org/officeDocument/2006/relationships/hyperlink" Target="http://bit.ly/2PNeany" TargetMode="External"/><Relationship Id="rId20" Type="http://schemas.openxmlformats.org/officeDocument/2006/relationships/hyperlink" Target="https://coupa.ng/bg2B5C" TargetMode="External"/><Relationship Id="rId41" Type="http://schemas.openxmlformats.org/officeDocument/2006/relationships/hyperlink" Target="https://coupa.ng/bg2ET9" TargetMode="External"/><Relationship Id="rId54" Type="http://schemas.openxmlformats.org/officeDocument/2006/relationships/hyperlink" Target="http://bit.ly/2VZZ7t8" TargetMode="External"/><Relationship Id="rId62" Type="http://schemas.openxmlformats.org/officeDocument/2006/relationships/hyperlink" Target="http://bit.ly/2veeanf" TargetMode="External"/><Relationship Id="rId70" Type="http://schemas.openxmlformats.org/officeDocument/2006/relationships/hyperlink" Target="http://bit.ly/2DwLx9i" TargetMode="External"/><Relationship Id="rId75" Type="http://schemas.openxmlformats.org/officeDocument/2006/relationships/hyperlink" Target="https://coupa.ng/bhM8l6" TargetMode="External"/><Relationship Id="rId83" Type="http://schemas.openxmlformats.org/officeDocument/2006/relationships/hyperlink" Target="https://coupa.ng/bidlPc" TargetMode="External"/><Relationship Id="rId88" Type="http://schemas.openxmlformats.org/officeDocument/2006/relationships/hyperlink" Target="http://bit.ly/2ThnKRx" TargetMode="External"/><Relationship Id="rId91" Type="http://schemas.openxmlformats.org/officeDocument/2006/relationships/hyperlink" Target="https://coupa.ng/bidnan" TargetMode="External"/><Relationship Id="rId96" Type="http://schemas.openxmlformats.org/officeDocument/2006/relationships/hyperlink" Target="https://iherb.co/2JtuCWtQ" TargetMode="External"/><Relationship Id="rId1" Type="http://schemas.openxmlformats.org/officeDocument/2006/relationships/hyperlink" Target="https://coupa.ng/bg2zVR" TargetMode="External"/><Relationship Id="rId6" Type="http://schemas.openxmlformats.org/officeDocument/2006/relationships/hyperlink" Target="https://coupa.ng/bg2AB5" TargetMode="External"/><Relationship Id="rId15" Type="http://schemas.openxmlformats.org/officeDocument/2006/relationships/hyperlink" Target="https://coupa.ng/bg2BGU" TargetMode="External"/><Relationship Id="rId23" Type="http://schemas.openxmlformats.org/officeDocument/2006/relationships/hyperlink" Target="https://iherb.co/C768S82D" TargetMode="External"/><Relationship Id="rId28" Type="http://schemas.openxmlformats.org/officeDocument/2006/relationships/hyperlink" Target="https://iherb.co/6RdFP3pX" TargetMode="External"/><Relationship Id="rId36" Type="http://schemas.openxmlformats.org/officeDocument/2006/relationships/hyperlink" Target="https://youtu.be/BBI_eBXn_a4" TargetMode="External"/><Relationship Id="rId49" Type="http://schemas.openxmlformats.org/officeDocument/2006/relationships/hyperlink" Target="https://iherb.co/s3xdrDTe" TargetMode="External"/><Relationship Id="rId57" Type="http://schemas.openxmlformats.org/officeDocument/2006/relationships/hyperlink" Target="http://bit.ly/2GpBfZo" TargetMode="External"/><Relationship Id="rId10" Type="http://schemas.openxmlformats.org/officeDocument/2006/relationships/hyperlink" Target="https://coupa.ng/bg2A2S" TargetMode="External"/><Relationship Id="rId31" Type="http://schemas.openxmlformats.org/officeDocument/2006/relationships/hyperlink" Target="https://coupa.ng/bidkOk" TargetMode="External"/><Relationship Id="rId44" Type="http://schemas.openxmlformats.org/officeDocument/2006/relationships/hyperlink" Target="https://iherb.co/5QWYd6um" TargetMode="External"/><Relationship Id="rId52" Type="http://schemas.openxmlformats.org/officeDocument/2006/relationships/hyperlink" Target="http://bit.ly/2IALo9g" TargetMode="External"/><Relationship Id="rId60" Type="http://schemas.openxmlformats.org/officeDocument/2006/relationships/hyperlink" Target="http://bit.ly/2XzFwjE" TargetMode="External"/><Relationship Id="rId65" Type="http://schemas.openxmlformats.org/officeDocument/2006/relationships/hyperlink" Target="https://coupa.ng/bidkOk" TargetMode="External"/><Relationship Id="rId73" Type="http://schemas.openxmlformats.org/officeDocument/2006/relationships/hyperlink" Target="https://coupa.ng/bhM78J" TargetMode="External"/><Relationship Id="rId78" Type="http://schemas.openxmlformats.org/officeDocument/2006/relationships/hyperlink" Target="https://iherb.co/K7SppwhR" TargetMode="External"/><Relationship Id="rId81" Type="http://schemas.openxmlformats.org/officeDocument/2006/relationships/hyperlink" Target="http://bit.ly/2GTIhql" TargetMode="External"/><Relationship Id="rId86" Type="http://schemas.openxmlformats.org/officeDocument/2006/relationships/hyperlink" Target="https://iherb.co/evW8xQYE" TargetMode="External"/><Relationship Id="rId94" Type="http://schemas.openxmlformats.org/officeDocument/2006/relationships/hyperlink" Target="http://bit.ly/33lV2Ug" TargetMode="External"/><Relationship Id="rId99" Type="http://schemas.openxmlformats.org/officeDocument/2006/relationships/hyperlink" Target="https://youtu.be/0e_Ps8UWYo4" TargetMode="External"/><Relationship Id="rId101" Type="http://schemas.openxmlformats.org/officeDocument/2006/relationships/hyperlink" Target="https://iherb.co/7jVTR3no" TargetMode="External"/><Relationship Id="rId4" Type="http://schemas.openxmlformats.org/officeDocument/2006/relationships/hyperlink" Target="https://iherb.co/oEhecA8F" TargetMode="External"/><Relationship Id="rId9" Type="http://schemas.openxmlformats.org/officeDocument/2006/relationships/hyperlink" Target="https://coupa.ng/bg2A1g" TargetMode="External"/><Relationship Id="rId13" Type="http://schemas.openxmlformats.org/officeDocument/2006/relationships/hyperlink" Target="https://iherb.co/ggZtfspX" TargetMode="External"/><Relationship Id="rId18" Type="http://schemas.openxmlformats.org/officeDocument/2006/relationships/hyperlink" Target="https://iherb.co/uEU2o2sd" TargetMode="External"/><Relationship Id="rId39" Type="http://schemas.openxmlformats.org/officeDocument/2006/relationships/hyperlink" Target="https://iherb.co/BMKonTJo" TargetMode="External"/><Relationship Id="rId34" Type="http://schemas.openxmlformats.org/officeDocument/2006/relationships/hyperlink" Target="https://coupa.ng/bg2Et2" TargetMode="External"/><Relationship Id="rId50" Type="http://schemas.openxmlformats.org/officeDocument/2006/relationships/hyperlink" Target="https://coupa.ng/bg2E2B" TargetMode="External"/><Relationship Id="rId55" Type="http://schemas.openxmlformats.org/officeDocument/2006/relationships/hyperlink" Target="http://bit.ly/2ZsladV" TargetMode="External"/><Relationship Id="rId76" Type="http://schemas.openxmlformats.org/officeDocument/2006/relationships/hyperlink" Target="http://bit.ly/2ZdWcyN" TargetMode="External"/><Relationship Id="rId97" Type="http://schemas.openxmlformats.org/officeDocument/2006/relationships/hyperlink" Target="https://youtu.be/TDw8xLgpbvg" TargetMode="External"/><Relationship Id="rId104" Type="http://schemas.openxmlformats.org/officeDocument/2006/relationships/hyperlink" Target="https://youtu.be/mimsOuUEoOI" TargetMode="External"/><Relationship Id="rId7" Type="http://schemas.openxmlformats.org/officeDocument/2006/relationships/hyperlink" Target="https://coupa.ng/bg2AIz" TargetMode="External"/><Relationship Id="rId71" Type="http://schemas.openxmlformats.org/officeDocument/2006/relationships/hyperlink" Target="https://coupa.ng/bhM7yf" TargetMode="External"/><Relationship Id="rId92" Type="http://schemas.openxmlformats.org/officeDocument/2006/relationships/hyperlink" Target="https://iherb.co/LwpR1tQM" TargetMode="External"/><Relationship Id="rId2" Type="http://schemas.openxmlformats.org/officeDocument/2006/relationships/hyperlink" Target="https://coupa.ng/bg2ApF" TargetMode="External"/><Relationship Id="rId29" Type="http://schemas.openxmlformats.org/officeDocument/2006/relationships/hyperlink" Target="https://iherb.co/5cp3dxS5" TargetMode="External"/><Relationship Id="rId24" Type="http://schemas.openxmlformats.org/officeDocument/2006/relationships/hyperlink" Target="https://iherb.co/9WHksM6d" TargetMode="External"/><Relationship Id="rId40" Type="http://schemas.openxmlformats.org/officeDocument/2006/relationships/hyperlink" Target="https://iherb.co/GbvuLWxV" TargetMode="External"/><Relationship Id="rId45" Type="http://schemas.openxmlformats.org/officeDocument/2006/relationships/hyperlink" Target="https://iherb.co/MgZTxLNh" TargetMode="External"/><Relationship Id="rId66" Type="http://schemas.openxmlformats.org/officeDocument/2006/relationships/hyperlink" Target="https://iherb.co/qjf6Y3Bh" TargetMode="External"/><Relationship Id="rId87" Type="http://schemas.openxmlformats.org/officeDocument/2006/relationships/hyperlink" Target="https://coupa.ng/bidmqs" TargetMode="External"/><Relationship Id="rId61" Type="http://schemas.openxmlformats.org/officeDocument/2006/relationships/hyperlink" Target="http://bit.ly/2GyUyAO" TargetMode="External"/><Relationship Id="rId82" Type="http://schemas.openxmlformats.org/officeDocument/2006/relationships/hyperlink" Target="https://coupa.ng/bidlF4" TargetMode="External"/><Relationship Id="rId19" Type="http://schemas.openxmlformats.org/officeDocument/2006/relationships/hyperlink" Target="https://coupa.ng/bg2BXL" TargetMode="External"/><Relationship Id="rId14" Type="http://schemas.openxmlformats.org/officeDocument/2006/relationships/hyperlink" Target="https://iherb.co/gqzYMYWP" TargetMode="External"/><Relationship Id="rId30" Type="http://schemas.openxmlformats.org/officeDocument/2006/relationships/hyperlink" Target="https://coupa.ng/bg2EjH" TargetMode="External"/><Relationship Id="rId35" Type="http://schemas.openxmlformats.org/officeDocument/2006/relationships/hyperlink" Target="https://coupa.ng/bg2EQk" TargetMode="External"/><Relationship Id="rId56" Type="http://schemas.openxmlformats.org/officeDocument/2006/relationships/hyperlink" Target="http://bit.ly/2UwCMSk" TargetMode="External"/><Relationship Id="rId77" Type="http://schemas.openxmlformats.org/officeDocument/2006/relationships/hyperlink" Target="https://coupa.ng/bhM8WC" TargetMode="External"/><Relationship Id="rId100" Type="http://schemas.openxmlformats.org/officeDocument/2006/relationships/hyperlink" Target="https://youtu.be/Rvk9oEAP6w4" TargetMode="External"/><Relationship Id="rId105" Type="http://schemas.openxmlformats.org/officeDocument/2006/relationships/printerSettings" Target="../printerSettings/printerSettings3.bin"/><Relationship Id="rId8" Type="http://schemas.openxmlformats.org/officeDocument/2006/relationships/hyperlink" Target="https://coupa.ng/bg2AO8" TargetMode="External"/><Relationship Id="rId51" Type="http://schemas.openxmlformats.org/officeDocument/2006/relationships/hyperlink" Target="http://bit.ly/2INUYVe" TargetMode="External"/><Relationship Id="rId72" Type="http://schemas.openxmlformats.org/officeDocument/2006/relationships/hyperlink" Target="https://iherb.co/dv9p7Lzu" TargetMode="External"/><Relationship Id="rId93" Type="http://schemas.openxmlformats.org/officeDocument/2006/relationships/hyperlink" Target="https://coupa.ng/bidnxw" TargetMode="External"/><Relationship Id="rId98" Type="http://schemas.openxmlformats.org/officeDocument/2006/relationships/hyperlink" Target="https://youtu.be/mDXAkP_BJV4" TargetMode="External"/><Relationship Id="rId3" Type="http://schemas.openxmlformats.org/officeDocument/2006/relationships/hyperlink" Target="https://coupa.ng/bg2Ast" TargetMode="External"/><Relationship Id="rId25" Type="http://schemas.openxmlformats.org/officeDocument/2006/relationships/hyperlink" Target="https://iherb.co/dD21ur4J" TargetMode="External"/><Relationship Id="rId46" Type="http://schemas.openxmlformats.org/officeDocument/2006/relationships/hyperlink" Target="https://iherb.co/sGovQsd8" TargetMode="External"/><Relationship Id="rId67" Type="http://schemas.openxmlformats.org/officeDocument/2006/relationships/hyperlink" Target="http://bit.ly/SportKoreanMP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youtu.be/cNT-4pvA1-M" TargetMode="External"/><Relationship Id="rId1" Type="http://schemas.openxmlformats.org/officeDocument/2006/relationships/hyperlink" Target="http://bit.ly/SportKoreanMP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coupa.ng/bi1Tb8" TargetMode="External"/><Relationship Id="rId1" Type="http://schemas.openxmlformats.org/officeDocument/2006/relationships/hyperlink" Target="http://bit.ly/SportKoreanMP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coupa.ng/bg9XyF" TargetMode="External"/><Relationship Id="rId13" Type="http://schemas.openxmlformats.org/officeDocument/2006/relationships/hyperlink" Target="https://coupa.ng/bg9XID" TargetMode="External"/><Relationship Id="rId18" Type="http://schemas.openxmlformats.org/officeDocument/2006/relationships/hyperlink" Target="https://coupa.ng/bg9Yrg" TargetMode="External"/><Relationship Id="rId3" Type="http://schemas.openxmlformats.org/officeDocument/2006/relationships/hyperlink" Target="https://coupa.ng/bg9W9Z" TargetMode="External"/><Relationship Id="rId21" Type="http://schemas.openxmlformats.org/officeDocument/2006/relationships/hyperlink" Target="https://coupa.ng/bg9Ytq" TargetMode="External"/><Relationship Id="rId7" Type="http://schemas.openxmlformats.org/officeDocument/2006/relationships/hyperlink" Target="https://coupa.ng/bg9Xyk" TargetMode="External"/><Relationship Id="rId12" Type="http://schemas.openxmlformats.org/officeDocument/2006/relationships/hyperlink" Target="https://coupa.ng/bg9XDG" TargetMode="External"/><Relationship Id="rId17" Type="http://schemas.openxmlformats.org/officeDocument/2006/relationships/hyperlink" Target="https://coupa.ng/bg9YpC" TargetMode="External"/><Relationship Id="rId2" Type="http://schemas.openxmlformats.org/officeDocument/2006/relationships/hyperlink" Target="https://coupa.ng/bg9W7h" TargetMode="External"/><Relationship Id="rId16" Type="http://schemas.openxmlformats.org/officeDocument/2006/relationships/hyperlink" Target="https://coupa.ng/bg9YpC" TargetMode="External"/><Relationship Id="rId20" Type="http://schemas.openxmlformats.org/officeDocument/2006/relationships/hyperlink" Target="https://coupa.ng/bg9YsT" TargetMode="External"/><Relationship Id="rId1" Type="http://schemas.openxmlformats.org/officeDocument/2006/relationships/hyperlink" Target="https://coupa.ng/bg9rVN" TargetMode="External"/><Relationship Id="rId6" Type="http://schemas.openxmlformats.org/officeDocument/2006/relationships/hyperlink" Target="https://coupa.ng/bg9XiB" TargetMode="External"/><Relationship Id="rId11" Type="http://schemas.openxmlformats.org/officeDocument/2006/relationships/hyperlink" Target="https://coupa.ng/bg9XCS" TargetMode="External"/><Relationship Id="rId5" Type="http://schemas.openxmlformats.org/officeDocument/2006/relationships/hyperlink" Target="https://coupa.ng/bg9Xgj" TargetMode="External"/><Relationship Id="rId15" Type="http://schemas.openxmlformats.org/officeDocument/2006/relationships/hyperlink" Target="https://coupa.ng/bg9YpC" TargetMode="External"/><Relationship Id="rId23" Type="http://schemas.openxmlformats.org/officeDocument/2006/relationships/printerSettings" Target="../printerSettings/printerSettings7.bin"/><Relationship Id="rId10" Type="http://schemas.openxmlformats.org/officeDocument/2006/relationships/hyperlink" Target="https://coupa.ng/bg9XBv" TargetMode="External"/><Relationship Id="rId19" Type="http://schemas.openxmlformats.org/officeDocument/2006/relationships/hyperlink" Target="https://coupa.ng/bg9Ysp" TargetMode="External"/><Relationship Id="rId4" Type="http://schemas.openxmlformats.org/officeDocument/2006/relationships/hyperlink" Target="https://coupa.ng/bg9Xc9" TargetMode="External"/><Relationship Id="rId9" Type="http://schemas.openxmlformats.org/officeDocument/2006/relationships/hyperlink" Target="https://coupa.ng/bg9XzY" TargetMode="External"/><Relationship Id="rId14" Type="http://schemas.openxmlformats.org/officeDocument/2006/relationships/hyperlink" Target="https://coupa.ng/bg9YpC" TargetMode="External"/><Relationship Id="rId22" Type="http://schemas.openxmlformats.org/officeDocument/2006/relationships/hyperlink" Target="https://coupa.ng/bg9Yt2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youtu.be/gKAhd2Lw6z4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28363-922D-46C1-AD47-7A62F027D8FE}">
  <dimension ref="A1:W121"/>
  <sheetViews>
    <sheetView zoomScale="145" zoomScaleNormal="145" zoomScaleSheetLayoutView="226" workbookViewId="0">
      <selection activeCell="E9" sqref="C9:E9"/>
    </sheetView>
  </sheetViews>
  <sheetFormatPr defaultRowHeight="16.5" x14ac:dyDescent="0.3"/>
  <cols>
    <col min="1" max="1" width="22.75" customWidth="1"/>
    <col min="2" max="2" width="14.5" customWidth="1"/>
    <col min="3" max="5" width="13.5" customWidth="1"/>
    <col min="6" max="6" width="9.25" hidden="1" customWidth="1"/>
    <col min="7" max="7" width="9.75" customWidth="1"/>
    <col min="8" max="8" width="4.625" customWidth="1"/>
    <col min="9" max="9" width="28.5" customWidth="1"/>
    <col min="10" max="10" width="13.5" customWidth="1"/>
    <col min="11" max="11" width="10.5" customWidth="1"/>
    <col min="12" max="12" width="11.25" customWidth="1"/>
    <col min="13" max="13" width="19.75" customWidth="1"/>
    <col min="14" max="14" width="11" customWidth="1"/>
  </cols>
  <sheetData>
    <row r="1" spans="1:23" ht="17.25" customHeight="1" thickBot="1" x14ac:dyDescent="0.35">
      <c r="A1" s="637" t="s">
        <v>0</v>
      </c>
      <c r="B1" s="638"/>
      <c r="C1" s="638"/>
      <c r="D1" s="639"/>
      <c r="E1" s="282"/>
      <c r="F1" s="282"/>
      <c r="G1" s="282"/>
      <c r="H1" s="283"/>
      <c r="I1" s="282"/>
      <c r="J1" s="282"/>
      <c r="K1" s="284"/>
      <c r="L1" s="284"/>
      <c r="M1" s="284"/>
      <c r="N1" s="284"/>
      <c r="O1" s="282"/>
      <c r="P1" s="282"/>
      <c r="Q1" s="282"/>
      <c r="R1" s="282"/>
      <c r="S1" s="282"/>
      <c r="T1" s="282"/>
      <c r="U1" s="282"/>
    </row>
    <row r="2" spans="1:23" ht="17.25" customHeight="1" thickBot="1" x14ac:dyDescent="0.35">
      <c r="A2" s="640" t="s">
        <v>566</v>
      </c>
      <c r="B2" s="641"/>
      <c r="C2" s="641"/>
      <c r="D2" s="642"/>
      <c r="E2" s="282"/>
      <c r="F2" s="282"/>
      <c r="G2" s="282"/>
      <c r="H2" s="283"/>
      <c r="I2" s="282"/>
      <c r="J2" s="2" t="s">
        <v>1</v>
      </c>
      <c r="K2" s="3" t="s">
        <v>2</v>
      </c>
      <c r="L2" s="282"/>
      <c r="M2" s="282"/>
      <c r="N2" s="284"/>
      <c r="O2" s="282"/>
      <c r="P2" s="282"/>
      <c r="Q2" s="282"/>
      <c r="R2" s="282"/>
      <c r="S2" s="282"/>
      <c r="T2" s="282"/>
    </row>
    <row r="3" spans="1:23" x14ac:dyDescent="0.3">
      <c r="A3" s="643" t="s">
        <v>3</v>
      </c>
      <c r="B3" s="644"/>
      <c r="C3" s="644"/>
      <c r="D3" s="645"/>
      <c r="E3" s="285"/>
      <c r="F3" s="285"/>
      <c r="G3" s="286"/>
      <c r="H3" s="283"/>
      <c r="I3" s="4" t="s">
        <v>4</v>
      </c>
      <c r="J3" s="650">
        <v>0.4</v>
      </c>
      <c r="K3" s="651"/>
      <c r="L3" s="652" t="str">
        <f>IF(J3&gt;0.7,"저지방,초고탄수",IF(J3&gt;0.6,"고탄수",IF(J3&gt;0.45,"균형",IF(J3&gt;0.3,"고지방",IF(J3&gt;0.1,"초고지방",IF(J3&gt;0.1,"케톤다이어트","케톤다이어트"))))))</f>
        <v>고지방</v>
      </c>
      <c r="M3" s="653"/>
      <c r="N3" s="654"/>
      <c r="O3" s="282"/>
      <c r="P3" s="282"/>
      <c r="Q3" s="282"/>
      <c r="R3" s="282"/>
      <c r="S3" s="282"/>
      <c r="T3" s="282"/>
    </row>
    <row r="4" spans="1:23" ht="17.25" thickBot="1" x14ac:dyDescent="0.35">
      <c r="A4" s="39" t="s">
        <v>5</v>
      </c>
      <c r="B4" s="658">
        <v>62</v>
      </c>
      <c r="C4" s="658"/>
      <c r="D4" s="659"/>
      <c r="E4" s="285"/>
      <c r="F4" s="285"/>
      <c r="G4" s="286"/>
      <c r="H4" s="283"/>
      <c r="I4" s="5" t="s">
        <v>6</v>
      </c>
      <c r="J4" s="6">
        <f>IF(COUNTA(E14)&gt;0,C14*J3,IF(COUNTA(E15)&gt;0,C15*J3,IF(COUNTA(E16)&gt;0,C16*J3,IF(COUNTA(E17)&gt;0,C17*J3,#REF!*J3))))</f>
        <v>605.56399466666664</v>
      </c>
      <c r="K4" s="7">
        <f>J4/4</f>
        <v>151.39099866666666</v>
      </c>
      <c r="L4" s="655"/>
      <c r="M4" s="656"/>
      <c r="N4" s="657"/>
      <c r="O4" s="282"/>
      <c r="P4" s="282"/>
      <c r="Q4" s="282"/>
      <c r="R4" s="282"/>
      <c r="S4" s="282"/>
      <c r="T4" s="282"/>
      <c r="U4" s="282"/>
      <c r="V4" s="282"/>
      <c r="W4" s="282"/>
    </row>
    <row r="5" spans="1:23" ht="17.25" thickBot="1" x14ac:dyDescent="0.35">
      <c r="A5" s="40" t="s">
        <v>7</v>
      </c>
      <c r="B5" s="646">
        <v>0.32400000000000001</v>
      </c>
      <c r="C5" s="646"/>
      <c r="D5" s="647"/>
      <c r="E5" s="285"/>
      <c r="F5" s="285"/>
      <c r="G5" s="286"/>
      <c r="H5" s="283"/>
      <c r="I5" s="8" t="s">
        <v>8</v>
      </c>
      <c r="J5" s="648">
        <f>J6/(J4/J3)</f>
        <v>0.23565135783634308</v>
      </c>
      <c r="K5" s="649"/>
      <c r="L5" s="664" t="s">
        <v>9</v>
      </c>
      <c r="M5" s="665"/>
      <c r="N5" s="666"/>
      <c r="O5" s="282"/>
      <c r="P5" s="282"/>
      <c r="Q5" s="282"/>
      <c r="R5" s="282"/>
      <c r="S5" s="282"/>
      <c r="T5" s="282"/>
      <c r="U5" s="282"/>
      <c r="V5" s="282"/>
      <c r="W5" s="282"/>
    </row>
    <row r="6" spans="1:23" ht="17.25" thickBot="1" x14ac:dyDescent="0.35">
      <c r="A6" s="285"/>
      <c r="B6" s="285"/>
      <c r="C6" s="282"/>
      <c r="D6" s="285"/>
      <c r="E6" s="282"/>
      <c r="F6" s="282"/>
      <c r="G6" s="286"/>
      <c r="H6" s="283"/>
      <c r="I6" s="9" t="s">
        <v>10</v>
      </c>
      <c r="J6" s="10">
        <f>K6*4</f>
        <v>356.75494400000002</v>
      </c>
      <c r="K6" s="11">
        <f>IF(COUNTA(C9)&gt;0,C8,E8)</f>
        <v>89.188736000000006</v>
      </c>
      <c r="L6" s="667"/>
      <c r="M6" s="668"/>
      <c r="N6" s="669"/>
      <c r="O6" s="282"/>
      <c r="P6" s="282"/>
      <c r="Q6" s="282"/>
      <c r="R6" s="282"/>
      <c r="S6" s="282"/>
      <c r="T6" s="282"/>
      <c r="U6" s="282"/>
      <c r="V6" s="282"/>
      <c r="W6" s="282"/>
    </row>
    <row r="7" spans="1:23" x14ac:dyDescent="0.3">
      <c r="A7" s="670" t="s">
        <v>11</v>
      </c>
      <c r="B7" s="671"/>
      <c r="C7" s="671"/>
      <c r="D7" s="672"/>
      <c r="E7" s="287" t="s">
        <v>555</v>
      </c>
      <c r="F7" s="288"/>
      <c r="G7" s="286"/>
      <c r="H7" s="283"/>
      <c r="I7" s="12" t="s">
        <v>12</v>
      </c>
      <c r="J7" s="673">
        <f>1-J5-J3</f>
        <v>0.36434864216365692</v>
      </c>
      <c r="K7" s="674"/>
      <c r="L7" s="13" t="s">
        <v>13</v>
      </c>
      <c r="M7" s="14"/>
      <c r="N7" s="15"/>
      <c r="O7" s="16"/>
      <c r="P7" s="282"/>
      <c r="Q7" s="282"/>
      <c r="R7" s="282"/>
      <c r="S7" s="282"/>
      <c r="T7" s="282"/>
      <c r="U7" s="282"/>
      <c r="V7" s="282"/>
      <c r="W7" s="282"/>
    </row>
    <row r="8" spans="1:23" ht="17.25" thickBot="1" x14ac:dyDescent="0.35">
      <c r="A8" s="660" t="s">
        <v>14</v>
      </c>
      <c r="B8" s="661"/>
      <c r="C8" s="662">
        <f>IF(B5&gt;0.2,B4*(1-B5)*1.33*1.6,B4*1.6)</f>
        <v>89.188736000000006</v>
      </c>
      <c r="D8" s="663"/>
      <c r="E8" s="289">
        <f>IF(B5&gt;0.2,B4*(1-B5)*1.33*2,B4*2)</f>
        <v>111.48592000000001</v>
      </c>
      <c r="F8" s="290"/>
      <c r="G8" s="286"/>
      <c r="H8" s="283"/>
      <c r="I8" s="17" t="s">
        <v>15</v>
      </c>
      <c r="J8" s="18">
        <f>J4/J3*J7</f>
        <v>551.59104799999989</v>
      </c>
      <c r="K8" s="19">
        <f>J8/9</f>
        <v>61.287894222222207</v>
      </c>
      <c r="L8" s="9" t="s">
        <v>16</v>
      </c>
      <c r="M8" s="20"/>
      <c r="N8" s="21"/>
      <c r="O8" s="22"/>
      <c r="P8" s="282"/>
      <c r="Q8" s="282"/>
      <c r="R8" s="282"/>
      <c r="S8" s="282"/>
      <c r="T8" s="282"/>
      <c r="U8" s="282"/>
      <c r="V8" s="282"/>
      <c r="W8" s="282"/>
    </row>
    <row r="9" spans="1:23" ht="16.5" customHeight="1" x14ac:dyDescent="0.3">
      <c r="A9" s="273"/>
      <c r="B9" s="291" t="s">
        <v>556</v>
      </c>
      <c r="C9" s="617" t="s">
        <v>24</v>
      </c>
      <c r="D9" s="618"/>
      <c r="E9" s="362"/>
      <c r="F9" s="292"/>
      <c r="G9" s="286"/>
      <c r="H9" s="283"/>
      <c r="I9" s="285"/>
      <c r="J9" s="293"/>
      <c r="K9" s="284"/>
      <c r="L9" s="284"/>
      <c r="M9" s="284"/>
      <c r="N9" s="284"/>
      <c r="O9" s="282"/>
      <c r="P9" s="282"/>
      <c r="Q9" s="282"/>
      <c r="R9" s="282"/>
      <c r="S9" s="282"/>
      <c r="T9" s="282"/>
      <c r="U9" s="282"/>
      <c r="V9" s="282"/>
      <c r="W9" s="282"/>
    </row>
    <row r="10" spans="1:23" ht="17.25" thickBot="1" x14ac:dyDescent="0.35">
      <c r="A10" s="619" t="s">
        <v>624</v>
      </c>
      <c r="B10" s="620"/>
      <c r="C10" s="620"/>
      <c r="D10" s="620"/>
      <c r="E10" s="621"/>
      <c r="F10" s="294"/>
      <c r="G10" s="286"/>
      <c r="H10" s="283"/>
      <c r="I10" s="295"/>
      <c r="J10" s="293"/>
      <c r="K10" s="284"/>
      <c r="L10" s="284"/>
      <c r="M10" s="284"/>
      <c r="N10" s="284"/>
      <c r="O10" s="282"/>
      <c r="P10" s="282"/>
      <c r="Q10" s="282"/>
      <c r="R10" s="282"/>
      <c r="S10" s="282"/>
      <c r="T10" s="282"/>
      <c r="U10" s="282"/>
      <c r="V10" s="282"/>
      <c r="W10" s="282"/>
    </row>
    <row r="11" spans="1:23" ht="17.25" thickBot="1" x14ac:dyDescent="0.35">
      <c r="A11" s="622"/>
      <c r="B11" s="623"/>
      <c r="C11" s="623"/>
      <c r="D11" s="623"/>
      <c r="E11" s="624"/>
      <c r="F11" s="285"/>
      <c r="G11" s="286"/>
      <c r="H11" s="283"/>
      <c r="I11" s="625" t="s">
        <v>17</v>
      </c>
      <c r="J11" s="626"/>
      <c r="K11" s="627"/>
      <c r="L11" s="582" t="s">
        <v>567</v>
      </c>
      <c r="M11" s="583"/>
      <c r="N11" s="583"/>
      <c r="O11" s="584"/>
      <c r="P11" s="282"/>
      <c r="Q11" s="282"/>
      <c r="R11" s="282"/>
      <c r="S11" s="282"/>
      <c r="T11" s="282"/>
      <c r="U11" s="282"/>
      <c r="V11" s="282"/>
      <c r="W11" s="282"/>
    </row>
    <row r="12" spans="1:23" ht="17.25" thickBot="1" x14ac:dyDescent="0.35">
      <c r="A12" s="285"/>
      <c r="B12" s="285"/>
      <c r="C12" s="282"/>
      <c r="D12" s="285"/>
      <c r="E12" s="285"/>
      <c r="F12" s="285"/>
      <c r="G12" s="286"/>
      <c r="H12" s="283"/>
      <c r="I12" s="24" t="s">
        <v>20</v>
      </c>
      <c r="J12" s="628">
        <f>J4/300</f>
        <v>2.018546648888889</v>
      </c>
      <c r="K12" s="629"/>
      <c r="L12" s="585"/>
      <c r="M12" s="586"/>
      <c r="N12" s="586"/>
      <c r="O12" s="587"/>
      <c r="P12" s="282"/>
      <c r="Q12" s="282"/>
      <c r="R12" s="282"/>
      <c r="S12" s="282"/>
      <c r="T12" s="282"/>
      <c r="U12" s="282"/>
      <c r="V12" s="282"/>
      <c r="W12" s="282"/>
    </row>
    <row r="13" spans="1:23" ht="17.25" thickBot="1" x14ac:dyDescent="0.35">
      <c r="A13" s="630" t="s">
        <v>18</v>
      </c>
      <c r="B13" s="631"/>
      <c r="C13" s="631"/>
      <c r="D13" s="631"/>
      <c r="E13" s="23" t="s">
        <v>19</v>
      </c>
      <c r="F13" s="285"/>
      <c r="G13" s="286"/>
      <c r="H13" s="283"/>
      <c r="I13" s="25" t="s">
        <v>22</v>
      </c>
      <c r="J13" s="632">
        <v>4</v>
      </c>
      <c r="K13" s="633"/>
      <c r="L13" s="284"/>
      <c r="M13" s="284"/>
      <c r="N13" s="284"/>
      <c r="O13" s="282"/>
      <c r="P13" s="282"/>
      <c r="Q13" s="282"/>
      <c r="R13" s="282"/>
      <c r="S13" s="282"/>
      <c r="T13" s="282"/>
      <c r="U13" s="282"/>
      <c r="V13" s="282"/>
      <c r="W13" s="282"/>
    </row>
    <row r="14" spans="1:23" ht="17.25" thickBot="1" x14ac:dyDescent="0.35">
      <c r="A14" s="612" t="s">
        <v>21</v>
      </c>
      <c r="B14" s="613"/>
      <c r="C14" s="614">
        <f>1.4*F46-(F46*E23*1.35/24)+$E$22+$C$19</f>
        <v>1397.0075599999996</v>
      </c>
      <c r="D14" s="614"/>
      <c r="E14" s="279"/>
      <c r="F14" s="285"/>
      <c r="G14" s="286"/>
      <c r="H14" s="283"/>
      <c r="I14" s="285"/>
      <c r="J14" s="285"/>
      <c r="K14" s="284"/>
      <c r="L14" s="284"/>
      <c r="M14" s="284"/>
      <c r="N14" s="284"/>
      <c r="O14" s="282"/>
      <c r="P14" s="282"/>
      <c r="Q14" s="282"/>
      <c r="R14" s="282"/>
      <c r="S14" s="282"/>
      <c r="T14" s="282"/>
      <c r="U14" s="282"/>
      <c r="V14" s="282"/>
      <c r="W14" s="282"/>
    </row>
    <row r="15" spans="1:23" ht="17.25" thickBot="1" x14ac:dyDescent="0.35">
      <c r="A15" s="612" t="s">
        <v>23</v>
      </c>
      <c r="B15" s="613"/>
      <c r="C15" s="614">
        <f>1.5*F46-(F46*E23*1.45/24)+$E$22+$C$19</f>
        <v>1513.9099866666666</v>
      </c>
      <c r="D15" s="614"/>
      <c r="E15" s="279" t="s">
        <v>24</v>
      </c>
      <c r="F15" s="285"/>
      <c r="G15" s="286"/>
      <c r="H15" s="283"/>
      <c r="I15" s="634" t="s">
        <v>26</v>
      </c>
      <c r="J15" s="635"/>
      <c r="K15" s="636"/>
      <c r="L15" s="282"/>
      <c r="M15" s="296"/>
      <c r="N15" s="297" t="s">
        <v>27</v>
      </c>
      <c r="O15" s="298" t="s">
        <v>28</v>
      </c>
      <c r="P15" s="282"/>
      <c r="Q15" s="282"/>
      <c r="R15" s="282"/>
      <c r="S15" s="282"/>
      <c r="T15" s="282"/>
      <c r="U15" s="282"/>
      <c r="V15" s="282"/>
      <c r="W15" s="282"/>
    </row>
    <row r="16" spans="1:23" ht="17.25" thickBot="1" x14ac:dyDescent="0.35">
      <c r="A16" s="612" t="s">
        <v>25</v>
      </c>
      <c r="B16" s="613"/>
      <c r="C16" s="614">
        <f>1.75*F46-(F46*E23*1.65/24)+$E$22+$C$19</f>
        <v>1811.4798000000001</v>
      </c>
      <c r="D16" s="614"/>
      <c r="E16" s="279"/>
      <c r="F16" s="285"/>
      <c r="G16" s="286"/>
      <c r="H16" s="283"/>
      <c r="I16" s="26" t="s">
        <v>30</v>
      </c>
      <c r="J16" s="615">
        <f>J13*5*0.6</f>
        <v>12</v>
      </c>
      <c r="K16" s="616"/>
      <c r="L16" s="282"/>
      <c r="M16" s="24" t="s">
        <v>31</v>
      </c>
      <c r="N16" s="299">
        <v>23</v>
      </c>
      <c r="O16" s="300">
        <v>0.97</v>
      </c>
      <c r="P16" s="282"/>
      <c r="Q16" s="282"/>
      <c r="R16" s="282"/>
      <c r="S16" s="282"/>
      <c r="T16" s="282"/>
      <c r="U16" s="282"/>
      <c r="V16" s="282"/>
      <c r="W16" s="282"/>
    </row>
    <row r="17" spans="1:23" ht="17.25" thickBot="1" x14ac:dyDescent="0.35">
      <c r="A17" s="603" t="s">
        <v>29</v>
      </c>
      <c r="B17" s="604"/>
      <c r="C17" s="605">
        <f>2*F46-(F46*E23*1.9/24)+$E$22+$C$19</f>
        <v>2103.7358666666664</v>
      </c>
      <c r="D17" s="605"/>
      <c r="E17" s="277"/>
      <c r="F17" s="285"/>
      <c r="G17" s="286"/>
      <c r="H17" s="283"/>
      <c r="I17" s="29" t="s">
        <v>34</v>
      </c>
      <c r="J17" s="30" t="s">
        <v>35</v>
      </c>
      <c r="K17" s="31" t="s">
        <v>36</v>
      </c>
      <c r="L17" s="282"/>
      <c r="M17" s="24" t="s">
        <v>37</v>
      </c>
      <c r="N17" s="299">
        <v>20</v>
      </c>
      <c r="O17" s="300">
        <v>9.5</v>
      </c>
      <c r="P17" s="282"/>
      <c r="Q17" s="282"/>
      <c r="R17" s="282"/>
      <c r="S17" s="282"/>
      <c r="T17" s="282"/>
      <c r="U17" s="282"/>
      <c r="V17" s="282"/>
      <c r="W17" s="282"/>
    </row>
    <row r="18" spans="1:23" ht="17.25" thickBot="1" x14ac:dyDescent="0.35">
      <c r="A18" s="606" t="s">
        <v>32</v>
      </c>
      <c r="B18" s="607"/>
      <c r="C18" s="608" t="s">
        <v>33</v>
      </c>
      <c r="D18" s="609"/>
      <c r="E18" s="285"/>
      <c r="F18" s="301"/>
      <c r="G18" s="286"/>
      <c r="H18" s="283"/>
      <c r="I18" s="33" t="s">
        <v>39</v>
      </c>
      <c r="J18" s="42" t="s">
        <v>24</v>
      </c>
      <c r="K18" s="43"/>
      <c r="L18" s="282"/>
      <c r="M18" s="24" t="s">
        <v>40</v>
      </c>
      <c r="N18" s="275">
        <f>12.4*0.6</f>
        <v>7.4399999999999995</v>
      </c>
      <c r="O18" s="276">
        <f>7.37*0.6</f>
        <v>4.4219999999999997</v>
      </c>
      <c r="P18" s="282"/>
      <c r="Q18" s="282"/>
      <c r="R18" s="282"/>
      <c r="S18" s="282"/>
      <c r="T18" s="282"/>
      <c r="U18" s="282"/>
      <c r="V18" s="282"/>
      <c r="W18" s="282"/>
    </row>
    <row r="19" spans="1:23" ht="17.25" thickBot="1" x14ac:dyDescent="0.35">
      <c r="A19" s="594" t="s">
        <v>38</v>
      </c>
      <c r="B19" s="595"/>
      <c r="C19" s="610">
        <v>-500</v>
      </c>
      <c r="D19" s="611"/>
      <c r="E19" s="301"/>
      <c r="F19" s="302"/>
      <c r="G19" s="286"/>
      <c r="H19" s="283"/>
      <c r="I19" s="38" t="s">
        <v>42</v>
      </c>
      <c r="J19" s="592">
        <f>K6-J16-IF(COUNTA(J18)&gt;0,20,IF(COUNTA(K18)&gt;0,40,0))</f>
        <v>57.188736000000006</v>
      </c>
      <c r="K19" s="593"/>
      <c r="L19" s="282"/>
      <c r="M19" s="24" t="s">
        <v>43</v>
      </c>
      <c r="N19" s="299">
        <v>21.3</v>
      </c>
      <c r="O19" s="300">
        <v>3.34</v>
      </c>
      <c r="P19" s="282"/>
      <c r="Q19" s="282"/>
      <c r="R19" s="282"/>
      <c r="S19" s="282"/>
      <c r="T19" s="282"/>
      <c r="U19" s="282"/>
      <c r="V19" s="282"/>
      <c r="W19" s="282"/>
    </row>
    <row r="20" spans="1:23" ht="17.25" thickBot="1" x14ac:dyDescent="0.35">
      <c r="A20" s="594" t="s">
        <v>41</v>
      </c>
      <c r="B20" s="595"/>
      <c r="C20" s="302"/>
      <c r="D20" s="302"/>
      <c r="E20" s="302"/>
      <c r="F20" s="302"/>
      <c r="G20" s="286"/>
      <c r="H20" s="283"/>
      <c r="I20" s="35"/>
      <c r="J20" s="274" t="s">
        <v>44</v>
      </c>
      <c r="K20" s="36" t="s">
        <v>45</v>
      </c>
      <c r="L20" s="303" t="s">
        <v>46</v>
      </c>
      <c r="M20" s="304" t="s">
        <v>47</v>
      </c>
      <c r="N20" s="305">
        <v>3.43</v>
      </c>
      <c r="O20" s="306">
        <v>0.9</v>
      </c>
      <c r="P20" s="282"/>
      <c r="Q20" s="282"/>
      <c r="R20" s="282"/>
      <c r="S20" s="282"/>
      <c r="T20" s="282"/>
      <c r="U20" s="282"/>
      <c r="V20" s="282"/>
      <c r="W20" s="282"/>
    </row>
    <row r="21" spans="1:23" x14ac:dyDescent="0.3">
      <c r="A21" s="272" t="s">
        <v>557</v>
      </c>
      <c r="B21" s="307" t="s">
        <v>565</v>
      </c>
      <c r="C21" s="281" t="s">
        <v>558</v>
      </c>
      <c r="D21" s="282"/>
      <c r="E21" s="302"/>
      <c r="F21" s="302"/>
      <c r="G21" s="286"/>
      <c r="H21" s="283"/>
      <c r="I21" s="41" t="s">
        <v>426</v>
      </c>
      <c r="J21" s="278"/>
      <c r="K21" s="34">
        <f>IF(I21="보충제 한스쿱",VLOOKUP(I21,$M$16:$O$26,2,FALSE)*$J21,IF(I21="계란 1개",VLOOKUP(I21,$M$16:$O$26,2,FALSE)*$J21,VLOOKUP(I21,$M$16:$O$26,2,FALSE)*$J21/100))</f>
        <v>0</v>
      </c>
      <c r="L21" s="308">
        <f>IF(I21="보충제 한스쿱",VLOOKUP(I21,$M$16:$O$26,3,FALSE)*$J21,IF(I21="계란 1개",VLOOKUP(I21,$M$16:$O$26,3,FALSE)*$J21,VLOOKUP(I21,$M$16:$O$26,3,FALSE)*$J21/100))</f>
        <v>0</v>
      </c>
      <c r="M21" s="304" t="s">
        <v>49</v>
      </c>
      <c r="N21" s="305">
        <v>23</v>
      </c>
      <c r="O21" s="306">
        <v>2</v>
      </c>
      <c r="P21" s="282"/>
      <c r="Q21" s="282"/>
      <c r="R21" s="282"/>
      <c r="S21" s="282"/>
      <c r="T21" s="282"/>
      <c r="U21" s="282"/>
      <c r="V21" s="282"/>
      <c r="W21" s="282"/>
    </row>
    <row r="22" spans="1:23" x14ac:dyDescent="0.3">
      <c r="A22" s="309" t="s">
        <v>559</v>
      </c>
      <c r="B22" s="359">
        <v>1</v>
      </c>
      <c r="C22" s="276">
        <f>(21.6*$B$4*(1-$B$5)+370)/24*B22*1.8</f>
        <v>95.647439999999989</v>
      </c>
      <c r="D22" s="282"/>
      <c r="E22" s="310">
        <f>SUM(C22:C25)</f>
        <v>255.05983999999998</v>
      </c>
      <c r="F22" s="302"/>
      <c r="G22" s="286"/>
      <c r="H22" s="283"/>
      <c r="I22" s="41" t="s">
        <v>50</v>
      </c>
      <c r="J22" s="278">
        <v>3</v>
      </c>
      <c r="K22" s="34">
        <f t="shared" ref="K22:K29" si="0">IF(I22="보충제 한스쿱",VLOOKUP(I22,$M$16:$O$26,2,FALSE)*$J22,IF(I22="계란 1개",VLOOKUP(I22,$M$16:$O$26,2,FALSE)*$J22,VLOOKUP(I22,$M$16:$O$26,2,FALSE)*$J22/100))</f>
        <v>22.32</v>
      </c>
      <c r="L22" s="308">
        <f t="shared" ref="L22:L29" si="1">IF(I22="보충제 한스쿱",VLOOKUP(I22,$M$16:$O$26,3,FALSE)*$J22,IF(I22="계란 1개",VLOOKUP(I22,$M$16:$O$26,3,FALSE)*$J22,VLOOKUP(I22,$M$16:$O$26,3,FALSE)*$J22/100))</f>
        <v>13.265999999999998</v>
      </c>
      <c r="M22" s="363" t="s">
        <v>427</v>
      </c>
      <c r="N22" s="364">
        <v>20</v>
      </c>
      <c r="O22" s="365">
        <v>10</v>
      </c>
      <c r="P22" s="282"/>
      <c r="Q22" s="282"/>
      <c r="R22" s="282"/>
      <c r="S22" s="282"/>
      <c r="T22" s="282"/>
      <c r="U22" s="282"/>
      <c r="V22" s="282"/>
      <c r="W22" s="282"/>
    </row>
    <row r="23" spans="1:23" x14ac:dyDescent="0.3">
      <c r="A23" s="309" t="s">
        <v>560</v>
      </c>
      <c r="B23" s="359">
        <v>1</v>
      </c>
      <c r="C23" s="276">
        <f>(21.6*$B$4*(1-$B$5)+370)/24*B23*3</f>
        <v>159.41239999999999</v>
      </c>
      <c r="D23" s="302"/>
      <c r="E23" s="310">
        <f>SUM(B22:B25)</f>
        <v>2</v>
      </c>
      <c r="F23" s="302"/>
      <c r="G23" s="286"/>
      <c r="H23" s="283"/>
      <c r="I23" s="41" t="s">
        <v>51</v>
      </c>
      <c r="J23" s="278">
        <v>200</v>
      </c>
      <c r="K23" s="34">
        <f t="shared" si="0"/>
        <v>6.86</v>
      </c>
      <c r="L23" s="308">
        <f t="shared" si="1"/>
        <v>1.8</v>
      </c>
      <c r="M23" s="363"/>
      <c r="N23" s="364"/>
      <c r="O23" s="365"/>
      <c r="P23" s="282"/>
      <c r="Q23" s="282"/>
      <c r="R23" s="282"/>
      <c r="S23" s="282"/>
      <c r="T23" s="282"/>
      <c r="U23" s="282"/>
      <c r="V23" s="282"/>
      <c r="W23" s="282"/>
    </row>
    <row r="24" spans="1:23" x14ac:dyDescent="0.3">
      <c r="A24" s="311" t="s">
        <v>561</v>
      </c>
      <c r="B24" s="360"/>
      <c r="C24" s="276">
        <f>(21.6*$B$4*(1-$B$5)+370)/24*B24*4.5</f>
        <v>0</v>
      </c>
      <c r="D24" s="302"/>
      <c r="E24" s="302"/>
      <c r="F24" s="302"/>
      <c r="G24" s="312"/>
      <c r="H24" s="283"/>
      <c r="I24" s="41" t="s">
        <v>52</v>
      </c>
      <c r="J24" s="278"/>
      <c r="K24" s="34">
        <f t="shared" si="0"/>
        <v>0</v>
      </c>
      <c r="L24" s="308">
        <f t="shared" si="1"/>
        <v>0</v>
      </c>
      <c r="M24" s="363"/>
      <c r="N24" s="364"/>
      <c r="O24" s="365"/>
      <c r="P24" s="282"/>
      <c r="Q24" s="282"/>
      <c r="R24" s="282"/>
      <c r="S24" s="282"/>
      <c r="T24" s="282"/>
      <c r="U24" s="282"/>
      <c r="V24" s="282"/>
      <c r="W24" s="282"/>
    </row>
    <row r="25" spans="1:23" ht="17.25" thickBot="1" x14ac:dyDescent="0.35">
      <c r="A25" s="313" t="s">
        <v>562</v>
      </c>
      <c r="B25" s="361"/>
      <c r="C25" s="314">
        <f>(21.6*$B$4*(1-$B$5)+370)/24*B25*5.5</f>
        <v>0</v>
      </c>
      <c r="D25" s="302"/>
      <c r="E25" s="302"/>
      <c r="F25" s="302"/>
      <c r="G25" s="312"/>
      <c r="H25" s="283"/>
      <c r="I25" s="41" t="s">
        <v>53</v>
      </c>
      <c r="J25" s="278"/>
      <c r="K25" s="34">
        <f t="shared" si="0"/>
        <v>0</v>
      </c>
      <c r="L25" s="308">
        <f t="shared" si="1"/>
        <v>0</v>
      </c>
      <c r="M25" s="363"/>
      <c r="N25" s="364"/>
      <c r="O25" s="365"/>
      <c r="P25" s="282"/>
      <c r="Q25" s="282"/>
      <c r="R25" s="282"/>
      <c r="S25" s="282"/>
      <c r="T25" s="282"/>
      <c r="U25" s="282"/>
      <c r="V25" s="282"/>
      <c r="W25" s="282"/>
    </row>
    <row r="26" spans="1:23" ht="17.25" thickBot="1" x14ac:dyDescent="0.35">
      <c r="A26" s="302"/>
      <c r="B26" s="315"/>
      <c r="C26" s="302"/>
      <c r="D26" s="302"/>
      <c r="E26" s="302"/>
      <c r="F26" s="316"/>
      <c r="G26" s="312"/>
      <c r="H26" s="283"/>
      <c r="I26" s="41" t="s">
        <v>48</v>
      </c>
      <c r="J26" s="278">
        <v>100</v>
      </c>
      <c r="K26" s="34">
        <f t="shared" si="0"/>
        <v>20</v>
      </c>
      <c r="L26" s="308">
        <f t="shared" si="1"/>
        <v>9.5</v>
      </c>
      <c r="M26" s="366"/>
      <c r="N26" s="367"/>
      <c r="O26" s="368"/>
      <c r="P26" s="282"/>
      <c r="Q26" s="282"/>
      <c r="R26" s="282"/>
      <c r="S26" s="282"/>
      <c r="T26" s="282"/>
      <c r="U26" s="282"/>
      <c r="V26" s="282"/>
      <c r="W26" s="282"/>
    </row>
    <row r="27" spans="1:23" ht="17.25" thickBot="1" x14ac:dyDescent="0.35">
      <c r="A27" s="317" t="s">
        <v>124</v>
      </c>
      <c r="B27" s="596" t="s">
        <v>125</v>
      </c>
      <c r="C27" s="597"/>
      <c r="D27" s="316"/>
      <c r="E27" s="316"/>
      <c r="F27" s="316"/>
      <c r="G27" s="315"/>
      <c r="H27" s="318"/>
      <c r="I27" s="41" t="s">
        <v>53</v>
      </c>
      <c r="J27" s="278"/>
      <c r="K27" s="34">
        <f t="shared" si="0"/>
        <v>0</v>
      </c>
      <c r="L27" s="37">
        <f t="shared" si="1"/>
        <v>0</v>
      </c>
      <c r="M27" s="598" t="s">
        <v>123</v>
      </c>
      <c r="N27" s="599"/>
      <c r="O27" s="600"/>
      <c r="P27" s="318"/>
      <c r="Q27" s="282"/>
      <c r="R27" s="282"/>
      <c r="S27" s="282"/>
      <c r="T27" s="282"/>
      <c r="U27" s="282"/>
      <c r="V27" s="282"/>
      <c r="W27" s="282"/>
    </row>
    <row r="28" spans="1:23" ht="17.25" thickBot="1" x14ac:dyDescent="0.35">
      <c r="A28" s="319" t="s">
        <v>126</v>
      </c>
      <c r="B28" s="601" t="s">
        <v>232</v>
      </c>
      <c r="C28" s="602"/>
      <c r="D28" s="316"/>
      <c r="E28" s="316"/>
      <c r="F28" s="301"/>
      <c r="G28" s="301"/>
      <c r="H28" s="318"/>
      <c r="I28" s="41" t="s">
        <v>52</v>
      </c>
      <c r="J28" s="278"/>
      <c r="K28" s="34">
        <f t="shared" si="0"/>
        <v>0</v>
      </c>
      <c r="L28" s="320">
        <f t="shared" si="1"/>
        <v>0</v>
      </c>
      <c r="M28" s="282"/>
      <c r="N28" s="318"/>
      <c r="O28" s="318"/>
      <c r="P28" s="318"/>
      <c r="Q28" s="282"/>
      <c r="R28" s="282"/>
      <c r="S28" s="282"/>
      <c r="T28" s="282"/>
      <c r="U28" s="282"/>
      <c r="V28" s="282"/>
      <c r="W28" s="282"/>
    </row>
    <row r="29" spans="1:23" ht="17.25" thickBot="1" x14ac:dyDescent="0.35">
      <c r="A29" s="358" t="s">
        <v>563</v>
      </c>
      <c r="B29" s="578" t="s">
        <v>564</v>
      </c>
      <c r="C29" s="579"/>
      <c r="D29" s="301"/>
      <c r="E29" s="301"/>
      <c r="F29" s="321"/>
      <c r="G29" s="321"/>
      <c r="H29" s="318"/>
      <c r="I29" s="41" t="s">
        <v>54</v>
      </c>
      <c r="J29" s="278">
        <v>1</v>
      </c>
      <c r="K29" s="34">
        <f t="shared" si="0"/>
        <v>23</v>
      </c>
      <c r="L29" s="320">
        <f t="shared" si="1"/>
        <v>2</v>
      </c>
      <c r="M29" s="282"/>
      <c r="N29" s="318"/>
      <c r="O29" s="318"/>
      <c r="P29" s="318"/>
      <c r="Q29" s="282"/>
      <c r="R29" s="282"/>
      <c r="S29" s="285"/>
      <c r="T29" s="282"/>
      <c r="U29" s="282"/>
      <c r="V29" s="282"/>
      <c r="W29" s="282"/>
    </row>
    <row r="30" spans="1:23" x14ac:dyDescent="0.3">
      <c r="A30" s="321"/>
      <c r="B30" s="321"/>
      <c r="C30" s="321"/>
      <c r="D30" s="321"/>
      <c r="E30" s="321"/>
      <c r="F30" s="321"/>
      <c r="G30" s="321"/>
      <c r="H30" s="318"/>
      <c r="I30" s="322" t="s">
        <v>55</v>
      </c>
      <c r="J30" s="323"/>
      <c r="K30" s="324">
        <f>SUM(K21:K29)</f>
        <v>72.180000000000007</v>
      </c>
      <c r="L30" s="325">
        <f>SUM(L21:L29)</f>
        <v>26.565999999999999</v>
      </c>
      <c r="M30" s="282"/>
      <c r="N30" s="318"/>
      <c r="O30" s="318"/>
      <c r="P30" s="318"/>
      <c r="Q30" s="282"/>
      <c r="R30" s="282"/>
      <c r="S30" s="282"/>
      <c r="T30" s="282"/>
      <c r="U30" s="282"/>
      <c r="V30" s="282"/>
      <c r="W30" s="282"/>
    </row>
    <row r="31" spans="1:23" ht="17.25" thickBot="1" x14ac:dyDescent="0.35">
      <c r="A31" s="326"/>
      <c r="B31" s="321"/>
      <c r="C31" s="321"/>
      <c r="D31" s="321"/>
      <c r="E31" s="321"/>
      <c r="F31" s="321"/>
      <c r="G31" s="321"/>
      <c r="H31" s="318"/>
      <c r="I31" s="603" t="s">
        <v>56</v>
      </c>
      <c r="J31" s="604"/>
      <c r="K31" s="327">
        <f>J19-K30</f>
        <v>-14.991264000000001</v>
      </c>
      <c r="L31" s="328"/>
      <c r="M31" s="282"/>
      <c r="N31" s="318"/>
      <c r="O31" s="318"/>
      <c r="P31" s="318"/>
      <c r="Q31" s="282"/>
      <c r="R31" s="282"/>
      <c r="S31" s="282"/>
      <c r="T31" s="282"/>
      <c r="U31" s="282"/>
      <c r="V31" s="282"/>
      <c r="W31" s="282"/>
    </row>
    <row r="32" spans="1:23" x14ac:dyDescent="0.3">
      <c r="A32" s="326"/>
      <c r="B32" s="321"/>
      <c r="C32" s="321"/>
      <c r="D32" s="321"/>
      <c r="E32" s="321"/>
      <c r="F32" s="321"/>
      <c r="G32" s="321"/>
      <c r="H32" s="318"/>
      <c r="I32" s="282"/>
      <c r="J32" s="282"/>
      <c r="K32" s="282"/>
      <c r="L32" s="282"/>
      <c r="M32" s="282"/>
      <c r="N32" s="318"/>
      <c r="O32" s="318"/>
      <c r="P32" s="318"/>
      <c r="Q32" s="282"/>
      <c r="R32" s="282"/>
      <c r="S32" s="282"/>
      <c r="T32" s="282"/>
      <c r="U32" s="282"/>
      <c r="V32" s="282"/>
      <c r="W32" s="282"/>
    </row>
    <row r="33" spans="1:23" x14ac:dyDescent="0.3">
      <c r="A33" s="329"/>
      <c r="B33" s="321"/>
      <c r="C33" s="321"/>
      <c r="D33" s="321"/>
      <c r="E33" s="321"/>
      <c r="F33" s="321"/>
      <c r="G33" s="321"/>
      <c r="H33" s="318"/>
      <c r="I33" s="282"/>
      <c r="J33" s="282"/>
      <c r="K33" s="282"/>
      <c r="L33" s="282"/>
      <c r="M33" s="282"/>
      <c r="N33" s="318"/>
      <c r="O33" s="318"/>
      <c r="P33" s="318"/>
      <c r="Q33" s="282"/>
      <c r="R33" s="282"/>
      <c r="S33" s="282"/>
      <c r="T33" s="282"/>
      <c r="U33" s="282"/>
      <c r="V33" s="282"/>
      <c r="W33" s="282"/>
    </row>
    <row r="34" spans="1:23" x14ac:dyDescent="0.3">
      <c r="A34" s="330"/>
      <c r="B34" s="321"/>
      <c r="C34" s="321"/>
      <c r="D34" s="321"/>
      <c r="E34" s="321"/>
      <c r="F34" s="321"/>
      <c r="G34" s="321"/>
      <c r="H34" s="318"/>
      <c r="I34" s="282"/>
      <c r="J34" s="282"/>
      <c r="K34" s="282"/>
      <c r="L34" s="282"/>
      <c r="M34" s="282"/>
      <c r="N34" s="318"/>
      <c r="O34" s="318"/>
      <c r="P34" s="318"/>
      <c r="Q34" s="282"/>
      <c r="R34" s="282"/>
      <c r="S34" s="282"/>
      <c r="T34" s="282"/>
      <c r="U34" s="282"/>
      <c r="V34" s="282"/>
      <c r="W34" s="282"/>
    </row>
    <row r="35" spans="1:23" x14ac:dyDescent="0.3">
      <c r="A35" s="331"/>
      <c r="B35" s="321"/>
      <c r="C35" s="321"/>
      <c r="D35" s="321"/>
      <c r="E35" s="321"/>
      <c r="F35" s="321"/>
      <c r="G35" s="321"/>
      <c r="H35" s="318"/>
      <c r="I35" s="282"/>
      <c r="J35" s="282"/>
      <c r="K35" s="282"/>
      <c r="L35" s="282"/>
      <c r="M35" s="282"/>
      <c r="N35" s="318"/>
      <c r="O35" s="318"/>
      <c r="P35" s="318"/>
      <c r="Q35" s="282"/>
      <c r="R35" s="282"/>
      <c r="S35" s="282"/>
      <c r="T35" s="282"/>
      <c r="U35" s="282"/>
      <c r="V35" s="282"/>
      <c r="W35" s="282"/>
    </row>
    <row r="36" spans="1:23" x14ac:dyDescent="0.3">
      <c r="A36" s="331"/>
      <c r="B36" s="321"/>
      <c r="C36" s="321"/>
      <c r="D36" s="321"/>
      <c r="E36" s="321"/>
      <c r="F36" s="321"/>
      <c r="G36" s="321"/>
      <c r="H36" s="318"/>
      <c r="I36" s="282"/>
      <c r="J36" s="282"/>
      <c r="K36" s="282"/>
      <c r="L36" s="282"/>
      <c r="M36" s="282"/>
      <c r="N36" s="318"/>
      <c r="O36" s="318"/>
      <c r="P36" s="318"/>
      <c r="Q36" s="282"/>
      <c r="R36" s="282"/>
      <c r="S36" s="282"/>
      <c r="T36" s="282"/>
      <c r="U36" s="282"/>
      <c r="V36" s="282"/>
      <c r="W36" s="282"/>
    </row>
    <row r="37" spans="1:23" x14ac:dyDescent="0.3">
      <c r="A37" s="331"/>
      <c r="B37" s="321"/>
      <c r="C37" s="321"/>
      <c r="D37" s="321"/>
      <c r="E37" s="321"/>
      <c r="F37" s="321"/>
      <c r="G37" s="321"/>
      <c r="H37" s="318"/>
      <c r="I37" s="282"/>
      <c r="J37" s="282"/>
      <c r="K37" s="282"/>
      <c r="L37" s="282"/>
      <c r="M37" s="282"/>
      <c r="N37" s="318"/>
      <c r="O37" s="318"/>
      <c r="P37" s="318"/>
      <c r="Q37" s="282"/>
      <c r="R37" s="282"/>
      <c r="S37" s="282"/>
      <c r="T37" s="282"/>
      <c r="U37" s="282"/>
      <c r="V37" s="282"/>
      <c r="W37" s="282"/>
    </row>
    <row r="38" spans="1:23" x14ac:dyDescent="0.3">
      <c r="A38" s="331"/>
      <c r="B38" s="321"/>
      <c r="C38" s="321"/>
      <c r="D38" s="321"/>
      <c r="E38" s="321"/>
      <c r="F38" s="581">
        <v>66</v>
      </c>
      <c r="G38" s="581"/>
      <c r="H38" s="318"/>
      <c r="I38" s="282"/>
      <c r="J38" s="282"/>
      <c r="K38" s="282"/>
      <c r="L38" s="282"/>
      <c r="M38" s="282"/>
      <c r="N38" s="318"/>
      <c r="O38" s="318"/>
      <c r="P38" s="318"/>
      <c r="Q38" s="282"/>
      <c r="R38" s="282"/>
      <c r="S38" s="282"/>
      <c r="T38" s="282"/>
      <c r="U38" s="282"/>
      <c r="V38" s="282"/>
      <c r="W38" s="282"/>
    </row>
    <row r="39" spans="1:23" x14ac:dyDescent="0.3">
      <c r="A39" s="321"/>
      <c r="B39" s="321"/>
      <c r="C39" s="321"/>
      <c r="D39" s="321"/>
      <c r="E39" s="332"/>
      <c r="F39" s="332" t="s">
        <v>67</v>
      </c>
      <c r="G39" s="332" t="s">
        <v>65</v>
      </c>
      <c r="H39" s="315"/>
      <c r="I39" s="315"/>
      <c r="J39" s="315"/>
      <c r="K39" s="315"/>
      <c r="L39" s="282"/>
      <c r="M39" s="282"/>
      <c r="N39" s="318"/>
      <c r="O39" s="318"/>
      <c r="P39" s="318"/>
      <c r="Q39" s="282"/>
      <c r="R39" s="282"/>
      <c r="S39" s="282"/>
      <c r="T39" s="282"/>
      <c r="U39" s="282"/>
      <c r="V39" s="282"/>
      <c r="W39" s="282"/>
    </row>
    <row r="40" spans="1:23" x14ac:dyDescent="0.3">
      <c r="A40" s="321"/>
      <c r="B40" s="332"/>
      <c r="C40" s="332"/>
      <c r="D40" s="321"/>
      <c r="E40" s="332"/>
      <c r="F40" s="332">
        <v>130</v>
      </c>
      <c r="G40" s="333">
        <f>IF(F40/$F$38&gt;1.6,F40*$O$55+$O$56,F40*$O$52+$O$49)+IF(IF(F40/$F$38&gt;1.6,F40*$O$55+$O$56,F40*$O$52+$O$49)&gt;=1.2,(IF(E41&gt;1,IF(F40/$F$38&gt;1.6,F40*$O$55+$O$56,F40*$O$52+$O$49)*0.05*E41,0)),0)</f>
        <v>4.7727272727272716</v>
      </c>
      <c r="H40" s="315"/>
      <c r="I40" s="315"/>
      <c r="J40" s="334"/>
      <c r="K40" s="315"/>
      <c r="L40" s="282"/>
      <c r="M40" s="282"/>
      <c r="N40" s="282"/>
      <c r="O40" s="282"/>
      <c r="P40" s="282"/>
      <c r="Q40" s="282"/>
      <c r="R40" s="282"/>
      <c r="S40" s="282"/>
      <c r="T40" s="282"/>
      <c r="U40" s="282"/>
      <c r="V40" s="282"/>
      <c r="W40" s="282"/>
    </row>
    <row r="41" spans="1:23" x14ac:dyDescent="0.3">
      <c r="A41" s="332"/>
      <c r="B41" s="332"/>
      <c r="C41" s="332"/>
      <c r="D41" s="321"/>
      <c r="E41" s="332"/>
      <c r="F41" s="332">
        <v>130</v>
      </c>
      <c r="G41" s="333">
        <f>IF(F41/$F$38&gt;1.6,F41*$O$55+$O$56,F41*$O$52+$O$49)+IF(IF(F41/$F$38&gt;1.6,F41*$O$55+$O$56,F41*$O$52+$O$49)&gt;=1.2,(IF(E42&gt;1,IF(F41/$F$38&gt;1.6,F41*$O$55+$O$56,F41*$O$52+$O$49)*0.05*E42,0)),0)</f>
        <v>5.3693181818181808</v>
      </c>
      <c r="H41" s="315"/>
      <c r="I41" s="315"/>
      <c r="J41" s="335"/>
      <c r="K41" s="315"/>
      <c r="L41" s="282"/>
      <c r="M41" s="282"/>
      <c r="N41" s="282"/>
      <c r="O41" s="282"/>
      <c r="P41" s="282"/>
      <c r="Q41" s="282"/>
      <c r="R41" s="282"/>
      <c r="S41" s="282"/>
      <c r="T41" s="282"/>
      <c r="U41" s="282"/>
      <c r="V41" s="282"/>
      <c r="W41" s="282"/>
    </row>
    <row r="42" spans="1:23" x14ac:dyDescent="0.3">
      <c r="A42" s="332" t="s">
        <v>69</v>
      </c>
      <c r="B42" s="332">
        <v>1.5</v>
      </c>
      <c r="C42" s="332">
        <f>VLOOKUP(A42,$A$95:$C$118,3,FALSE)</f>
        <v>1.4</v>
      </c>
      <c r="D42" s="321">
        <f t="shared" ref="D42:D47" si="2">B42*C42</f>
        <v>2.0999999999999996</v>
      </c>
      <c r="E42" s="332">
        <v>2.5</v>
      </c>
      <c r="F42" s="332">
        <v>130</v>
      </c>
      <c r="G42" s="333">
        <f>IF(F42/$F$38&gt;1.6,F42*$O$55+$O$56,F42*$O$52+$O$49)+IF(IF(F42/$F$38&gt;1.6,F42*$O$55+$O$56,F42*$O$52+$O$49)&gt;=1.2,(IF(E43&gt;1,IF(F42/$F$38&gt;1.6,F42*$O$55+$O$56,F42*$O$52+$O$49)*0.05*E43,0)),0)</f>
        <v>5.4886363636363624</v>
      </c>
      <c r="H42" s="315"/>
      <c r="I42" s="315"/>
      <c r="J42" s="315"/>
      <c r="K42" s="315"/>
      <c r="L42" s="282"/>
      <c r="M42" s="282"/>
      <c r="N42" s="282"/>
      <c r="O42" s="282"/>
      <c r="P42" s="282"/>
      <c r="Q42" s="282"/>
      <c r="R42" s="282"/>
      <c r="S42" s="282"/>
      <c r="T42" s="282"/>
      <c r="U42" s="282"/>
      <c r="V42" s="282"/>
      <c r="W42" s="282"/>
    </row>
    <row r="43" spans="1:23" x14ac:dyDescent="0.3">
      <c r="A43" s="332" t="s">
        <v>70</v>
      </c>
      <c r="B43" s="332">
        <v>8</v>
      </c>
      <c r="C43" s="332">
        <f t="shared" ref="C43:C47" si="3">VLOOKUP(A43,$A$95:$C$118,3,FALSE)</f>
        <v>1.6</v>
      </c>
      <c r="D43" s="321">
        <f t="shared" si="2"/>
        <v>12.8</v>
      </c>
      <c r="E43" s="332">
        <v>3</v>
      </c>
      <c r="F43" s="332">
        <v>130</v>
      </c>
      <c r="G43" s="333">
        <f>IF(F43/$F$38&gt;1.6,F43*$O$55+$O$56,F43*$O$52+$O$49)+IF(IF(F43/$F$38&gt;1.6,F43*$O$55+$O$56,F43*$O$52+$O$49)&gt;=1.2,(IF(E44&gt;1,IF(F43/$F$38&gt;1.6,F43*$O$55+$O$56,F43*$O$52+$O$49)*0.05*E44,0)),0)</f>
        <v>5.8465909090909083</v>
      </c>
      <c r="H43" s="315"/>
      <c r="I43" s="321"/>
      <c r="J43" s="336"/>
      <c r="K43" s="321"/>
      <c r="L43" s="318"/>
      <c r="M43" s="318"/>
      <c r="N43" s="318"/>
      <c r="O43" s="318"/>
      <c r="P43" s="318"/>
      <c r="Q43" s="282"/>
      <c r="R43" s="282"/>
      <c r="S43" s="282"/>
      <c r="T43" s="282"/>
      <c r="U43" s="282"/>
      <c r="V43" s="282"/>
      <c r="W43" s="282"/>
    </row>
    <row r="44" spans="1:23" x14ac:dyDescent="0.3">
      <c r="A44" s="332" t="s">
        <v>71</v>
      </c>
      <c r="B44" s="332">
        <v>0.3</v>
      </c>
      <c r="C44" s="332">
        <f t="shared" si="3"/>
        <v>1.72</v>
      </c>
      <c r="D44" s="321">
        <f t="shared" si="2"/>
        <v>0.51600000000000001</v>
      </c>
      <c r="E44" s="332">
        <v>4.5</v>
      </c>
      <c r="F44" s="332">
        <v>130</v>
      </c>
      <c r="G44" s="333">
        <f>IF(F44/$F$38&gt;1.6,F44*$O$55+$O$56,F44*$O$52+$O$49)+IF(IF(F44/$F$38&gt;1.6,F44*$O$55+$O$56,F44*$O$52+$O$49)&gt;=1.2,(IF(E45&gt;1,IF(F44/$F$38&gt;1.6,F44*$O$55+$O$56,F44*$O$52+$O$49)*0.05*E45,0)),0)</f>
        <v>6.4431818181818166</v>
      </c>
      <c r="H44" s="315"/>
      <c r="I44" s="321"/>
      <c r="J44" s="321"/>
      <c r="K44" s="321"/>
      <c r="L44" s="318"/>
      <c r="M44" s="318"/>
      <c r="N44" s="318"/>
      <c r="O44" s="318"/>
      <c r="P44" s="318"/>
      <c r="Q44" s="282"/>
      <c r="R44" s="282"/>
      <c r="S44" s="282"/>
      <c r="T44" s="282"/>
      <c r="U44" s="282"/>
      <c r="V44" s="282"/>
      <c r="W44" s="282"/>
    </row>
    <row r="45" spans="1:23" x14ac:dyDescent="0.3">
      <c r="A45" s="332" t="s">
        <v>68</v>
      </c>
      <c r="B45" s="332">
        <v>2</v>
      </c>
      <c r="C45" s="332">
        <f t="shared" si="3"/>
        <v>1.57</v>
      </c>
      <c r="D45" s="321">
        <f t="shared" si="2"/>
        <v>3.14</v>
      </c>
      <c r="E45" s="332">
        <v>7</v>
      </c>
      <c r="F45" s="337"/>
      <c r="G45" s="337"/>
      <c r="H45" s="315"/>
      <c r="I45" s="321"/>
      <c r="J45" s="338"/>
      <c r="K45" s="321"/>
      <c r="L45" s="318"/>
      <c r="M45" s="318"/>
      <c r="N45" s="318"/>
      <c r="O45" s="318"/>
      <c r="P45" s="318"/>
      <c r="Q45" s="282"/>
      <c r="R45" s="282"/>
      <c r="S45" s="285"/>
      <c r="T45" s="285"/>
      <c r="U45" s="282"/>
      <c r="V45" s="282"/>
      <c r="W45" s="282"/>
    </row>
    <row r="46" spans="1:23" x14ac:dyDescent="0.3">
      <c r="A46" s="332" t="s">
        <v>72</v>
      </c>
      <c r="B46" s="332">
        <v>2</v>
      </c>
      <c r="C46" s="332">
        <f t="shared" si="3"/>
        <v>5.83</v>
      </c>
      <c r="D46" s="321">
        <f t="shared" si="2"/>
        <v>11.66</v>
      </c>
      <c r="E46" s="321"/>
      <c r="F46" s="339">
        <f>(B4*(1-B5)*21.6)+370</f>
        <v>1275.2991999999999</v>
      </c>
      <c r="G46" s="321"/>
      <c r="H46" s="315"/>
      <c r="I46" s="321"/>
      <c r="J46" s="321"/>
      <c r="K46" s="321"/>
      <c r="L46" s="318"/>
      <c r="M46" s="318"/>
      <c r="N46" s="318"/>
      <c r="O46" s="318"/>
      <c r="P46" s="318"/>
      <c r="Q46" s="282"/>
      <c r="R46" s="282"/>
      <c r="S46" s="282"/>
      <c r="T46" s="282"/>
      <c r="U46" s="282"/>
      <c r="V46" s="282"/>
      <c r="W46" s="282"/>
    </row>
    <row r="47" spans="1:23" x14ac:dyDescent="0.3">
      <c r="A47" s="332" t="s">
        <v>73</v>
      </c>
      <c r="B47" s="332">
        <v>3</v>
      </c>
      <c r="C47" s="332">
        <f t="shared" si="3"/>
        <v>1.0900000000000001</v>
      </c>
      <c r="D47" s="321">
        <f t="shared" si="2"/>
        <v>3.2700000000000005</v>
      </c>
      <c r="E47" s="321" t="s">
        <v>74</v>
      </c>
      <c r="F47" s="339">
        <f>F46*D48</f>
        <v>1779.3612088</v>
      </c>
      <c r="G47" s="321"/>
      <c r="H47" s="315"/>
      <c r="I47" s="321"/>
      <c r="J47" s="340"/>
      <c r="K47" s="321"/>
      <c r="L47" s="318"/>
      <c r="M47" s="318"/>
      <c r="N47" s="318"/>
      <c r="O47" s="318"/>
      <c r="P47" s="318">
        <f>O52*P51</f>
        <v>2.6666666666666656</v>
      </c>
      <c r="Q47" s="282"/>
      <c r="R47" s="282"/>
      <c r="S47" s="282"/>
      <c r="T47" s="282"/>
      <c r="U47" s="282"/>
      <c r="V47" s="282"/>
      <c r="W47" s="282"/>
    </row>
    <row r="48" spans="1:23" x14ac:dyDescent="0.3">
      <c r="A48" s="332" t="s">
        <v>75</v>
      </c>
      <c r="B48" s="332">
        <f>SUM(B41:B47)</f>
        <v>16.8</v>
      </c>
      <c r="C48" s="332" t="s">
        <v>76</v>
      </c>
      <c r="D48" s="341">
        <f>SUM(D41:D47)/24</f>
        <v>1.3952500000000001</v>
      </c>
      <c r="E48" s="321" t="s">
        <v>77</v>
      </c>
      <c r="F48" s="342"/>
      <c r="G48" s="321"/>
      <c r="H48" s="315"/>
      <c r="I48" s="321"/>
      <c r="J48" s="321"/>
      <c r="K48" s="321"/>
      <c r="L48" s="318"/>
      <c r="M48" s="318"/>
      <c r="N48" s="318"/>
      <c r="O48" s="318"/>
      <c r="P48" s="318">
        <f>O52*P50</f>
        <v>1.6666666666666659</v>
      </c>
      <c r="Q48" s="282"/>
      <c r="R48" s="282"/>
      <c r="S48" s="282"/>
      <c r="T48" s="282"/>
      <c r="U48" s="282"/>
      <c r="V48" s="282"/>
      <c r="W48" s="282"/>
    </row>
    <row r="49" spans="1:23" x14ac:dyDescent="0.3">
      <c r="A49" s="332"/>
      <c r="B49" s="321"/>
      <c r="C49" s="321"/>
      <c r="D49" s="321"/>
      <c r="E49" s="321"/>
      <c r="F49" s="343"/>
      <c r="G49" s="321"/>
      <c r="H49" s="315"/>
      <c r="I49" s="321"/>
      <c r="J49" s="344" t="s">
        <v>1</v>
      </c>
      <c r="K49" s="344" t="s">
        <v>2</v>
      </c>
      <c r="L49" s="318"/>
      <c r="M49" s="318"/>
      <c r="N49" s="345">
        <f>F47-SUM(J51,J52*4)</f>
        <v>765.55284616000006</v>
      </c>
      <c r="O49" s="318">
        <f>2/3*-1</f>
        <v>-0.66666666666666663</v>
      </c>
      <c r="P49" s="318"/>
      <c r="Q49" s="282"/>
      <c r="R49" s="282"/>
      <c r="S49" s="282"/>
      <c r="T49" s="282"/>
      <c r="U49" s="282"/>
      <c r="V49" s="282"/>
      <c r="W49" s="282"/>
    </row>
    <row r="50" spans="1:23" x14ac:dyDescent="0.3">
      <c r="A50" s="332"/>
      <c r="B50" s="321"/>
      <c r="C50" s="321"/>
      <c r="D50" s="321"/>
      <c r="E50" s="343"/>
      <c r="F50" s="321"/>
      <c r="G50" s="321"/>
      <c r="H50" s="315"/>
      <c r="I50" s="321" t="s">
        <v>4</v>
      </c>
      <c r="J50" s="588">
        <v>0.3</v>
      </c>
      <c r="K50" s="588"/>
      <c r="L50" s="589" t="str">
        <f>IF(J50&gt;0.7,"저지방,초고탄수",IF(J50&gt;0.6,"고탄수",IF(J50&gt;0.45,"균형",IF(J50&gt;0.3,"고지방",IF(J50&gt;0.1,"초고지방",IF(J50&gt;0.1,"케톤다이어트","케톤다이어트"))))))</f>
        <v>초고지방</v>
      </c>
      <c r="M50" s="589"/>
      <c r="N50" s="318"/>
      <c r="O50" s="318">
        <v>1</v>
      </c>
      <c r="P50" s="318">
        <f>F38</f>
        <v>66</v>
      </c>
      <c r="Q50" s="282"/>
      <c r="R50" s="282"/>
      <c r="S50" s="282"/>
      <c r="T50" s="282"/>
      <c r="U50" s="282"/>
      <c r="V50" s="282"/>
      <c r="W50" s="282"/>
    </row>
    <row r="51" spans="1:23" x14ac:dyDescent="0.3">
      <c r="A51" s="332"/>
      <c r="B51" s="332" t="s">
        <v>64</v>
      </c>
      <c r="C51" s="332" t="s">
        <v>65</v>
      </c>
      <c r="D51" s="321"/>
      <c r="E51" s="321"/>
      <c r="F51" s="321"/>
      <c r="G51" s="321"/>
      <c r="H51" s="315"/>
      <c r="I51" s="321" t="s">
        <v>6</v>
      </c>
      <c r="J51" s="346">
        <f>F47*J50</f>
        <v>533.80836263999993</v>
      </c>
      <c r="K51" s="347">
        <f>J51/4</f>
        <v>133.45209065999998</v>
      </c>
      <c r="L51" s="589"/>
      <c r="M51" s="589"/>
      <c r="N51" s="318"/>
      <c r="O51" s="318">
        <v>2</v>
      </c>
      <c r="P51" s="318">
        <f>F38*1.6</f>
        <v>105.60000000000001</v>
      </c>
      <c r="Q51" s="282"/>
      <c r="R51" s="282"/>
      <c r="S51" s="282"/>
      <c r="T51" s="282"/>
      <c r="U51" s="282"/>
      <c r="V51" s="282"/>
      <c r="W51" s="282"/>
    </row>
    <row r="52" spans="1:23" x14ac:dyDescent="0.3">
      <c r="A52" s="332" t="s">
        <v>78</v>
      </c>
      <c r="B52" s="332">
        <v>8</v>
      </c>
      <c r="C52" s="332">
        <v>0.9</v>
      </c>
      <c r="D52" s="321">
        <f>B52*C52</f>
        <v>7.2</v>
      </c>
      <c r="E52" s="321"/>
      <c r="F52" s="321"/>
      <c r="G52" s="321"/>
      <c r="H52" s="315"/>
      <c r="I52" s="321" t="s">
        <v>80</v>
      </c>
      <c r="J52" s="590">
        <v>120</v>
      </c>
      <c r="K52" s="590"/>
      <c r="L52" s="348"/>
      <c r="M52" s="318"/>
      <c r="N52" s="318"/>
      <c r="O52" s="318">
        <f>LINEST(O50:O51,P50:P51,TRUE)</f>
        <v>2.5252525252525242E-2</v>
      </c>
      <c r="P52" s="318"/>
      <c r="Q52" s="282"/>
      <c r="R52" s="282"/>
      <c r="S52" s="282"/>
      <c r="T52" s="282"/>
      <c r="U52" s="282"/>
      <c r="V52" s="282"/>
      <c r="W52" s="282"/>
    </row>
    <row r="53" spans="1:23" x14ac:dyDescent="0.3">
      <c r="A53" s="332" t="s">
        <v>79</v>
      </c>
      <c r="B53" s="332">
        <v>0</v>
      </c>
      <c r="C53" s="332">
        <v>7</v>
      </c>
      <c r="D53" s="321">
        <f t="shared" ref="D53:D59" si="4">B53*C53</f>
        <v>0</v>
      </c>
      <c r="E53" s="321"/>
      <c r="F53" s="321"/>
      <c r="G53" s="321"/>
      <c r="H53" s="315"/>
      <c r="I53" s="321" t="s">
        <v>82</v>
      </c>
      <c r="J53" s="349">
        <f>C8</f>
        <v>89.188736000000006</v>
      </c>
      <c r="K53" s="349" t="e">
        <f>#REF!</f>
        <v>#REF!</v>
      </c>
      <c r="L53" s="318"/>
      <c r="M53" s="318"/>
      <c r="N53" s="318"/>
      <c r="O53" s="318">
        <v>2</v>
      </c>
      <c r="P53" s="318">
        <f>F38*1.6</f>
        <v>105.60000000000001</v>
      </c>
      <c r="Q53" s="282"/>
      <c r="R53" s="282"/>
      <c r="S53" s="282"/>
      <c r="T53" s="282"/>
      <c r="U53" s="282"/>
      <c r="V53" s="282"/>
      <c r="W53" s="282"/>
    </row>
    <row r="54" spans="1:23" x14ac:dyDescent="0.3">
      <c r="A54" s="332" t="s">
        <v>81</v>
      </c>
      <c r="B54" s="332">
        <v>8</v>
      </c>
      <c r="C54" s="332">
        <v>2.5</v>
      </c>
      <c r="D54" s="321">
        <f t="shared" si="4"/>
        <v>20</v>
      </c>
      <c r="E54" s="321"/>
      <c r="F54" s="321"/>
      <c r="G54" s="321"/>
      <c r="H54" s="315"/>
      <c r="I54" s="321" t="s">
        <v>12</v>
      </c>
      <c r="J54" s="591">
        <f>J55/9</f>
        <v>85.061427351111121</v>
      </c>
      <c r="K54" s="591"/>
      <c r="L54" s="318"/>
      <c r="M54" s="318"/>
      <c r="N54" s="318"/>
      <c r="O54" s="318">
        <v>8</v>
      </c>
      <c r="P54" s="318">
        <f>F38*2.4</f>
        <v>158.4</v>
      </c>
      <c r="Q54" s="282"/>
      <c r="R54" s="282"/>
      <c r="S54" s="282"/>
      <c r="T54" s="282"/>
      <c r="U54" s="282"/>
      <c r="V54" s="282"/>
      <c r="W54" s="282"/>
    </row>
    <row r="55" spans="1:23" x14ac:dyDescent="0.3">
      <c r="A55" s="332" t="s">
        <v>83</v>
      </c>
      <c r="B55" s="332">
        <v>2</v>
      </c>
      <c r="C55" s="332">
        <v>4.5</v>
      </c>
      <c r="D55" s="321">
        <f t="shared" si="4"/>
        <v>9</v>
      </c>
      <c r="E55" s="321"/>
      <c r="F55" s="321"/>
      <c r="G55" s="321"/>
      <c r="H55" s="315"/>
      <c r="I55" s="321" t="s">
        <v>85</v>
      </c>
      <c r="J55" s="350">
        <f>N49</f>
        <v>765.55284616000006</v>
      </c>
      <c r="K55" s="344">
        <f>J55/F47</f>
        <v>0.43024026958319966</v>
      </c>
      <c r="L55" s="318"/>
      <c r="M55" s="318"/>
      <c r="N55" s="318"/>
      <c r="O55" s="318">
        <f>LINEST(O53:O54,P53:P54,TRUE)</f>
        <v>0.11363636363636363</v>
      </c>
      <c r="P55" s="318"/>
      <c r="Q55" s="282"/>
      <c r="R55" s="282"/>
      <c r="S55" s="282"/>
      <c r="T55" s="282"/>
      <c r="U55" s="282"/>
      <c r="V55" s="282"/>
      <c r="W55" s="282"/>
    </row>
    <row r="56" spans="1:23" x14ac:dyDescent="0.3">
      <c r="A56" s="351" t="s">
        <v>84</v>
      </c>
      <c r="B56" s="351">
        <v>2</v>
      </c>
      <c r="C56" s="351">
        <v>1.4</v>
      </c>
      <c r="D56" s="321">
        <f t="shared" si="4"/>
        <v>2.8</v>
      </c>
      <c r="E56" s="321"/>
      <c r="F56" s="321"/>
      <c r="G56" s="321"/>
      <c r="H56" s="315"/>
      <c r="I56" s="321"/>
      <c r="J56" s="321"/>
      <c r="K56" s="321"/>
      <c r="L56" s="318"/>
      <c r="M56" s="318"/>
      <c r="N56" s="318"/>
      <c r="O56" s="318">
        <v>-10</v>
      </c>
      <c r="P56" s="318"/>
      <c r="Q56" s="282"/>
      <c r="R56" s="282"/>
      <c r="S56" s="282"/>
      <c r="T56" s="282"/>
      <c r="U56" s="282"/>
      <c r="V56" s="282"/>
      <c r="W56" s="282"/>
    </row>
    <row r="57" spans="1:23" x14ac:dyDescent="0.3">
      <c r="A57" s="351" t="s">
        <v>86</v>
      </c>
      <c r="B57" s="351">
        <v>2</v>
      </c>
      <c r="C57" s="351">
        <v>1.6</v>
      </c>
      <c r="D57" s="321">
        <f t="shared" si="4"/>
        <v>3.2</v>
      </c>
      <c r="E57" s="321"/>
      <c r="F57" s="318"/>
      <c r="G57" s="318"/>
      <c r="H57" s="318"/>
      <c r="I57" s="351" t="s">
        <v>88</v>
      </c>
      <c r="J57" s="576" t="s">
        <v>89</v>
      </c>
      <c r="K57" s="576"/>
      <c r="L57" s="576" t="s">
        <v>90</v>
      </c>
      <c r="M57" s="576"/>
      <c r="N57" s="318"/>
      <c r="O57" s="318"/>
      <c r="P57" s="318"/>
      <c r="Q57" s="282"/>
      <c r="R57" s="282"/>
      <c r="S57" s="282"/>
      <c r="T57" s="282"/>
      <c r="U57" s="282"/>
      <c r="V57" s="282"/>
      <c r="W57" s="282"/>
    </row>
    <row r="58" spans="1:23" x14ac:dyDescent="0.3">
      <c r="A58" s="351" t="s">
        <v>87</v>
      </c>
      <c r="B58" s="351">
        <v>2</v>
      </c>
      <c r="C58" s="351">
        <v>1.4</v>
      </c>
      <c r="D58" s="321">
        <f t="shared" si="4"/>
        <v>2.8</v>
      </c>
      <c r="E58" s="318"/>
      <c r="F58" s="318">
        <f>(B4*(1-B5)*21.6)+370</f>
        <v>1275.2991999999999</v>
      </c>
      <c r="G58" s="318"/>
      <c r="H58" s="318"/>
      <c r="I58" s="318" t="s">
        <v>91</v>
      </c>
      <c r="J58" s="345">
        <f>F47*J59/4</f>
        <v>266.90418131999996</v>
      </c>
      <c r="K58" s="345">
        <f>J58*4</f>
        <v>1067.6167252799999</v>
      </c>
      <c r="L58" s="345">
        <f>F47*L59/4</f>
        <v>266.90418131999996</v>
      </c>
      <c r="M58" s="345">
        <f>L58*4</f>
        <v>1067.6167252799999</v>
      </c>
      <c r="N58" s="318"/>
      <c r="O58" s="318"/>
      <c r="P58" s="318"/>
      <c r="Q58" s="282"/>
      <c r="R58" s="282"/>
      <c r="S58" s="282"/>
      <c r="T58" s="282"/>
      <c r="U58" s="282"/>
      <c r="V58" s="282"/>
      <c r="W58" s="282"/>
    </row>
    <row r="59" spans="1:23" x14ac:dyDescent="0.3">
      <c r="A59" s="351"/>
      <c r="B59" s="318"/>
      <c r="C59" s="318"/>
      <c r="D59" s="321">
        <f t="shared" si="4"/>
        <v>0</v>
      </c>
      <c r="E59" s="318" t="s">
        <v>74</v>
      </c>
      <c r="F59" s="352">
        <f>F58*D60</f>
        <v>2391.1859999999997</v>
      </c>
      <c r="G59" s="318"/>
      <c r="H59" s="318"/>
      <c r="I59" s="318" t="s">
        <v>92</v>
      </c>
      <c r="J59" s="577">
        <v>0.6</v>
      </c>
      <c r="K59" s="577"/>
      <c r="L59" s="577">
        <v>0.6</v>
      </c>
      <c r="M59" s="577"/>
      <c r="N59" s="318"/>
      <c r="O59" s="318"/>
      <c r="P59" s="318"/>
      <c r="Q59" s="282"/>
      <c r="R59" s="282"/>
      <c r="S59" s="282"/>
      <c r="T59" s="282"/>
      <c r="U59" s="282"/>
      <c r="V59" s="282"/>
      <c r="W59" s="282"/>
    </row>
    <row r="60" spans="1:23" x14ac:dyDescent="0.3">
      <c r="A60" s="318"/>
      <c r="B60" s="318">
        <f>SUM(B52:B59)</f>
        <v>24</v>
      </c>
      <c r="C60" s="351" t="s">
        <v>76</v>
      </c>
      <c r="D60" s="353">
        <f>SUM(D52:D59)/24</f>
        <v>1.875</v>
      </c>
      <c r="E60" s="318" t="s">
        <v>77</v>
      </c>
      <c r="F60" s="318"/>
      <c r="G60" s="318"/>
      <c r="H60" s="318"/>
      <c r="I60" s="318" t="s">
        <v>93</v>
      </c>
      <c r="J60" s="348">
        <f>C8</f>
        <v>89.188736000000006</v>
      </c>
      <c r="K60" s="318">
        <f>J60*4</f>
        <v>356.75494400000002</v>
      </c>
      <c r="L60" s="348" t="e">
        <f>#REF!</f>
        <v>#REF!</v>
      </c>
      <c r="M60" s="318" t="e">
        <f>L60*4</f>
        <v>#REF!</v>
      </c>
      <c r="N60" s="318"/>
      <c r="O60" s="318"/>
      <c r="P60" s="318"/>
      <c r="Q60" s="282"/>
      <c r="R60" s="282"/>
      <c r="S60" s="282"/>
      <c r="T60" s="282"/>
      <c r="U60" s="282"/>
      <c r="V60" s="282"/>
      <c r="W60" s="282"/>
    </row>
    <row r="61" spans="1:23" x14ac:dyDescent="0.3">
      <c r="A61" s="318"/>
      <c r="B61" s="318"/>
      <c r="C61" s="318"/>
      <c r="D61" s="318"/>
      <c r="E61" s="318"/>
      <c r="F61" s="318"/>
      <c r="G61" s="318"/>
      <c r="H61" s="318"/>
      <c r="I61" s="318" t="s">
        <v>82</v>
      </c>
      <c r="J61" s="580">
        <f>K60/F47</f>
        <v>0.20049607816312648</v>
      </c>
      <c r="K61" s="580"/>
      <c r="L61" s="580" t="e">
        <f>M60/F47</f>
        <v>#REF!</v>
      </c>
      <c r="M61" s="580"/>
      <c r="N61" s="318"/>
      <c r="O61" s="318"/>
      <c r="P61" s="318"/>
      <c r="Q61" s="282"/>
      <c r="R61" s="282"/>
      <c r="S61" s="282"/>
      <c r="T61" s="282"/>
      <c r="U61" s="282"/>
      <c r="V61" s="282"/>
      <c r="W61" s="282"/>
    </row>
    <row r="62" spans="1:23" x14ac:dyDescent="0.3">
      <c r="A62" s="318"/>
      <c r="B62" s="318"/>
      <c r="C62" s="318"/>
      <c r="D62" s="318"/>
      <c r="E62" s="318"/>
      <c r="F62" s="351"/>
      <c r="G62" s="351"/>
      <c r="H62" s="351"/>
      <c r="I62" s="318" t="s">
        <v>12</v>
      </c>
      <c r="J62" s="345">
        <f>K62/9</f>
        <v>39.443282168888899</v>
      </c>
      <c r="K62" s="345">
        <f>F47-K58-K60</f>
        <v>354.98953952000011</v>
      </c>
      <c r="L62" s="345" t="e">
        <f>M62/9</f>
        <v>#REF!</v>
      </c>
      <c r="M62" s="345" t="e">
        <f>F47-M60-M58</f>
        <v>#REF!</v>
      </c>
      <c r="N62" s="318"/>
      <c r="O62" s="318"/>
      <c r="P62" s="318"/>
      <c r="Q62" s="282"/>
      <c r="R62" s="282"/>
      <c r="S62" s="282"/>
      <c r="T62" s="282"/>
      <c r="U62" s="282"/>
      <c r="V62" s="282"/>
      <c r="W62" s="282"/>
    </row>
    <row r="63" spans="1:23" x14ac:dyDescent="0.3">
      <c r="A63" s="318"/>
      <c r="B63" s="318"/>
      <c r="C63" s="351" t="s">
        <v>94</v>
      </c>
      <c r="D63" s="351"/>
      <c r="E63" s="351"/>
      <c r="F63" s="318"/>
      <c r="G63" s="318"/>
      <c r="H63" s="318"/>
      <c r="I63" s="318" t="s">
        <v>98</v>
      </c>
      <c r="J63" s="580">
        <f>K62/F47</f>
        <v>0.1995039218368736</v>
      </c>
      <c r="K63" s="580"/>
      <c r="L63" s="580" t="e">
        <f>M62/F47</f>
        <v>#REF!</v>
      </c>
      <c r="M63" s="580"/>
      <c r="N63" s="318"/>
      <c r="O63" s="318"/>
      <c r="P63" s="318"/>
      <c r="Q63" s="282"/>
      <c r="R63" s="282"/>
      <c r="S63" s="282"/>
      <c r="T63" s="282"/>
      <c r="U63" s="282"/>
      <c r="V63" s="282"/>
      <c r="W63" s="282"/>
    </row>
    <row r="64" spans="1:23" x14ac:dyDescent="0.3">
      <c r="A64" s="318"/>
      <c r="B64" s="318"/>
      <c r="C64" s="318" t="s">
        <v>95</v>
      </c>
      <c r="D64" s="318" t="s">
        <v>96</v>
      </c>
      <c r="E64" s="318" t="s">
        <v>97</v>
      </c>
      <c r="F64" s="318"/>
      <c r="G64" s="318"/>
      <c r="H64" s="318"/>
      <c r="I64" s="318"/>
      <c r="J64" s="318"/>
      <c r="K64" s="318"/>
      <c r="L64" s="318"/>
      <c r="M64" s="318"/>
      <c r="N64" s="318"/>
      <c r="O64" s="318"/>
      <c r="P64" s="318"/>
      <c r="Q64" s="282"/>
      <c r="R64" s="282"/>
      <c r="S64" s="282"/>
      <c r="T64" s="282"/>
      <c r="U64" s="282"/>
      <c r="V64" s="282"/>
      <c r="W64" s="282"/>
    </row>
    <row r="65" spans="1:23" x14ac:dyDescent="0.3">
      <c r="A65" s="318" t="s">
        <v>99</v>
      </c>
      <c r="B65" s="318"/>
      <c r="C65" s="318">
        <v>8.77</v>
      </c>
      <c r="D65" s="318"/>
      <c r="E65" s="318"/>
      <c r="F65" s="318"/>
      <c r="G65" s="318"/>
      <c r="H65" s="318"/>
      <c r="I65" s="318" t="s">
        <v>88</v>
      </c>
      <c r="J65" s="576" t="s">
        <v>101</v>
      </c>
      <c r="K65" s="576"/>
      <c r="L65" s="576" t="s">
        <v>102</v>
      </c>
      <c r="M65" s="576"/>
      <c r="N65" s="318"/>
      <c r="O65" s="318"/>
      <c r="P65" s="318"/>
      <c r="Q65" s="282"/>
      <c r="R65" s="282"/>
      <c r="S65" s="282"/>
      <c r="T65" s="282"/>
      <c r="U65" s="282"/>
      <c r="V65" s="282"/>
      <c r="W65" s="282"/>
    </row>
    <row r="66" spans="1:23" x14ac:dyDescent="0.3">
      <c r="A66" s="318" t="s">
        <v>100</v>
      </c>
      <c r="B66" s="318"/>
      <c r="C66" s="318">
        <v>7.74</v>
      </c>
      <c r="D66" s="318"/>
      <c r="E66" s="318"/>
      <c r="F66" s="318"/>
      <c r="G66" s="318"/>
      <c r="H66" s="318"/>
      <c r="I66" s="318" t="s">
        <v>91</v>
      </c>
      <c r="J66" s="345">
        <f>F56*0.6/4</f>
        <v>0</v>
      </c>
      <c r="K66" s="345">
        <f>J66*4</f>
        <v>0</v>
      </c>
      <c r="L66" s="318"/>
      <c r="M66" s="318"/>
      <c r="N66" s="318"/>
      <c r="O66" s="318"/>
      <c r="P66" s="318"/>
      <c r="Q66" s="282"/>
      <c r="R66" s="282"/>
      <c r="S66" s="282"/>
      <c r="T66" s="282"/>
      <c r="U66" s="282"/>
      <c r="V66" s="282"/>
      <c r="W66" s="282"/>
    </row>
    <row r="67" spans="1:23" x14ac:dyDescent="0.3">
      <c r="A67" s="318" t="s">
        <v>103</v>
      </c>
      <c r="B67" s="318"/>
      <c r="C67" s="318">
        <v>7.39</v>
      </c>
      <c r="D67" s="318"/>
      <c r="E67" s="318"/>
      <c r="F67" s="318"/>
      <c r="G67" s="318"/>
      <c r="H67" s="318"/>
      <c r="I67" s="318" t="s">
        <v>92</v>
      </c>
      <c r="J67" s="577">
        <v>0.5</v>
      </c>
      <c r="K67" s="577"/>
      <c r="L67" s="576">
        <v>50</v>
      </c>
      <c r="M67" s="576"/>
      <c r="N67" s="318"/>
      <c r="O67" s="318"/>
      <c r="P67" s="318"/>
      <c r="Q67" s="282"/>
      <c r="R67" s="282"/>
      <c r="S67" s="282"/>
      <c r="T67" s="282"/>
      <c r="U67" s="282"/>
      <c r="V67" s="282"/>
      <c r="W67" s="282"/>
    </row>
    <row r="68" spans="1:23" x14ac:dyDescent="0.3">
      <c r="A68" s="318" t="s">
        <v>104</v>
      </c>
      <c r="B68" s="318"/>
      <c r="C68" s="318">
        <v>6.82</v>
      </c>
      <c r="D68" s="318"/>
      <c r="E68" s="318"/>
      <c r="F68" s="318"/>
      <c r="G68" s="318"/>
      <c r="H68" s="318"/>
      <c r="I68" s="318" t="s">
        <v>93</v>
      </c>
      <c r="J68" s="348">
        <f>I36</f>
        <v>0</v>
      </c>
      <c r="K68" s="318"/>
      <c r="L68" s="348">
        <f>J36</f>
        <v>0</v>
      </c>
      <c r="M68" s="318"/>
      <c r="N68" s="318"/>
      <c r="O68" s="318"/>
      <c r="P68" s="318"/>
      <c r="Q68" s="282"/>
      <c r="R68" s="282"/>
      <c r="S68" s="282"/>
      <c r="T68" s="282"/>
      <c r="U68" s="282"/>
      <c r="V68" s="282"/>
      <c r="W68" s="282"/>
    </row>
    <row r="69" spans="1:23" x14ac:dyDescent="0.3">
      <c r="A69" s="318" t="s">
        <v>72</v>
      </c>
      <c r="B69" s="318"/>
      <c r="C69" s="318">
        <v>5.83</v>
      </c>
      <c r="D69" s="318"/>
      <c r="E69" s="318"/>
      <c r="F69" s="318"/>
      <c r="G69" s="351"/>
      <c r="H69" s="351"/>
      <c r="I69" s="318" t="s">
        <v>82</v>
      </c>
      <c r="J69" s="318"/>
      <c r="K69" s="318"/>
      <c r="L69" s="318"/>
      <c r="M69" s="318"/>
      <c r="N69" s="318"/>
      <c r="O69" s="318"/>
      <c r="P69" s="318"/>
      <c r="Q69" s="282"/>
      <c r="R69" s="282"/>
      <c r="S69" s="282"/>
      <c r="T69" s="282"/>
      <c r="U69" s="282"/>
      <c r="V69" s="282"/>
      <c r="W69" s="282"/>
    </row>
    <row r="70" spans="1:23" x14ac:dyDescent="0.3">
      <c r="A70" s="318" t="s">
        <v>105</v>
      </c>
      <c r="B70" s="318"/>
      <c r="C70" s="318">
        <v>5.73</v>
      </c>
      <c r="D70" s="318"/>
      <c r="E70" s="318"/>
      <c r="F70" s="318"/>
      <c r="G70" s="318"/>
      <c r="H70" s="318"/>
      <c r="I70" s="318" t="s">
        <v>12</v>
      </c>
      <c r="J70" s="318"/>
      <c r="K70" s="318"/>
      <c r="L70" s="318"/>
      <c r="M70" s="318"/>
      <c r="N70" s="318"/>
      <c r="O70" s="318"/>
      <c r="P70" s="318"/>
      <c r="Q70" s="282"/>
      <c r="R70" s="282"/>
      <c r="S70" s="282"/>
      <c r="T70" s="282"/>
      <c r="U70" s="282"/>
      <c r="V70" s="282"/>
      <c r="W70" s="282"/>
    </row>
    <row r="71" spans="1:23" x14ac:dyDescent="0.3">
      <c r="A71" s="318" t="s">
        <v>106</v>
      </c>
      <c r="B71" s="318"/>
      <c r="C71" s="318">
        <v>5.46</v>
      </c>
      <c r="D71" s="318"/>
      <c r="E71" s="318"/>
      <c r="F71" s="318"/>
      <c r="G71" s="318"/>
      <c r="H71" s="318"/>
      <c r="I71" s="318" t="s">
        <v>98</v>
      </c>
      <c r="J71" s="318"/>
      <c r="K71" s="318"/>
      <c r="L71" s="318"/>
      <c r="M71" s="318"/>
      <c r="N71" s="318"/>
      <c r="O71" s="318"/>
      <c r="P71" s="318"/>
      <c r="Q71" s="282"/>
      <c r="R71" s="282"/>
      <c r="S71" s="282"/>
      <c r="T71" s="282"/>
      <c r="U71" s="282"/>
      <c r="V71" s="282"/>
      <c r="W71" s="282"/>
    </row>
    <row r="72" spans="1:23" x14ac:dyDescent="0.3">
      <c r="A72" s="318" t="s">
        <v>107</v>
      </c>
      <c r="B72" s="318"/>
      <c r="C72" s="318">
        <v>4.7300000000000004</v>
      </c>
      <c r="D72" s="354"/>
      <c r="E72" s="345"/>
      <c r="F72" s="318"/>
      <c r="G72" s="318"/>
      <c r="H72" s="318"/>
      <c r="I72" s="318"/>
      <c r="J72" s="318"/>
      <c r="K72" s="318"/>
      <c r="L72" s="318"/>
      <c r="M72" s="318"/>
      <c r="N72" s="318"/>
      <c r="O72" s="318"/>
      <c r="P72" s="318"/>
      <c r="Q72" s="282"/>
      <c r="R72" s="282"/>
      <c r="S72" s="282"/>
      <c r="T72" s="282"/>
      <c r="U72" s="282"/>
      <c r="V72" s="282"/>
      <c r="W72" s="282"/>
    </row>
    <row r="73" spans="1:23" x14ac:dyDescent="0.3">
      <c r="A73" s="318" t="s">
        <v>108</v>
      </c>
      <c r="B73" s="318"/>
      <c r="C73" s="318">
        <v>4.42</v>
      </c>
      <c r="D73" s="318"/>
      <c r="E73" s="318"/>
      <c r="F73" s="318"/>
      <c r="G73" s="318"/>
      <c r="H73" s="318"/>
      <c r="I73" s="318"/>
      <c r="J73" s="318"/>
      <c r="K73" s="318"/>
      <c r="L73" s="318"/>
      <c r="M73" s="318"/>
      <c r="N73" s="318"/>
      <c r="O73" s="318"/>
      <c r="P73" s="318"/>
      <c r="Q73" s="282"/>
      <c r="R73" s="282"/>
      <c r="S73" s="282"/>
      <c r="T73" s="282"/>
      <c r="U73" s="282"/>
      <c r="V73" s="282"/>
      <c r="W73" s="282"/>
    </row>
    <row r="74" spans="1:23" x14ac:dyDescent="0.3">
      <c r="A74" s="318" t="s">
        <v>109</v>
      </c>
      <c r="B74" s="318"/>
      <c r="C74" s="318">
        <v>0.93</v>
      </c>
      <c r="D74" s="318">
        <v>0.9</v>
      </c>
      <c r="E74" s="318">
        <v>1</v>
      </c>
      <c r="F74" s="318"/>
      <c r="G74" s="318"/>
      <c r="H74" s="318"/>
      <c r="I74" s="318"/>
      <c r="J74" s="318"/>
      <c r="K74" s="318"/>
      <c r="L74" s="318"/>
      <c r="M74" s="318"/>
      <c r="N74" s="318"/>
      <c r="O74" s="318"/>
      <c r="P74" s="318"/>
      <c r="Q74" s="282"/>
      <c r="R74" s="282"/>
      <c r="S74" s="282"/>
      <c r="T74" s="282"/>
      <c r="U74" s="282"/>
      <c r="V74" s="282"/>
      <c r="W74" s="282"/>
    </row>
    <row r="75" spans="1:23" x14ac:dyDescent="0.3">
      <c r="A75" s="318" t="s">
        <v>110</v>
      </c>
      <c r="B75" s="318"/>
      <c r="C75" s="318">
        <v>1.75</v>
      </c>
      <c r="D75" s="318">
        <v>1.4</v>
      </c>
      <c r="E75" s="318"/>
      <c r="F75" s="318"/>
      <c r="G75" s="318"/>
      <c r="H75" s="318"/>
      <c r="I75" s="318"/>
      <c r="J75" s="318"/>
      <c r="K75" s="318"/>
      <c r="L75" s="318"/>
      <c r="M75" s="318"/>
      <c r="N75" s="318"/>
      <c r="O75" s="318"/>
      <c r="P75" s="318"/>
      <c r="Q75" s="282"/>
      <c r="R75" s="282"/>
      <c r="S75" s="282"/>
      <c r="T75" s="282"/>
      <c r="U75" s="282"/>
      <c r="V75" s="282"/>
      <c r="W75" s="282"/>
    </row>
    <row r="76" spans="1:23" x14ac:dyDescent="0.3">
      <c r="A76" s="318" t="s">
        <v>111</v>
      </c>
      <c r="B76" s="318"/>
      <c r="C76" s="318">
        <v>1.57</v>
      </c>
      <c r="D76" s="318">
        <v>1.2</v>
      </c>
      <c r="E76" s="318"/>
      <c r="F76" s="318"/>
      <c r="G76" s="318" t="s">
        <v>113</v>
      </c>
      <c r="H76" s="318"/>
      <c r="I76" s="318"/>
      <c r="J76" s="318"/>
      <c r="K76" s="318"/>
      <c r="L76" s="318"/>
      <c r="M76" s="318"/>
      <c r="N76" s="318"/>
      <c r="O76" s="318"/>
      <c r="P76" s="318"/>
      <c r="Q76" s="282"/>
      <c r="R76" s="282"/>
      <c r="S76" s="282"/>
      <c r="T76" s="282"/>
      <c r="U76" s="282"/>
      <c r="V76" s="282"/>
      <c r="W76" s="282"/>
    </row>
    <row r="77" spans="1:23" x14ac:dyDescent="0.3">
      <c r="A77" s="318" t="s">
        <v>112</v>
      </c>
      <c r="B77" s="318"/>
      <c r="C77" s="318">
        <v>1.72</v>
      </c>
      <c r="D77" s="318">
        <v>2</v>
      </c>
      <c r="E77" s="318"/>
      <c r="F77" s="318"/>
      <c r="G77" s="318"/>
      <c r="H77" s="318"/>
      <c r="I77" s="318"/>
      <c r="J77" s="318"/>
      <c r="K77" s="318"/>
      <c r="L77" s="318"/>
      <c r="M77" s="318"/>
      <c r="N77" s="318"/>
      <c r="O77" s="318"/>
      <c r="P77" s="318"/>
      <c r="Q77" s="282"/>
      <c r="R77" s="282"/>
      <c r="S77" s="282"/>
      <c r="T77" s="282"/>
      <c r="U77" s="282"/>
      <c r="V77" s="282"/>
      <c r="W77" s="282"/>
    </row>
    <row r="78" spans="1:23" x14ac:dyDescent="0.3">
      <c r="A78" s="318" t="s">
        <v>87</v>
      </c>
      <c r="B78" s="318"/>
      <c r="C78" s="318">
        <v>1.0900000000000001</v>
      </c>
      <c r="D78" s="318"/>
      <c r="E78" s="318"/>
      <c r="F78" s="318"/>
      <c r="G78" s="318"/>
      <c r="H78" s="318"/>
      <c r="I78" s="318"/>
      <c r="J78" s="318"/>
      <c r="K78" s="318"/>
      <c r="L78" s="318"/>
      <c r="M78" s="318"/>
      <c r="N78" s="318"/>
      <c r="O78" s="318"/>
      <c r="P78" s="318"/>
      <c r="Q78" s="282"/>
      <c r="R78" s="282"/>
      <c r="S78" s="282"/>
      <c r="T78" s="282"/>
      <c r="U78" s="282"/>
      <c r="V78" s="282"/>
      <c r="W78" s="282"/>
    </row>
    <row r="79" spans="1:23" x14ac:dyDescent="0.3">
      <c r="A79" s="318" t="s">
        <v>114</v>
      </c>
      <c r="B79" s="318"/>
      <c r="C79" s="318"/>
      <c r="D79" s="318">
        <v>1.6</v>
      </c>
      <c r="E79" s="318"/>
      <c r="F79" s="318"/>
      <c r="G79" s="318"/>
      <c r="H79" s="318"/>
      <c r="I79" s="318"/>
      <c r="J79" s="318"/>
      <c r="K79" s="318"/>
      <c r="L79" s="318"/>
      <c r="M79" s="318"/>
      <c r="N79" s="318"/>
      <c r="O79" s="318"/>
      <c r="P79" s="318"/>
      <c r="Q79" s="282"/>
      <c r="R79" s="282"/>
      <c r="S79" s="282"/>
      <c r="T79" s="282"/>
      <c r="U79" s="282"/>
      <c r="V79" s="282"/>
      <c r="W79" s="282"/>
    </row>
    <row r="80" spans="1:23" x14ac:dyDescent="0.3">
      <c r="A80" s="355" t="s">
        <v>115</v>
      </c>
      <c r="B80" s="318"/>
      <c r="C80" s="318"/>
      <c r="D80" s="318"/>
      <c r="E80" s="318">
        <v>1.3</v>
      </c>
      <c r="F80" s="318"/>
      <c r="G80" s="318"/>
      <c r="H80" s="318"/>
      <c r="I80" s="318"/>
      <c r="J80" s="318"/>
      <c r="K80" s="318"/>
      <c r="L80" s="318"/>
      <c r="M80" s="318"/>
      <c r="N80" s="318"/>
      <c r="O80" s="318"/>
      <c r="P80" s="318"/>
      <c r="Q80" s="282"/>
      <c r="R80" s="282"/>
      <c r="S80" s="282"/>
      <c r="T80" s="282"/>
      <c r="U80" s="282"/>
      <c r="V80" s="282"/>
      <c r="W80" s="282"/>
    </row>
    <row r="81" spans="1:23" x14ac:dyDescent="0.3">
      <c r="A81" s="355" t="s">
        <v>116</v>
      </c>
      <c r="B81" s="318"/>
      <c r="C81" s="318"/>
      <c r="D81" s="318"/>
      <c r="E81" s="318">
        <v>1.8</v>
      </c>
      <c r="F81" s="318"/>
      <c r="G81" s="318"/>
      <c r="H81" s="318"/>
      <c r="I81" s="318"/>
      <c r="J81" s="318"/>
      <c r="K81" s="318"/>
      <c r="L81" s="318"/>
      <c r="M81" s="318"/>
      <c r="N81" s="318"/>
      <c r="O81" s="318"/>
      <c r="P81" s="318"/>
      <c r="Q81" s="282"/>
      <c r="R81" s="282"/>
      <c r="S81" s="282"/>
      <c r="T81" s="282"/>
      <c r="U81" s="282"/>
      <c r="V81" s="282"/>
      <c r="W81" s="282"/>
    </row>
    <row r="82" spans="1:23" x14ac:dyDescent="0.3">
      <c r="A82" s="318" t="s">
        <v>79</v>
      </c>
      <c r="B82" s="318"/>
      <c r="C82" s="318"/>
      <c r="D82" s="318">
        <v>4.5</v>
      </c>
      <c r="E82" s="318"/>
      <c r="F82" s="318"/>
      <c r="G82" s="318"/>
      <c r="H82" s="318"/>
      <c r="I82" s="318"/>
      <c r="J82" s="318"/>
      <c r="K82" s="318"/>
      <c r="L82" s="318"/>
      <c r="M82" s="318"/>
      <c r="N82" s="318"/>
      <c r="O82" s="318"/>
      <c r="P82" s="318"/>
      <c r="Q82" s="282"/>
      <c r="R82" s="282"/>
    </row>
    <row r="83" spans="1:23" x14ac:dyDescent="0.3">
      <c r="A83" s="318" t="s">
        <v>117</v>
      </c>
      <c r="B83" s="318"/>
      <c r="C83" s="318"/>
      <c r="D83" s="318">
        <v>3.1</v>
      </c>
      <c r="E83" s="318"/>
      <c r="F83" s="318"/>
      <c r="G83" s="318"/>
      <c r="H83" s="318"/>
      <c r="I83" s="318"/>
      <c r="J83" s="318"/>
      <c r="K83" s="318"/>
      <c r="L83" s="318"/>
      <c r="M83" s="318"/>
      <c r="N83" s="318"/>
      <c r="O83" s="318"/>
      <c r="P83" s="318"/>
      <c r="Q83" s="282"/>
      <c r="R83" s="282"/>
    </row>
    <row r="84" spans="1:23" x14ac:dyDescent="0.3">
      <c r="A84" s="318" t="s">
        <v>118</v>
      </c>
      <c r="B84" s="318"/>
      <c r="C84" s="318"/>
      <c r="D84" s="318">
        <v>2.7</v>
      </c>
      <c r="E84" s="318"/>
      <c r="F84" s="318"/>
      <c r="G84" s="318"/>
      <c r="H84" s="318"/>
      <c r="I84" s="318"/>
      <c r="J84" s="318"/>
      <c r="K84" s="318"/>
      <c r="L84" s="318"/>
      <c r="M84" s="318"/>
      <c r="N84" s="318"/>
      <c r="O84" s="318"/>
      <c r="P84" s="318"/>
      <c r="Q84" s="282"/>
      <c r="R84" s="282"/>
    </row>
    <row r="85" spans="1:23" x14ac:dyDescent="0.3">
      <c r="A85" s="318" t="s">
        <v>119</v>
      </c>
      <c r="B85" s="318"/>
      <c r="C85" s="318"/>
      <c r="D85" s="318"/>
      <c r="E85" s="318">
        <v>1.2</v>
      </c>
      <c r="F85" s="318"/>
      <c r="G85" s="318"/>
      <c r="H85" s="318"/>
      <c r="I85" s="318"/>
      <c r="J85" s="318"/>
      <c r="K85" s="318"/>
      <c r="L85" s="318"/>
      <c r="M85" s="318"/>
      <c r="N85" s="318"/>
      <c r="O85" s="318"/>
      <c r="P85" s="318"/>
      <c r="Q85" s="282"/>
      <c r="R85" s="282"/>
    </row>
    <row r="86" spans="1:23" x14ac:dyDescent="0.3">
      <c r="A86" s="318" t="s">
        <v>120</v>
      </c>
      <c r="B86" s="318"/>
      <c r="C86" s="318"/>
      <c r="D86" s="318"/>
      <c r="E86" s="318">
        <v>2.8</v>
      </c>
      <c r="F86" s="318"/>
      <c r="G86" s="318"/>
      <c r="H86" s="318"/>
      <c r="I86" s="318"/>
      <c r="J86" s="318"/>
      <c r="K86" s="318"/>
      <c r="L86" s="318"/>
      <c r="M86" s="318"/>
      <c r="N86" s="318"/>
      <c r="O86" s="318"/>
      <c r="P86" s="318"/>
      <c r="Q86" s="282"/>
      <c r="R86" s="282"/>
    </row>
    <row r="87" spans="1:23" x14ac:dyDescent="0.3">
      <c r="A87" s="318" t="s">
        <v>121</v>
      </c>
      <c r="B87" s="318"/>
      <c r="C87" s="318"/>
      <c r="D87" s="318"/>
      <c r="E87" s="318">
        <v>3.8</v>
      </c>
      <c r="F87" s="318"/>
      <c r="G87" s="318"/>
      <c r="H87" s="318"/>
      <c r="I87" s="318"/>
      <c r="J87" s="318"/>
      <c r="K87" s="318"/>
      <c r="L87" s="318"/>
      <c r="M87" s="318"/>
      <c r="N87" s="318"/>
      <c r="O87" s="318"/>
      <c r="P87" s="318"/>
      <c r="Q87" s="282"/>
      <c r="R87" s="282"/>
    </row>
    <row r="88" spans="1:23" x14ac:dyDescent="0.3">
      <c r="A88" s="318" t="s">
        <v>122</v>
      </c>
      <c r="B88" s="318"/>
      <c r="C88" s="318"/>
      <c r="D88" s="318">
        <v>2.5</v>
      </c>
      <c r="E88" s="318"/>
      <c r="F88" s="318"/>
      <c r="G88" s="318"/>
      <c r="H88" s="318"/>
      <c r="I88" s="318"/>
      <c r="J88" s="318"/>
      <c r="K88" s="318"/>
      <c r="L88" s="318"/>
      <c r="M88" s="318"/>
      <c r="N88" s="318"/>
      <c r="O88" s="318"/>
      <c r="P88" s="318"/>
      <c r="Q88" s="282"/>
      <c r="R88" s="282"/>
    </row>
    <row r="89" spans="1:23" x14ac:dyDescent="0.3">
      <c r="A89" s="318"/>
      <c r="B89" s="318"/>
      <c r="C89" s="318"/>
      <c r="D89" s="318"/>
      <c r="E89" s="318"/>
      <c r="F89" s="318"/>
      <c r="G89" s="318"/>
      <c r="H89" s="318"/>
      <c r="I89" s="318"/>
      <c r="J89" s="318"/>
      <c r="K89" s="318"/>
      <c r="L89" s="318"/>
      <c r="M89" s="318"/>
      <c r="N89" s="318"/>
      <c r="O89" s="318"/>
      <c r="P89" s="318"/>
      <c r="Q89" s="282"/>
      <c r="R89" s="282"/>
    </row>
    <row r="90" spans="1:23" x14ac:dyDescent="0.3">
      <c r="A90" s="318"/>
      <c r="B90" s="318"/>
      <c r="C90" s="318"/>
      <c r="D90" s="318"/>
      <c r="E90" s="318"/>
      <c r="F90" s="318"/>
      <c r="G90" s="318"/>
      <c r="H90" s="318"/>
      <c r="I90" s="318"/>
      <c r="J90" s="318"/>
      <c r="K90" s="318"/>
      <c r="L90" s="318"/>
      <c r="M90" s="318"/>
      <c r="N90" s="318"/>
      <c r="O90" s="318"/>
      <c r="P90" s="318"/>
      <c r="Q90" s="282"/>
      <c r="R90" s="282"/>
    </row>
    <row r="91" spans="1:23" x14ac:dyDescent="0.3">
      <c r="A91" s="318"/>
      <c r="B91" s="318"/>
      <c r="C91" s="318"/>
      <c r="D91" s="318"/>
      <c r="E91" s="318"/>
      <c r="F91" s="318"/>
      <c r="G91" s="318"/>
      <c r="H91" s="318"/>
      <c r="I91" s="318"/>
      <c r="J91" s="318"/>
      <c r="K91" s="318"/>
      <c r="L91" s="318"/>
      <c r="M91" s="318"/>
      <c r="N91" s="318"/>
      <c r="O91" s="318"/>
      <c r="P91" s="318"/>
      <c r="Q91" s="282"/>
      <c r="R91" s="282"/>
    </row>
    <row r="92" spans="1:23" x14ac:dyDescent="0.3">
      <c r="A92" s="318"/>
      <c r="B92" s="318"/>
      <c r="C92" s="318"/>
      <c r="D92" s="318"/>
      <c r="E92" s="318"/>
      <c r="F92" s="351"/>
      <c r="G92" s="318"/>
      <c r="H92" s="318"/>
      <c r="I92" s="318"/>
      <c r="J92" s="318"/>
      <c r="K92" s="318"/>
      <c r="L92" s="318"/>
      <c r="M92" s="318"/>
      <c r="N92" s="318"/>
      <c r="O92" s="318"/>
      <c r="P92" s="318"/>
      <c r="Q92" s="282"/>
      <c r="R92" s="282"/>
    </row>
    <row r="93" spans="1:23" x14ac:dyDescent="0.3">
      <c r="A93" s="318"/>
      <c r="B93" s="318"/>
      <c r="C93" s="351" t="s">
        <v>94</v>
      </c>
      <c r="D93" s="351"/>
      <c r="E93" s="351"/>
      <c r="F93" s="318"/>
      <c r="G93" s="318"/>
      <c r="H93" s="318"/>
      <c r="I93" s="318"/>
      <c r="J93" s="318"/>
      <c r="K93" s="318"/>
      <c r="L93" s="318"/>
      <c r="M93" s="318"/>
      <c r="N93" s="318"/>
      <c r="O93" s="318"/>
      <c r="P93" s="318"/>
      <c r="Q93" s="282"/>
      <c r="R93" s="282"/>
    </row>
    <row r="94" spans="1:23" x14ac:dyDescent="0.3">
      <c r="A94" s="318"/>
      <c r="B94" s="318"/>
      <c r="C94" s="318" t="s">
        <v>95</v>
      </c>
      <c r="D94" s="318" t="s">
        <v>96</v>
      </c>
      <c r="E94" s="318" t="s">
        <v>97</v>
      </c>
      <c r="F94" s="318"/>
      <c r="G94" s="318"/>
      <c r="H94" s="318"/>
      <c r="I94" s="318"/>
      <c r="J94" s="318"/>
      <c r="K94" s="318"/>
      <c r="L94" s="318"/>
      <c r="M94" s="318"/>
      <c r="N94" s="318"/>
      <c r="O94" s="318"/>
      <c r="P94" s="318"/>
      <c r="Q94" s="282"/>
      <c r="R94" s="282"/>
    </row>
    <row r="95" spans="1:23" x14ac:dyDescent="0.3">
      <c r="A95" s="318" t="s">
        <v>109</v>
      </c>
      <c r="B95" s="318"/>
      <c r="C95" s="318">
        <v>0.93</v>
      </c>
      <c r="D95" s="318"/>
      <c r="E95" s="318"/>
      <c r="F95" s="318"/>
      <c r="G95" s="318"/>
      <c r="H95" s="318"/>
      <c r="I95" s="318"/>
      <c r="J95" s="318"/>
      <c r="K95" s="318"/>
      <c r="L95" s="318"/>
      <c r="M95" s="318"/>
      <c r="N95" s="318"/>
      <c r="O95" s="318"/>
      <c r="P95" s="318"/>
      <c r="Q95" s="282"/>
      <c r="R95" s="282"/>
    </row>
    <row r="96" spans="1:23" x14ac:dyDescent="0.3">
      <c r="A96" s="318" t="s">
        <v>87</v>
      </c>
      <c r="B96" s="318"/>
      <c r="C96" s="318">
        <v>1.0900000000000001</v>
      </c>
      <c r="D96" s="318"/>
      <c r="E96" s="318"/>
      <c r="F96" s="318"/>
      <c r="G96" s="318"/>
      <c r="H96" s="318"/>
      <c r="I96" s="318"/>
      <c r="J96" s="318"/>
      <c r="K96" s="318"/>
      <c r="L96" s="318"/>
      <c r="M96" s="318"/>
      <c r="N96" s="318"/>
      <c r="O96" s="318"/>
      <c r="P96" s="318"/>
      <c r="Q96" s="282"/>
      <c r="R96" s="282"/>
    </row>
    <row r="97" spans="1:18" x14ac:dyDescent="0.3">
      <c r="A97" s="318" t="s">
        <v>119</v>
      </c>
      <c r="B97" s="318"/>
      <c r="C97" s="318">
        <v>1.2</v>
      </c>
      <c r="D97" s="318"/>
      <c r="E97" s="318"/>
      <c r="F97" s="318"/>
      <c r="G97" s="318"/>
      <c r="H97" s="318"/>
      <c r="I97" s="318"/>
      <c r="J97" s="318"/>
      <c r="K97" s="318"/>
      <c r="L97" s="318"/>
      <c r="M97" s="318"/>
      <c r="N97" s="318"/>
      <c r="O97" s="318"/>
      <c r="P97" s="318"/>
      <c r="Q97" s="282"/>
      <c r="R97" s="282"/>
    </row>
    <row r="98" spans="1:18" x14ac:dyDescent="0.3">
      <c r="A98" s="355" t="s">
        <v>115</v>
      </c>
      <c r="B98" s="318"/>
      <c r="C98" s="318">
        <v>1.3</v>
      </c>
      <c r="D98" s="318"/>
      <c r="E98" s="318"/>
      <c r="F98" s="318"/>
      <c r="G98" s="318"/>
      <c r="H98" s="318"/>
      <c r="I98" s="318"/>
      <c r="J98" s="318"/>
      <c r="K98" s="318"/>
      <c r="L98" s="318"/>
      <c r="M98" s="318"/>
      <c r="N98" s="318"/>
      <c r="O98" s="318"/>
      <c r="P98" s="318"/>
      <c r="Q98" s="282"/>
      <c r="R98" s="282"/>
    </row>
    <row r="99" spans="1:18" x14ac:dyDescent="0.3">
      <c r="A99" s="318" t="s">
        <v>111</v>
      </c>
      <c r="B99" s="318"/>
      <c r="C99" s="318">
        <v>1.57</v>
      </c>
      <c r="D99" s="318"/>
      <c r="E99" s="318"/>
      <c r="F99" s="318"/>
      <c r="G99" s="318"/>
      <c r="H99" s="318"/>
      <c r="I99" s="318"/>
      <c r="J99" s="318"/>
      <c r="K99" s="318"/>
      <c r="L99" s="318"/>
      <c r="M99" s="318"/>
      <c r="N99" s="318"/>
      <c r="O99" s="318"/>
      <c r="P99" s="318"/>
      <c r="Q99" s="282"/>
      <c r="R99" s="282"/>
    </row>
    <row r="100" spans="1:18" x14ac:dyDescent="0.3">
      <c r="A100" s="318" t="s">
        <v>114</v>
      </c>
      <c r="B100" s="318"/>
      <c r="C100" s="318">
        <v>1.6</v>
      </c>
      <c r="D100" s="318"/>
      <c r="E100" s="318"/>
      <c r="F100" s="318"/>
      <c r="G100" s="318"/>
      <c r="H100" s="318"/>
      <c r="I100" s="318"/>
      <c r="J100" s="318"/>
      <c r="K100" s="318"/>
      <c r="L100" s="318"/>
      <c r="M100" s="318"/>
      <c r="N100" s="318"/>
      <c r="O100" s="318"/>
      <c r="P100" s="318"/>
      <c r="Q100" s="282"/>
      <c r="R100" s="282"/>
    </row>
    <row r="101" spans="1:18" x14ac:dyDescent="0.3">
      <c r="A101" s="318" t="s">
        <v>112</v>
      </c>
      <c r="B101" s="318"/>
      <c r="C101" s="318">
        <v>1.72</v>
      </c>
      <c r="D101" s="318"/>
      <c r="E101" s="318"/>
      <c r="F101" s="318"/>
      <c r="G101" s="318"/>
      <c r="H101" s="318"/>
      <c r="I101" s="318"/>
      <c r="J101" s="318"/>
      <c r="K101" s="318"/>
      <c r="L101" s="318"/>
      <c r="M101" s="318"/>
      <c r="N101" s="318"/>
      <c r="O101" s="318"/>
      <c r="P101" s="318"/>
      <c r="Q101" s="282"/>
      <c r="R101" s="282"/>
    </row>
    <row r="102" spans="1:18" x14ac:dyDescent="0.3">
      <c r="A102" s="318" t="s">
        <v>110</v>
      </c>
      <c r="B102" s="318"/>
      <c r="C102" s="318">
        <v>1.4</v>
      </c>
      <c r="D102" s="318"/>
      <c r="E102" s="318"/>
      <c r="F102" s="318"/>
      <c r="G102" s="318"/>
      <c r="H102" s="318"/>
      <c r="I102" s="318"/>
      <c r="J102" s="318"/>
      <c r="K102" s="318"/>
      <c r="L102" s="318"/>
      <c r="M102" s="318"/>
      <c r="N102" s="318"/>
      <c r="O102" s="318"/>
      <c r="P102" s="318"/>
      <c r="Q102" s="282"/>
      <c r="R102" s="282"/>
    </row>
    <row r="103" spans="1:18" x14ac:dyDescent="0.3">
      <c r="A103" s="355" t="s">
        <v>116</v>
      </c>
      <c r="B103" s="318"/>
      <c r="C103" s="318">
        <v>1.8</v>
      </c>
      <c r="D103" s="318"/>
      <c r="E103" s="318"/>
      <c r="F103" s="154"/>
      <c r="G103" s="154"/>
      <c r="H103" s="154"/>
      <c r="I103" s="154"/>
      <c r="J103" s="154"/>
      <c r="K103" s="154"/>
      <c r="L103" s="318"/>
      <c r="M103" s="318"/>
      <c r="N103" s="318"/>
      <c r="O103" s="318"/>
      <c r="P103" s="318"/>
      <c r="Q103" s="282"/>
      <c r="R103" s="282"/>
    </row>
    <row r="104" spans="1:18" x14ac:dyDescent="0.3">
      <c r="A104" s="154" t="s">
        <v>122</v>
      </c>
      <c r="B104" s="154"/>
      <c r="C104" s="154">
        <v>2.5</v>
      </c>
      <c r="D104" s="154"/>
      <c r="E104" s="154"/>
      <c r="F104" s="154"/>
      <c r="G104" s="154"/>
      <c r="H104" s="154"/>
      <c r="I104" s="154"/>
      <c r="J104" s="154"/>
      <c r="K104" s="154"/>
      <c r="L104" s="318"/>
      <c r="M104" s="318"/>
      <c r="N104" s="318"/>
      <c r="O104" s="318"/>
      <c r="P104" s="318"/>
      <c r="Q104" s="282"/>
      <c r="R104" s="282"/>
    </row>
    <row r="105" spans="1:18" x14ac:dyDescent="0.3">
      <c r="A105" s="154" t="s">
        <v>118</v>
      </c>
      <c r="B105" s="154"/>
      <c r="C105" s="154">
        <v>2.7</v>
      </c>
      <c r="D105" s="154"/>
      <c r="E105" s="154"/>
      <c r="F105" s="154"/>
      <c r="G105" s="154"/>
      <c r="H105" s="154"/>
      <c r="I105" s="154"/>
      <c r="J105" s="154"/>
      <c r="K105" s="154"/>
      <c r="L105" s="318"/>
      <c r="M105" s="318"/>
      <c r="N105" s="318"/>
      <c r="O105" s="318"/>
      <c r="P105" s="318"/>
      <c r="Q105" s="282"/>
      <c r="R105" s="282"/>
    </row>
    <row r="106" spans="1:18" x14ac:dyDescent="0.3">
      <c r="A106" s="154" t="s">
        <v>120</v>
      </c>
      <c r="B106" s="154"/>
      <c r="C106" s="154">
        <v>2.8</v>
      </c>
      <c r="D106" s="154"/>
      <c r="E106" s="154"/>
      <c r="F106" s="154"/>
      <c r="G106" s="154"/>
      <c r="H106" s="154"/>
      <c r="I106" s="154"/>
      <c r="J106" s="154"/>
      <c r="K106" s="154"/>
      <c r="L106" s="318"/>
      <c r="M106" s="318"/>
      <c r="N106" s="318"/>
      <c r="O106" s="318"/>
      <c r="P106" s="318"/>
      <c r="Q106" s="282"/>
      <c r="R106" s="282"/>
    </row>
    <row r="107" spans="1:18" x14ac:dyDescent="0.3">
      <c r="A107" s="154" t="s">
        <v>117</v>
      </c>
      <c r="B107" s="154"/>
      <c r="C107" s="154">
        <v>3.1</v>
      </c>
      <c r="D107" s="154"/>
      <c r="E107" s="154"/>
      <c r="F107" s="154"/>
      <c r="G107" s="154"/>
      <c r="H107" s="154"/>
      <c r="I107" s="154"/>
      <c r="J107" s="154"/>
      <c r="K107" s="154"/>
      <c r="L107" s="318"/>
      <c r="M107" s="318"/>
      <c r="N107" s="318"/>
      <c r="O107" s="318"/>
      <c r="P107" s="318"/>
      <c r="Q107" s="282"/>
      <c r="R107" s="282"/>
    </row>
    <row r="108" spans="1:18" x14ac:dyDescent="0.3">
      <c r="A108" s="154" t="s">
        <v>121</v>
      </c>
      <c r="B108" s="154"/>
      <c r="C108" s="154">
        <v>3.8</v>
      </c>
      <c r="D108" s="154"/>
      <c r="E108" s="154"/>
      <c r="F108" s="154"/>
      <c r="G108" s="154"/>
      <c r="H108" s="154"/>
      <c r="I108" s="154"/>
      <c r="J108" s="154"/>
      <c r="K108" s="154"/>
      <c r="L108" s="318"/>
      <c r="M108" s="318"/>
      <c r="N108" s="318"/>
      <c r="O108" s="318"/>
      <c r="P108" s="318"/>
      <c r="Q108" s="282"/>
      <c r="R108" s="282"/>
    </row>
    <row r="109" spans="1:18" x14ac:dyDescent="0.3">
      <c r="A109" s="154" t="s">
        <v>108</v>
      </c>
      <c r="B109" s="154"/>
      <c r="C109" s="154">
        <v>4.42</v>
      </c>
      <c r="D109" s="154"/>
      <c r="E109" s="154"/>
      <c r="F109" s="154"/>
      <c r="G109" s="154"/>
      <c r="H109" s="154"/>
      <c r="I109" s="154"/>
      <c r="J109" s="154"/>
      <c r="K109" s="154"/>
      <c r="L109" s="318"/>
      <c r="M109" s="318"/>
      <c r="N109" s="318"/>
      <c r="O109" s="318"/>
      <c r="P109" s="318"/>
      <c r="Q109" s="282"/>
      <c r="R109" s="282"/>
    </row>
    <row r="110" spans="1:18" x14ac:dyDescent="0.3">
      <c r="A110" s="154" t="s">
        <v>79</v>
      </c>
      <c r="B110" s="154"/>
      <c r="C110" s="154">
        <v>4.5</v>
      </c>
      <c r="D110" s="154"/>
      <c r="E110" s="154"/>
      <c r="F110" s="154"/>
      <c r="G110" s="154"/>
      <c r="H110" s="154"/>
      <c r="I110" s="154"/>
      <c r="J110" s="154"/>
      <c r="K110" s="154"/>
      <c r="L110" s="318"/>
      <c r="M110" s="318"/>
      <c r="N110" s="318"/>
      <c r="O110" s="318"/>
      <c r="P110" s="318"/>
      <c r="Q110" s="282"/>
      <c r="R110" s="282"/>
    </row>
    <row r="111" spans="1:18" x14ac:dyDescent="0.3">
      <c r="A111" s="154" t="s">
        <v>107</v>
      </c>
      <c r="B111" s="154"/>
      <c r="C111" s="154">
        <v>4.7300000000000004</v>
      </c>
      <c r="D111" s="356"/>
      <c r="E111" s="357"/>
      <c r="F111" s="154"/>
      <c r="G111" s="154"/>
      <c r="H111" s="154"/>
      <c r="I111" s="154"/>
      <c r="J111" s="154"/>
      <c r="K111" s="154"/>
      <c r="L111" s="318"/>
      <c r="M111" s="318"/>
      <c r="N111" s="318"/>
      <c r="O111" s="318"/>
      <c r="P111" s="318"/>
      <c r="Q111" s="282"/>
      <c r="R111" s="282"/>
    </row>
    <row r="112" spans="1:18" x14ac:dyDescent="0.3">
      <c r="A112" s="154" t="s">
        <v>106</v>
      </c>
      <c r="B112" s="154"/>
      <c r="C112" s="154">
        <v>5.46</v>
      </c>
      <c r="D112" s="154"/>
      <c r="E112" s="154"/>
      <c r="F112" s="154"/>
      <c r="G112" s="154"/>
      <c r="H112" s="154"/>
      <c r="I112" s="154"/>
      <c r="J112" s="154"/>
      <c r="K112" s="154"/>
      <c r="L112" s="318"/>
      <c r="M112" s="318"/>
      <c r="N112" s="318"/>
      <c r="O112" s="318"/>
      <c r="P112" s="318"/>
      <c r="Q112" s="282"/>
      <c r="R112" s="282"/>
    </row>
    <row r="113" spans="1:18" x14ac:dyDescent="0.3">
      <c r="A113" s="154" t="s">
        <v>105</v>
      </c>
      <c r="B113" s="154"/>
      <c r="C113" s="154">
        <v>5.73</v>
      </c>
      <c r="D113" s="154"/>
      <c r="E113" s="154"/>
      <c r="F113" s="154"/>
      <c r="G113" s="154"/>
      <c r="H113" s="154"/>
      <c r="I113" s="154"/>
      <c r="J113" s="154"/>
      <c r="K113" s="154"/>
      <c r="L113" s="318"/>
      <c r="M113" s="318"/>
      <c r="N113" s="318"/>
      <c r="O113" s="318"/>
      <c r="P113" s="318"/>
      <c r="Q113" s="282"/>
      <c r="R113" s="282"/>
    </row>
    <row r="114" spans="1:18" x14ac:dyDescent="0.3">
      <c r="A114" s="154" t="s">
        <v>72</v>
      </c>
      <c r="B114" s="154"/>
      <c r="C114" s="154">
        <v>5.83</v>
      </c>
      <c r="D114" s="154"/>
      <c r="E114" s="154"/>
      <c r="F114" s="154"/>
      <c r="G114" s="154"/>
      <c r="H114" s="154"/>
      <c r="I114" s="154"/>
      <c r="J114" s="154"/>
      <c r="K114" s="154"/>
      <c r="L114" s="154"/>
      <c r="M114" s="154"/>
      <c r="N114" s="154"/>
      <c r="O114" s="154"/>
      <c r="P114" s="154"/>
    </row>
    <row r="115" spans="1:18" x14ac:dyDescent="0.3">
      <c r="A115" s="154" t="s">
        <v>104</v>
      </c>
      <c r="B115" s="154"/>
      <c r="C115" s="154">
        <v>6.82</v>
      </c>
      <c r="D115" s="154"/>
      <c r="E115" s="154"/>
      <c r="F115" s="154"/>
      <c r="G115" s="154"/>
      <c r="H115" s="154"/>
      <c r="I115" s="154"/>
      <c r="J115" s="154"/>
      <c r="K115" s="154"/>
      <c r="L115" s="154"/>
      <c r="M115" s="154"/>
      <c r="N115" s="154"/>
      <c r="O115" s="154"/>
      <c r="P115" s="154"/>
    </row>
    <row r="116" spans="1:18" x14ac:dyDescent="0.3">
      <c r="A116" s="154" t="s">
        <v>103</v>
      </c>
      <c r="B116" s="154"/>
      <c r="C116" s="154">
        <v>7.39</v>
      </c>
      <c r="D116" s="154"/>
      <c r="E116" s="154"/>
      <c r="F116" s="154"/>
      <c r="G116" s="154"/>
      <c r="H116" s="154"/>
      <c r="I116" s="154"/>
      <c r="J116" s="154"/>
      <c r="K116" s="154"/>
      <c r="L116" s="154"/>
      <c r="M116" s="154"/>
      <c r="N116" s="154"/>
      <c r="O116" s="154"/>
      <c r="P116" s="154"/>
    </row>
    <row r="117" spans="1:18" x14ac:dyDescent="0.3">
      <c r="A117" s="154" t="s">
        <v>100</v>
      </c>
      <c r="B117" s="154"/>
      <c r="C117" s="154">
        <v>7.74</v>
      </c>
      <c r="D117" s="154"/>
      <c r="E117" s="154"/>
      <c r="F117" s="154"/>
      <c r="G117" s="154"/>
      <c r="H117" s="154"/>
      <c r="I117" s="154"/>
      <c r="J117" s="154"/>
      <c r="K117" s="154"/>
      <c r="L117" s="154"/>
      <c r="M117" s="154"/>
      <c r="N117" s="154"/>
      <c r="O117" s="154"/>
      <c r="P117" s="154"/>
    </row>
    <row r="118" spans="1:18" x14ac:dyDescent="0.3">
      <c r="A118" s="154" t="s">
        <v>99</v>
      </c>
      <c r="B118" s="154"/>
      <c r="C118" s="154">
        <v>8.77</v>
      </c>
      <c r="D118" s="154"/>
      <c r="E118" s="154"/>
      <c r="F118" s="154"/>
      <c r="G118" s="154"/>
      <c r="H118" s="154"/>
      <c r="I118" s="154"/>
      <c r="J118" s="154"/>
      <c r="K118" s="154"/>
      <c r="L118" s="154"/>
      <c r="M118" s="154"/>
      <c r="N118" s="154"/>
      <c r="O118" s="154"/>
      <c r="P118" s="154"/>
    </row>
    <row r="119" spans="1:18" x14ac:dyDescent="0.3">
      <c r="A119" s="154"/>
      <c r="B119" s="154"/>
      <c r="C119" s="154"/>
      <c r="D119" s="154"/>
      <c r="E119" s="154"/>
      <c r="F119" s="154"/>
      <c r="G119" s="154"/>
      <c r="H119" s="154"/>
      <c r="I119" s="154"/>
      <c r="J119" s="154"/>
      <c r="K119" s="154"/>
      <c r="L119" s="154"/>
      <c r="M119" s="154"/>
      <c r="N119" s="154"/>
      <c r="O119" s="154"/>
      <c r="P119" s="154"/>
    </row>
    <row r="120" spans="1:18" x14ac:dyDescent="0.3">
      <c r="A120" s="154"/>
      <c r="B120" s="154"/>
      <c r="C120" s="154"/>
      <c r="D120" s="154"/>
      <c r="E120" s="154"/>
      <c r="F120" s="154"/>
      <c r="G120" s="154"/>
      <c r="H120" s="154"/>
      <c r="I120" s="154"/>
      <c r="J120" s="154"/>
      <c r="K120" s="154"/>
      <c r="L120" s="154"/>
      <c r="M120" s="154"/>
      <c r="N120" s="154"/>
      <c r="O120" s="154"/>
      <c r="P120" s="154"/>
    </row>
    <row r="121" spans="1:18" x14ac:dyDescent="0.3">
      <c r="A121" s="154"/>
      <c r="B121" s="154"/>
      <c r="C121" s="154"/>
      <c r="D121" s="154"/>
      <c r="E121" s="154"/>
    </row>
  </sheetData>
  <sheetProtection algorithmName="SHA-512" hashValue="ThCcBiI49Zn732WrO4sMBGFbeRu3ahkSx17wm4r/6FVb205W2Fopui+m8XUHyTiWY8iA61/SHglJBVqUgwRyzA==" saltValue="Y4XOvvQOXlYKX9sq9xMtxQ==" spinCount="100000" sheet="1" selectLockedCells="1"/>
  <protectedRanges>
    <protectedRange sqref="C14:D20 C28 D23:D25" name="범위1"/>
  </protectedRanges>
  <mergeCells count="58">
    <mergeCell ref="L3:N4"/>
    <mergeCell ref="B4:D4"/>
    <mergeCell ref="A8:B8"/>
    <mergeCell ref="C8:D8"/>
    <mergeCell ref="L5:N6"/>
    <mergeCell ref="A7:D7"/>
    <mergeCell ref="J7:K7"/>
    <mergeCell ref="A1:D1"/>
    <mergeCell ref="A2:D2"/>
    <mergeCell ref="A3:D3"/>
    <mergeCell ref="B5:D5"/>
    <mergeCell ref="J5:K5"/>
    <mergeCell ref="J3:K3"/>
    <mergeCell ref="A16:B16"/>
    <mergeCell ref="C16:D16"/>
    <mergeCell ref="J16:K16"/>
    <mergeCell ref="C9:D9"/>
    <mergeCell ref="A10:E11"/>
    <mergeCell ref="I11:K11"/>
    <mergeCell ref="J12:K12"/>
    <mergeCell ref="A13:D13"/>
    <mergeCell ref="J13:K13"/>
    <mergeCell ref="A14:B14"/>
    <mergeCell ref="C14:D14"/>
    <mergeCell ref="A15:B15"/>
    <mergeCell ref="C15:D15"/>
    <mergeCell ref="I15:K15"/>
    <mergeCell ref="A17:B17"/>
    <mergeCell ref="C17:D17"/>
    <mergeCell ref="A18:B18"/>
    <mergeCell ref="C18:D18"/>
    <mergeCell ref="A19:B19"/>
    <mergeCell ref="C19:D19"/>
    <mergeCell ref="A20:B20"/>
    <mergeCell ref="B27:C27"/>
    <mergeCell ref="M27:O27"/>
    <mergeCell ref="B28:C28"/>
    <mergeCell ref="I31:J31"/>
    <mergeCell ref="L11:O12"/>
    <mergeCell ref="J59:K59"/>
    <mergeCell ref="L59:M59"/>
    <mergeCell ref="J61:K61"/>
    <mergeCell ref="L61:M61"/>
    <mergeCell ref="J50:K50"/>
    <mergeCell ref="L50:M51"/>
    <mergeCell ref="J52:K52"/>
    <mergeCell ref="J54:K54"/>
    <mergeCell ref="J57:K57"/>
    <mergeCell ref="L57:M57"/>
    <mergeCell ref="J19:K19"/>
    <mergeCell ref="J65:K65"/>
    <mergeCell ref="L65:M65"/>
    <mergeCell ref="J67:K67"/>
    <mergeCell ref="L67:M67"/>
    <mergeCell ref="B29:C29"/>
    <mergeCell ref="J63:K63"/>
    <mergeCell ref="L63:M63"/>
    <mergeCell ref="F38:G38"/>
  </mergeCells>
  <phoneticPr fontId="4" type="noConversion"/>
  <dataValidations count="3">
    <dataValidation type="list" allowBlank="1" showInputMessage="1" showErrorMessage="1" sqref="A41:A47" xr:uid="{94F19254-CCD7-4E5B-9A37-E8E81C79FF73}">
      <formula1>$A$95:$A$118</formula1>
    </dataValidation>
    <dataValidation type="list" allowBlank="1" showInputMessage="1" showErrorMessage="1" sqref="I21:I29" xr:uid="{EE74EC1F-7DE0-40A5-8E7C-C4D540D6A718}">
      <formula1>$M$16:$M$26</formula1>
    </dataValidation>
    <dataValidation type="whole" allowBlank="1" showInputMessage="1" showErrorMessage="1" errorTitle="숫자를 입력해주세요." promptTitle="숫자를 입력해주세요." sqref="C19:D19" xr:uid="{BA1C5BAD-C8E1-43D0-8562-E2817D0AB5B6}">
      <formula1>-3000</formula1>
      <formula2>3000</formula2>
    </dataValidation>
  </dataValidations>
  <hyperlinks>
    <hyperlink ref="B29" r:id="rId1" xr:uid="{3D29CE17-D1A5-4DD8-8E91-1ED95B1DCAA7}"/>
  </hyperlinks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C05DE-9B41-4E3F-97CB-AE25BF79C121}">
  <dimension ref="A1:T68"/>
  <sheetViews>
    <sheetView zoomScale="130" zoomScaleNormal="130" workbookViewId="0">
      <selection activeCell="A35" sqref="A35"/>
    </sheetView>
  </sheetViews>
  <sheetFormatPr defaultRowHeight="16.5" x14ac:dyDescent="0.3"/>
  <cols>
    <col min="1" max="1" width="17.875" customWidth="1"/>
    <col min="2" max="2" width="16" customWidth="1"/>
    <col min="3" max="3" width="22.75" customWidth="1"/>
    <col min="4" max="4" width="27.375" bestFit="1" customWidth="1"/>
    <col min="5" max="5" width="11.25" customWidth="1"/>
    <col min="6" max="6" width="12.75" customWidth="1"/>
    <col min="7" max="7" width="27.375" bestFit="1" customWidth="1"/>
  </cols>
  <sheetData>
    <row r="1" spans="1:20" x14ac:dyDescent="0.3">
      <c r="A1" s="916" t="s">
        <v>698</v>
      </c>
      <c r="B1" s="916"/>
      <c r="C1" s="916"/>
      <c r="D1" s="916"/>
      <c r="E1" s="916"/>
      <c r="F1" s="916"/>
      <c r="G1" s="282"/>
      <c r="H1" s="282"/>
      <c r="I1" s="282"/>
      <c r="J1" s="282"/>
      <c r="K1" s="282"/>
      <c r="L1" s="282"/>
      <c r="M1" s="282"/>
      <c r="N1" s="282"/>
      <c r="O1" s="282"/>
      <c r="P1" s="282"/>
      <c r="Q1" s="282"/>
      <c r="R1" s="282"/>
      <c r="S1" s="282"/>
      <c r="T1" s="282"/>
    </row>
    <row r="2" spans="1:20" ht="17.25" thickBot="1" x14ac:dyDescent="0.35">
      <c r="A2" s="916"/>
      <c r="B2" s="916"/>
      <c r="C2" s="916"/>
      <c r="D2" s="916"/>
      <c r="E2" s="916"/>
      <c r="F2" s="916"/>
      <c r="G2" s="282"/>
      <c r="H2" s="282"/>
      <c r="I2" s="282"/>
      <c r="J2" s="282"/>
      <c r="K2" s="282"/>
      <c r="L2" s="282"/>
      <c r="M2" s="282"/>
      <c r="N2" s="282"/>
      <c r="O2" s="282"/>
      <c r="P2" s="282"/>
      <c r="Q2" s="282"/>
      <c r="R2" s="282"/>
      <c r="S2" s="282"/>
      <c r="T2" s="282"/>
    </row>
    <row r="3" spans="1:20" x14ac:dyDescent="0.3">
      <c r="A3" s="917" t="s">
        <v>699</v>
      </c>
      <c r="B3" s="918"/>
      <c r="C3" s="919"/>
      <c r="D3" s="282"/>
      <c r="E3" s="282"/>
      <c r="F3" s="282"/>
      <c r="G3" s="282"/>
      <c r="H3" s="282"/>
      <c r="I3" s="282"/>
      <c r="J3" s="282"/>
      <c r="K3" s="282"/>
      <c r="L3" s="282"/>
      <c r="M3" s="282"/>
      <c r="N3" s="282"/>
      <c r="O3" s="282"/>
      <c r="P3" s="282"/>
      <c r="Q3" s="282"/>
      <c r="R3" s="282"/>
      <c r="S3" s="282"/>
      <c r="T3" s="282"/>
    </row>
    <row r="4" spans="1:20" ht="17.25" thickBot="1" x14ac:dyDescent="0.35">
      <c r="A4" s="920"/>
      <c r="B4" s="921"/>
      <c r="C4" s="922"/>
      <c r="D4" s="282" t="s">
        <v>700</v>
      </c>
      <c r="E4" s="282"/>
      <c r="F4" s="282"/>
      <c r="G4" s="282"/>
      <c r="H4" s="282"/>
      <c r="I4" s="282"/>
      <c r="J4" s="282"/>
      <c r="K4" s="282"/>
      <c r="L4" s="282"/>
      <c r="M4" s="282"/>
      <c r="N4" s="282"/>
      <c r="O4" s="282"/>
      <c r="P4" s="282"/>
      <c r="Q4" s="282"/>
      <c r="R4" s="282"/>
      <c r="S4" s="282"/>
      <c r="T4" s="282"/>
    </row>
    <row r="5" spans="1:20" x14ac:dyDescent="0.3">
      <c r="A5" s="497" t="s">
        <v>701</v>
      </c>
      <c r="B5" s="498"/>
      <c r="C5" s="498"/>
      <c r="D5" s="498"/>
      <c r="E5" s="499"/>
      <c r="F5" s="282"/>
      <c r="G5" s="282"/>
      <c r="H5" s="282"/>
      <c r="I5" s="282"/>
      <c r="J5" s="282"/>
      <c r="K5" s="282"/>
      <c r="L5" s="282"/>
      <c r="M5" s="282"/>
      <c r="N5" s="282"/>
      <c r="O5" s="282"/>
      <c r="P5" s="282"/>
      <c r="Q5" s="282"/>
      <c r="R5" s="282"/>
      <c r="S5" s="282"/>
      <c r="T5" s="282"/>
    </row>
    <row r="6" spans="1:20" x14ac:dyDescent="0.3">
      <c r="A6" s="179" t="s">
        <v>702</v>
      </c>
      <c r="B6" s="378"/>
      <c r="C6" s="378"/>
      <c r="D6" s="378"/>
      <c r="E6" s="176"/>
      <c r="F6" s="282"/>
      <c r="G6" s="282"/>
      <c r="H6" s="282"/>
      <c r="I6" s="282"/>
      <c r="J6" s="282"/>
      <c r="K6" s="282"/>
      <c r="L6" s="282"/>
      <c r="M6" s="282"/>
      <c r="N6" s="282"/>
      <c r="O6" s="282"/>
      <c r="P6" s="282"/>
      <c r="Q6" s="282"/>
      <c r="R6" s="282"/>
      <c r="S6" s="282"/>
      <c r="T6" s="282"/>
    </row>
    <row r="7" spans="1:20" x14ac:dyDescent="0.3">
      <c r="A7" s="500" t="s">
        <v>703</v>
      </c>
      <c r="B7" s="378"/>
      <c r="C7" s="378"/>
      <c r="D7" s="378"/>
      <c r="E7" s="176"/>
      <c r="F7" s="282"/>
      <c r="G7" s="282"/>
      <c r="H7" s="282"/>
      <c r="I7" s="282"/>
      <c r="J7" s="282"/>
      <c r="K7" s="282"/>
      <c r="L7" s="282"/>
      <c r="M7" s="282"/>
      <c r="N7" s="282"/>
      <c r="O7" s="282"/>
      <c r="P7" s="282"/>
      <c r="Q7" s="282"/>
      <c r="R7" s="282"/>
      <c r="S7" s="282"/>
      <c r="T7" s="282"/>
    </row>
    <row r="8" spans="1:20" ht="17.25" thickBot="1" x14ac:dyDescent="0.35">
      <c r="A8" s="17" t="s">
        <v>704</v>
      </c>
      <c r="B8" s="175"/>
      <c r="C8" s="175"/>
      <c r="D8" s="175"/>
      <c r="E8" s="177"/>
      <c r="F8" s="282"/>
      <c r="G8" s="282"/>
      <c r="H8" s="282"/>
      <c r="I8" s="282"/>
      <c r="J8" s="282"/>
      <c r="K8" s="282"/>
      <c r="L8" s="282"/>
      <c r="M8" s="282"/>
      <c r="N8" s="282"/>
      <c r="O8" s="282"/>
      <c r="P8" s="282"/>
      <c r="Q8" s="282"/>
      <c r="R8" s="282"/>
      <c r="S8" s="282"/>
      <c r="T8" s="282"/>
    </row>
    <row r="9" spans="1:20" ht="17.25" thickBot="1" x14ac:dyDescent="0.35">
      <c r="A9" s="282"/>
      <c r="B9" s="282"/>
      <c r="C9" s="282"/>
      <c r="D9" s="282"/>
      <c r="E9" s="282"/>
      <c r="F9" s="282"/>
      <c r="G9" s="282"/>
      <c r="H9" s="282"/>
      <c r="I9" s="282"/>
      <c r="J9" s="282"/>
      <c r="K9" s="282"/>
      <c r="L9" s="282"/>
      <c r="M9" s="282"/>
      <c r="N9" s="282"/>
      <c r="O9" s="282"/>
      <c r="P9" s="282"/>
      <c r="Q9" s="282"/>
      <c r="R9" s="282"/>
      <c r="S9" s="282"/>
      <c r="T9" s="282"/>
    </row>
    <row r="10" spans="1:20" ht="17.25" thickBot="1" x14ac:dyDescent="0.35">
      <c r="A10" s="768" t="s">
        <v>705</v>
      </c>
      <c r="B10" s="769"/>
      <c r="C10" s="769"/>
      <c r="D10" s="770"/>
      <c r="E10" s="282"/>
      <c r="F10" s="830" t="s">
        <v>706</v>
      </c>
      <c r="G10" s="832"/>
      <c r="H10" s="282"/>
      <c r="I10" s="282"/>
      <c r="J10" s="282"/>
      <c r="K10" s="282"/>
      <c r="L10" s="282"/>
      <c r="M10" s="282"/>
      <c r="N10" s="282"/>
      <c r="O10" s="282"/>
      <c r="P10" s="282"/>
      <c r="Q10" s="282"/>
      <c r="R10" s="282"/>
      <c r="S10" s="282"/>
      <c r="T10" s="282"/>
    </row>
    <row r="11" spans="1:20" x14ac:dyDescent="0.3">
      <c r="A11" s="923" t="s">
        <v>707</v>
      </c>
      <c r="B11" s="924"/>
      <c r="C11" s="925" t="s">
        <v>708</v>
      </c>
      <c r="D11" s="829"/>
      <c r="E11" s="282"/>
      <c r="F11" s="456" t="s">
        <v>326</v>
      </c>
      <c r="G11" s="501" t="s">
        <v>709</v>
      </c>
      <c r="H11" s="282"/>
      <c r="I11" s="282"/>
      <c r="J11" s="282"/>
      <c r="K11" s="282"/>
      <c r="L11" s="282"/>
      <c r="M11" s="282"/>
      <c r="N11" s="282"/>
      <c r="O11" s="282"/>
      <c r="P11" s="282"/>
      <c r="Q11" s="282"/>
      <c r="R11" s="282"/>
      <c r="S11" s="282"/>
      <c r="T11" s="282"/>
    </row>
    <row r="12" spans="1:20" x14ac:dyDescent="0.3">
      <c r="A12" s="926" t="s">
        <v>710</v>
      </c>
      <c r="B12" s="927"/>
      <c r="C12" s="932" t="s">
        <v>711</v>
      </c>
      <c r="D12" s="933"/>
      <c r="E12" s="282"/>
      <c r="F12" s="456" t="s">
        <v>327</v>
      </c>
      <c r="G12" s="501" t="s">
        <v>712</v>
      </c>
      <c r="H12" s="282"/>
      <c r="I12" s="282"/>
      <c r="J12" s="282"/>
      <c r="K12" s="282"/>
      <c r="L12" s="282"/>
      <c r="M12" s="282"/>
      <c r="N12" s="282"/>
      <c r="O12" s="282"/>
      <c r="P12" s="282"/>
      <c r="Q12" s="282"/>
      <c r="R12" s="282"/>
      <c r="S12" s="282"/>
      <c r="T12" s="282"/>
    </row>
    <row r="13" spans="1:20" ht="17.25" thickBot="1" x14ac:dyDescent="0.35">
      <c r="A13" s="928"/>
      <c r="B13" s="929"/>
      <c r="C13" s="932" t="s">
        <v>713</v>
      </c>
      <c r="D13" s="933"/>
      <c r="E13" s="282"/>
      <c r="F13" s="456" t="s">
        <v>350</v>
      </c>
      <c r="G13" s="501" t="s">
        <v>714</v>
      </c>
      <c r="H13" s="282"/>
      <c r="I13" s="282"/>
      <c r="J13" s="282"/>
      <c r="K13" s="282"/>
      <c r="L13" s="282"/>
      <c r="M13" s="282"/>
      <c r="N13" s="282"/>
      <c r="O13" s="282"/>
      <c r="P13" s="282"/>
      <c r="Q13" s="282"/>
      <c r="R13" s="282"/>
      <c r="S13" s="282"/>
      <c r="T13" s="282"/>
    </row>
    <row r="14" spans="1:20" ht="17.25" thickBot="1" x14ac:dyDescent="0.35">
      <c r="A14" s="930"/>
      <c r="B14" s="931"/>
      <c r="C14" s="934" t="s">
        <v>715</v>
      </c>
      <c r="D14" s="935"/>
      <c r="E14" s="282"/>
      <c r="F14" s="502" t="s">
        <v>716</v>
      </c>
      <c r="G14" s="498"/>
      <c r="H14" s="498"/>
      <c r="I14" s="498"/>
      <c r="J14" s="498"/>
      <c r="K14" s="499"/>
      <c r="L14" s="282"/>
      <c r="M14" s="282"/>
      <c r="N14" s="282"/>
      <c r="O14" s="282"/>
      <c r="P14" s="282"/>
      <c r="Q14" s="282"/>
      <c r="R14" s="282"/>
      <c r="S14" s="282"/>
      <c r="T14" s="282"/>
    </row>
    <row r="15" spans="1:20" ht="17.25" thickBot="1" x14ac:dyDescent="0.35">
      <c r="A15" s="282"/>
      <c r="B15" s="282"/>
      <c r="C15" s="282"/>
      <c r="D15" s="282"/>
      <c r="E15" s="282"/>
      <c r="F15" s="179" t="s">
        <v>717</v>
      </c>
      <c r="G15" s="378"/>
      <c r="H15" s="378"/>
      <c r="I15" s="378"/>
      <c r="J15" s="378"/>
      <c r="K15" s="176"/>
      <c r="L15" s="282"/>
      <c r="M15" s="282"/>
      <c r="N15" s="282"/>
      <c r="O15" s="282"/>
      <c r="P15" s="282"/>
      <c r="Q15" s="282"/>
      <c r="R15" s="282"/>
      <c r="S15" s="282"/>
      <c r="T15" s="282"/>
    </row>
    <row r="16" spans="1:20" x14ac:dyDescent="0.3">
      <c r="A16" s="503" t="s">
        <v>718</v>
      </c>
      <c r="B16" s="504">
        <v>70</v>
      </c>
      <c r="C16" s="582" t="s">
        <v>719</v>
      </c>
      <c r="D16" s="936"/>
      <c r="E16" s="282"/>
      <c r="F16" s="505" t="s">
        <v>720</v>
      </c>
      <c r="G16" s="506"/>
      <c r="H16" s="506"/>
      <c r="I16" s="378"/>
      <c r="J16" s="378"/>
      <c r="K16" s="176"/>
      <c r="L16" s="282"/>
      <c r="M16" s="282"/>
      <c r="N16" s="282"/>
      <c r="O16" s="282"/>
      <c r="P16" s="282"/>
      <c r="Q16" s="282"/>
      <c r="R16" s="282"/>
      <c r="S16" s="282"/>
      <c r="T16" s="282"/>
    </row>
    <row r="17" spans="1:20" ht="17.25" thickBot="1" x14ac:dyDescent="0.35">
      <c r="A17" s="507" t="s">
        <v>721</v>
      </c>
      <c r="B17" s="508">
        <v>0.15</v>
      </c>
      <c r="C17" s="802"/>
      <c r="D17" s="804"/>
      <c r="E17" s="282"/>
      <c r="F17" s="509" t="s">
        <v>722</v>
      </c>
      <c r="G17" s="510"/>
      <c r="H17" s="510"/>
      <c r="I17" s="175"/>
      <c r="J17" s="175"/>
      <c r="K17" s="177"/>
      <c r="L17" s="282"/>
      <c r="M17" s="282"/>
      <c r="N17" s="282"/>
      <c r="O17" s="282"/>
      <c r="P17" s="282"/>
      <c r="Q17" s="282"/>
      <c r="R17" s="282"/>
      <c r="S17" s="282"/>
      <c r="T17" s="282"/>
    </row>
    <row r="18" spans="1:20" ht="17.25" thickBot="1" x14ac:dyDescent="0.35">
      <c r="A18" s="467" t="s">
        <v>723</v>
      </c>
      <c r="B18" s="511">
        <v>35</v>
      </c>
      <c r="C18" s="710"/>
      <c r="D18" s="712"/>
      <c r="E18" s="282"/>
      <c r="F18" s="282"/>
      <c r="G18" s="282"/>
      <c r="H18" s="512"/>
      <c r="I18" s="282"/>
      <c r="J18" s="282"/>
      <c r="K18" s="282"/>
      <c r="L18" s="282"/>
      <c r="M18" s="282"/>
      <c r="N18" s="282"/>
      <c r="O18" s="282"/>
      <c r="P18" s="282"/>
      <c r="Q18" s="282"/>
      <c r="R18" s="282"/>
      <c r="S18" s="282"/>
      <c r="T18" s="282"/>
    </row>
    <row r="19" spans="1:20" ht="17.25" thickBot="1" x14ac:dyDescent="0.35">
      <c r="A19" s="282"/>
      <c r="B19" s="282"/>
      <c r="C19" s="282"/>
      <c r="D19" s="282"/>
      <c r="E19" s="282"/>
      <c r="F19" s="282"/>
      <c r="G19" s="282"/>
      <c r="H19" s="282"/>
      <c r="I19" s="282"/>
      <c r="J19" s="282"/>
      <c r="K19" s="282"/>
      <c r="L19" s="282"/>
      <c r="M19" s="282"/>
      <c r="N19" s="282"/>
      <c r="O19" s="282"/>
      <c r="P19" s="282"/>
      <c r="Q19" s="282"/>
      <c r="R19" s="282"/>
      <c r="S19" s="282"/>
      <c r="T19" s="282"/>
    </row>
    <row r="20" spans="1:20" ht="16.5" customHeight="1" x14ac:dyDescent="0.3">
      <c r="A20" s="937" t="s">
        <v>724</v>
      </c>
      <c r="B20" s="938"/>
      <c r="C20" s="941">
        <f>(((B16*(1-B17)*21.6)+370)*1.35)-IF(D23&gt;30,IF(COUNTA(D25)=1,C25*(D23-30)/7,IF(COUNTA(D26)=1,C26*(D23-30)/7,IF(COUNTA(D27)=1,C27*(D23-30)/7,0))),0)</f>
        <v>2234.52</v>
      </c>
      <c r="D20" s="942"/>
      <c r="E20" s="284"/>
      <c r="F20" s="284"/>
      <c r="G20" s="282"/>
      <c r="H20" s="282"/>
      <c r="I20" s="282"/>
      <c r="J20" s="282"/>
      <c r="K20" s="282"/>
      <c r="L20" s="282"/>
      <c r="M20" s="282"/>
      <c r="N20" s="282"/>
      <c r="O20" s="282"/>
      <c r="P20" s="282"/>
      <c r="Q20" s="282"/>
      <c r="R20" s="282"/>
      <c r="S20" s="282"/>
      <c r="T20" s="282"/>
    </row>
    <row r="21" spans="1:20" x14ac:dyDescent="0.3">
      <c r="A21" s="939"/>
      <c r="B21" s="940"/>
      <c r="C21" s="943"/>
      <c r="D21" s="944"/>
      <c r="E21" s="284"/>
      <c r="F21" s="284"/>
      <c r="G21" s="282"/>
      <c r="H21" s="282"/>
      <c r="I21" s="282"/>
      <c r="J21" s="282"/>
      <c r="K21" s="282"/>
      <c r="L21" s="282"/>
      <c r="M21" s="282"/>
      <c r="N21" s="282"/>
      <c r="O21" s="282"/>
      <c r="P21" s="282"/>
      <c r="Q21" s="282"/>
      <c r="R21" s="282"/>
      <c r="S21" s="282"/>
      <c r="T21" s="282"/>
    </row>
    <row r="22" spans="1:20" ht="17.25" thickBot="1" x14ac:dyDescent="0.35">
      <c r="A22" s="939"/>
      <c r="B22" s="940"/>
      <c r="C22" s="945"/>
      <c r="D22" s="946"/>
      <c r="E22" s="284"/>
      <c r="F22" s="284"/>
      <c r="G22" s="282"/>
      <c r="H22" s="282"/>
      <c r="I22" s="282"/>
      <c r="J22" s="282"/>
      <c r="K22" s="282"/>
      <c r="L22" s="282"/>
      <c r="M22" s="282"/>
      <c r="N22" s="282"/>
      <c r="O22" s="282"/>
      <c r="P22" s="282"/>
      <c r="Q22" s="282"/>
      <c r="R22" s="282"/>
      <c r="S22" s="282"/>
      <c r="T22" s="282"/>
    </row>
    <row r="23" spans="1:20" ht="16.5" customHeight="1" thickBot="1" x14ac:dyDescent="0.35">
      <c r="A23" s="947" t="s">
        <v>725</v>
      </c>
      <c r="B23" s="948"/>
      <c r="C23" s="513" t="s">
        <v>674</v>
      </c>
      <c r="D23" s="514">
        <v>30</v>
      </c>
      <c r="E23" s="284"/>
      <c r="F23" s="284"/>
      <c r="G23" s="282"/>
      <c r="H23" s="282"/>
      <c r="I23" s="282"/>
      <c r="J23" s="282"/>
      <c r="K23" s="282"/>
      <c r="L23" s="282"/>
      <c r="M23" s="282"/>
      <c r="N23" s="282"/>
      <c r="O23" s="282"/>
      <c r="P23" s="282"/>
      <c r="Q23" s="282"/>
      <c r="R23" s="282"/>
      <c r="S23" s="282"/>
      <c r="T23" s="282"/>
    </row>
    <row r="24" spans="1:20" ht="16.5" customHeight="1" thickBot="1" x14ac:dyDescent="0.35">
      <c r="A24" s="947"/>
      <c r="B24" s="948"/>
      <c r="C24" s="949" t="s">
        <v>726</v>
      </c>
      <c r="D24" s="950"/>
      <c r="E24" s="284"/>
      <c r="F24" s="284"/>
      <c r="G24" s="282"/>
      <c r="H24" s="282"/>
      <c r="I24" s="282"/>
      <c r="J24" s="282"/>
      <c r="K24" s="282"/>
      <c r="L24" s="282"/>
      <c r="M24" s="282"/>
      <c r="N24" s="282"/>
      <c r="O24" s="282"/>
      <c r="P24" s="282"/>
      <c r="Q24" s="282"/>
      <c r="R24" s="282"/>
      <c r="S24" s="282"/>
      <c r="T24" s="282"/>
    </row>
    <row r="25" spans="1:20" x14ac:dyDescent="0.3">
      <c r="A25" s="947"/>
      <c r="B25" s="948"/>
      <c r="C25" s="515">
        <v>50</v>
      </c>
      <c r="D25" s="516" t="s">
        <v>24</v>
      </c>
      <c r="E25" s="284"/>
      <c r="F25" s="284"/>
      <c r="G25" s="282"/>
      <c r="H25" s="282"/>
      <c r="I25" s="282"/>
      <c r="J25" s="282"/>
      <c r="K25" s="282"/>
      <c r="L25" s="282"/>
      <c r="M25" s="282"/>
      <c r="N25" s="282"/>
      <c r="O25" s="282"/>
      <c r="P25" s="282"/>
      <c r="Q25" s="282"/>
      <c r="R25" s="282"/>
      <c r="S25" s="282"/>
      <c r="T25" s="282"/>
    </row>
    <row r="26" spans="1:20" x14ac:dyDescent="0.3">
      <c r="A26" s="947"/>
      <c r="B26" s="948"/>
      <c r="C26" s="517">
        <v>75</v>
      </c>
      <c r="D26" s="518"/>
      <c r="E26" s="284"/>
      <c r="F26" s="284"/>
      <c r="G26" s="282"/>
      <c r="H26" s="282"/>
      <c r="I26" s="282"/>
      <c r="J26" s="282"/>
      <c r="K26" s="282"/>
      <c r="L26" s="282"/>
      <c r="M26" s="282"/>
      <c r="N26" s="282"/>
      <c r="O26" s="282"/>
      <c r="P26" s="282"/>
      <c r="Q26" s="282"/>
      <c r="R26" s="282"/>
      <c r="S26" s="282"/>
      <c r="T26" s="282"/>
    </row>
    <row r="27" spans="1:20" ht="17.25" thickBot="1" x14ac:dyDescent="0.35">
      <c r="A27" s="947"/>
      <c r="B27" s="948"/>
      <c r="C27" s="517">
        <v>100</v>
      </c>
      <c r="D27" s="518"/>
      <c r="E27" s="284"/>
      <c r="F27" s="284"/>
      <c r="G27" s="282"/>
      <c r="H27" s="282"/>
      <c r="I27" s="282"/>
      <c r="J27" s="282"/>
      <c r="K27" s="282"/>
      <c r="L27" s="282"/>
      <c r="M27" s="282"/>
      <c r="N27" s="282"/>
      <c r="O27" s="282"/>
      <c r="P27" s="282"/>
      <c r="Q27" s="282"/>
      <c r="R27" s="282"/>
      <c r="S27" s="282"/>
      <c r="T27" s="282"/>
    </row>
    <row r="28" spans="1:20" x14ac:dyDescent="0.3">
      <c r="A28" s="951" t="s">
        <v>727</v>
      </c>
      <c r="B28" s="847"/>
      <c r="C28" s="847"/>
      <c r="D28" s="847"/>
      <c r="E28" s="952"/>
      <c r="F28" s="953" t="s">
        <v>728</v>
      </c>
      <c r="G28" s="954"/>
      <c r="H28" s="282"/>
      <c r="I28" s="282"/>
      <c r="J28" s="282"/>
      <c r="K28" s="282"/>
      <c r="L28" s="282"/>
      <c r="M28" s="282"/>
      <c r="N28" s="282"/>
      <c r="O28" s="282"/>
      <c r="P28" s="282"/>
      <c r="Q28" s="282"/>
      <c r="R28" s="282"/>
      <c r="S28" s="282"/>
      <c r="T28" s="282"/>
    </row>
    <row r="29" spans="1:20" x14ac:dyDescent="0.3">
      <c r="A29" s="519"/>
      <c r="B29" s="520" t="s">
        <v>729</v>
      </c>
      <c r="C29" s="520" t="s">
        <v>208</v>
      </c>
      <c r="D29" s="520" t="s">
        <v>45</v>
      </c>
      <c r="E29" s="521" t="s">
        <v>46</v>
      </c>
      <c r="F29" s="955"/>
      <c r="G29" s="956"/>
      <c r="H29" s="282"/>
      <c r="I29" s="282"/>
      <c r="J29" s="282"/>
      <c r="K29" s="282"/>
      <c r="L29" s="282"/>
      <c r="M29" s="282"/>
      <c r="N29" s="282"/>
      <c r="O29" s="282"/>
      <c r="P29" s="282"/>
      <c r="Q29" s="282"/>
      <c r="R29" s="282"/>
      <c r="S29" s="282"/>
      <c r="T29" s="282"/>
    </row>
    <row r="30" spans="1:20" x14ac:dyDescent="0.3">
      <c r="A30" s="27" t="s">
        <v>730</v>
      </c>
      <c r="B30" s="522">
        <f>(B18*40*180/1000)*4+C20</f>
        <v>3242.52</v>
      </c>
      <c r="C30" s="522">
        <f>B30*$F$30</f>
        <v>1945.5119999999999</v>
      </c>
      <c r="D30" s="522">
        <f>$B$16*2*4</f>
        <v>560</v>
      </c>
      <c r="E30" s="523">
        <f>B30-C30-D30</f>
        <v>737.00800000000004</v>
      </c>
      <c r="F30" s="957">
        <v>0.6</v>
      </c>
      <c r="G30" s="958"/>
      <c r="H30" s="282"/>
      <c r="I30" s="282"/>
      <c r="J30" s="282"/>
      <c r="K30" s="282"/>
      <c r="L30" s="282"/>
      <c r="M30" s="282"/>
      <c r="N30" s="282"/>
      <c r="O30" s="282"/>
      <c r="P30" s="282"/>
      <c r="Q30" s="282"/>
      <c r="R30" s="282"/>
      <c r="S30" s="282"/>
      <c r="T30" s="282"/>
    </row>
    <row r="31" spans="1:20" x14ac:dyDescent="0.3">
      <c r="A31" s="122" t="s">
        <v>731</v>
      </c>
      <c r="B31" s="522">
        <f>(B18*150*180/1000)*4+C20</f>
        <v>6014.52</v>
      </c>
      <c r="C31" s="522">
        <f t="shared" ref="C31:C33" si="0">B31*$F$30</f>
        <v>3608.712</v>
      </c>
      <c r="D31" s="522">
        <f t="shared" ref="D31:D33" si="1">$B$16*2*4</f>
        <v>560</v>
      </c>
      <c r="E31" s="523">
        <f t="shared" ref="E31:E33" si="2">B31-C31-D31</f>
        <v>1845.8080000000004</v>
      </c>
      <c r="F31" s="957"/>
      <c r="G31" s="958"/>
      <c r="H31" s="282"/>
      <c r="I31" s="282"/>
      <c r="J31" s="282"/>
      <c r="K31" s="282"/>
      <c r="L31" s="282"/>
      <c r="M31" s="282"/>
      <c r="N31" s="282"/>
      <c r="O31" s="282"/>
      <c r="P31" s="282"/>
      <c r="Q31" s="282"/>
      <c r="R31" s="282"/>
      <c r="S31" s="282"/>
      <c r="T31" s="282"/>
    </row>
    <row r="32" spans="1:20" x14ac:dyDescent="0.3">
      <c r="A32" s="122" t="s">
        <v>732</v>
      </c>
      <c r="B32" s="522">
        <f>(B18*75*180/1000)*4+C20</f>
        <v>4124.5200000000004</v>
      </c>
      <c r="C32" s="522">
        <f t="shared" si="0"/>
        <v>2474.712</v>
      </c>
      <c r="D32" s="522">
        <f t="shared" si="1"/>
        <v>560</v>
      </c>
      <c r="E32" s="523">
        <f t="shared" si="2"/>
        <v>1089.8080000000004</v>
      </c>
      <c r="F32" s="802" t="s">
        <v>733</v>
      </c>
      <c r="G32" s="804"/>
      <c r="H32" s="282"/>
      <c r="I32" s="282"/>
      <c r="J32" s="282"/>
      <c r="K32" s="282"/>
      <c r="L32" s="282"/>
      <c r="M32" s="282"/>
      <c r="N32" s="282"/>
      <c r="O32" s="282"/>
      <c r="P32" s="282"/>
      <c r="Q32" s="282"/>
      <c r="R32" s="282"/>
      <c r="S32" s="282"/>
      <c r="T32" s="282"/>
    </row>
    <row r="33" spans="1:20" ht="17.25" thickBot="1" x14ac:dyDescent="0.35">
      <c r="A33" s="263" t="s">
        <v>734</v>
      </c>
      <c r="B33" s="524">
        <f>(B18*50*180/1000)*4+C20</f>
        <v>3494.52</v>
      </c>
      <c r="C33" s="524">
        <f t="shared" si="0"/>
        <v>2096.712</v>
      </c>
      <c r="D33" s="524">
        <f t="shared" si="1"/>
        <v>560</v>
      </c>
      <c r="E33" s="525">
        <f t="shared" si="2"/>
        <v>837.80799999999999</v>
      </c>
      <c r="F33" s="710" t="s">
        <v>735</v>
      </c>
      <c r="G33" s="712"/>
      <c r="H33" s="282"/>
      <c r="I33" s="282"/>
      <c r="J33" s="282"/>
      <c r="K33" s="282"/>
      <c r="L33" s="282"/>
      <c r="M33" s="282"/>
      <c r="N33" s="282"/>
      <c r="O33" s="282"/>
      <c r="P33" s="282"/>
      <c r="Q33" s="282"/>
      <c r="R33" s="282"/>
      <c r="S33" s="282"/>
      <c r="T33" s="282"/>
    </row>
    <row r="34" spans="1:20" x14ac:dyDescent="0.3">
      <c r="A34" s="282"/>
      <c r="B34" s="282"/>
      <c r="C34" s="282"/>
      <c r="D34" s="282"/>
      <c r="E34" s="526"/>
      <c r="F34" s="282"/>
      <c r="G34" s="282"/>
      <c r="H34" s="282"/>
      <c r="I34" s="282"/>
      <c r="J34" s="282"/>
      <c r="K34" s="282"/>
      <c r="L34" s="282"/>
      <c r="M34" s="282"/>
      <c r="N34" s="282"/>
      <c r="O34" s="282"/>
      <c r="P34" s="282"/>
      <c r="Q34" s="282"/>
      <c r="R34" s="282"/>
      <c r="S34" s="282"/>
      <c r="T34" s="282"/>
    </row>
    <row r="35" spans="1:20" ht="17.25" thickBot="1" x14ac:dyDescent="0.35">
      <c r="A35" s="527"/>
      <c r="B35" s="282"/>
      <c r="C35" s="282"/>
      <c r="D35" s="282"/>
      <c r="E35" s="282"/>
      <c r="F35" s="282"/>
      <c r="G35" s="282"/>
      <c r="H35" s="282"/>
      <c r="I35" s="282"/>
      <c r="J35" s="282"/>
      <c r="K35" s="282"/>
      <c r="L35" s="282"/>
      <c r="M35" s="282"/>
      <c r="N35" s="282"/>
      <c r="O35" s="282"/>
      <c r="P35" s="282"/>
      <c r="Q35" s="282"/>
      <c r="R35" s="282"/>
      <c r="S35" s="282"/>
      <c r="T35" s="282"/>
    </row>
    <row r="36" spans="1:20" x14ac:dyDescent="0.3">
      <c r="A36" s="827" t="s">
        <v>736</v>
      </c>
      <c r="B36" s="828"/>
      <c r="C36" s="828"/>
      <c r="D36" s="528">
        <v>10</v>
      </c>
      <c r="E36" s="529" t="s">
        <v>737</v>
      </c>
      <c r="F36" s="529"/>
      <c r="G36" s="530"/>
      <c r="H36" s="282"/>
      <c r="I36" s="282"/>
      <c r="J36" s="282"/>
      <c r="K36" s="282"/>
      <c r="L36" s="282"/>
      <c r="M36" s="282"/>
      <c r="N36" s="282"/>
      <c r="O36" s="282"/>
      <c r="P36" s="282"/>
      <c r="Q36" s="282"/>
      <c r="R36" s="282"/>
      <c r="S36" s="282"/>
      <c r="T36" s="282"/>
    </row>
    <row r="37" spans="1:20" x14ac:dyDescent="0.3">
      <c r="A37" s="969" t="s">
        <v>738</v>
      </c>
      <c r="B37" s="970"/>
      <c r="C37" s="44">
        <v>50</v>
      </c>
      <c r="D37" s="531">
        <f t="shared" ref="D37:D42" si="3">($D$36)*C37</f>
        <v>500</v>
      </c>
      <c r="E37" s="532" t="s">
        <v>739</v>
      </c>
      <c r="F37" s="532"/>
      <c r="G37" s="533"/>
      <c r="H37" s="282"/>
      <c r="I37" s="282"/>
      <c r="J37" s="282"/>
      <c r="K37" s="282"/>
      <c r="L37" s="282"/>
      <c r="M37" s="282"/>
      <c r="N37" s="282"/>
      <c r="O37" s="282"/>
      <c r="P37" s="282"/>
      <c r="Q37" s="282"/>
      <c r="R37" s="282"/>
      <c r="S37" s="282"/>
      <c r="T37" s="282"/>
    </row>
    <row r="38" spans="1:20" x14ac:dyDescent="0.3">
      <c r="A38" s="969" t="s">
        <v>740</v>
      </c>
      <c r="B38" s="970"/>
      <c r="C38" s="44">
        <v>7.5</v>
      </c>
      <c r="D38" s="531">
        <f t="shared" si="3"/>
        <v>75</v>
      </c>
      <c r="E38" s="532" t="s">
        <v>741</v>
      </c>
      <c r="F38" s="532"/>
      <c r="G38" s="533"/>
      <c r="H38" s="282"/>
      <c r="I38" s="282"/>
      <c r="J38" s="282"/>
      <c r="K38" s="282"/>
      <c r="L38" s="282"/>
      <c r="M38" s="282"/>
      <c r="N38" s="282"/>
      <c r="O38" s="282"/>
      <c r="P38" s="282"/>
      <c r="Q38" s="282"/>
      <c r="R38" s="282"/>
      <c r="S38" s="282"/>
      <c r="T38" s="282"/>
    </row>
    <row r="39" spans="1:20" x14ac:dyDescent="0.3">
      <c r="A39" s="969" t="s">
        <v>742</v>
      </c>
      <c r="B39" s="970"/>
      <c r="C39" s="44">
        <v>1</v>
      </c>
      <c r="D39" s="531">
        <f t="shared" si="3"/>
        <v>10</v>
      </c>
      <c r="E39" s="532" t="s">
        <v>743</v>
      </c>
      <c r="F39" s="532"/>
      <c r="G39" s="533"/>
      <c r="H39" s="282"/>
      <c r="I39" s="282"/>
      <c r="J39" s="282"/>
      <c r="K39" s="282"/>
      <c r="L39" s="282"/>
      <c r="M39" s="282"/>
      <c r="N39" s="282"/>
      <c r="O39" s="282"/>
      <c r="P39" s="282"/>
      <c r="Q39" s="282"/>
      <c r="R39" s="282"/>
      <c r="S39" s="282"/>
      <c r="T39" s="282"/>
    </row>
    <row r="40" spans="1:20" x14ac:dyDescent="0.3">
      <c r="A40" s="969" t="s">
        <v>744</v>
      </c>
      <c r="B40" s="970"/>
      <c r="C40" s="44">
        <v>0.25</v>
      </c>
      <c r="D40" s="531">
        <f t="shared" si="3"/>
        <v>2.5</v>
      </c>
      <c r="E40" s="532" t="s">
        <v>745</v>
      </c>
      <c r="F40" s="532"/>
      <c r="G40" s="533"/>
      <c r="H40" s="282"/>
      <c r="I40" s="282"/>
      <c r="J40" s="282"/>
      <c r="K40" s="282"/>
      <c r="L40" s="282"/>
      <c r="M40" s="282"/>
      <c r="N40" s="282"/>
      <c r="O40" s="282"/>
      <c r="P40" s="282"/>
      <c r="Q40" s="282"/>
      <c r="R40" s="282"/>
      <c r="S40" s="282"/>
      <c r="T40" s="282"/>
    </row>
    <row r="41" spans="1:20" x14ac:dyDescent="0.3">
      <c r="A41" s="959" t="s">
        <v>746</v>
      </c>
      <c r="B41" s="960"/>
      <c r="C41" s="44">
        <v>0.1</v>
      </c>
      <c r="D41" s="531">
        <f t="shared" si="3"/>
        <v>1</v>
      </c>
      <c r="E41" s="532" t="s">
        <v>747</v>
      </c>
      <c r="F41" s="532"/>
      <c r="G41" s="533"/>
      <c r="H41" s="282"/>
      <c r="I41" s="282"/>
      <c r="J41" s="282"/>
      <c r="K41" s="282"/>
      <c r="L41" s="282"/>
      <c r="M41" s="282"/>
      <c r="N41" s="282"/>
      <c r="O41" s="282"/>
      <c r="P41" s="282"/>
      <c r="Q41" s="282"/>
      <c r="R41" s="282"/>
      <c r="S41" s="282"/>
      <c r="T41" s="282"/>
    </row>
    <row r="42" spans="1:20" ht="17.25" thickBot="1" x14ac:dyDescent="0.35">
      <c r="A42" s="961" t="s">
        <v>649</v>
      </c>
      <c r="B42" s="962"/>
      <c r="C42" s="534">
        <v>500</v>
      </c>
      <c r="D42" s="535">
        <f t="shared" si="3"/>
        <v>5000</v>
      </c>
      <c r="E42" s="536"/>
      <c r="F42" s="536"/>
      <c r="G42" s="537"/>
      <c r="H42" s="282"/>
      <c r="I42" s="282"/>
      <c r="J42" s="282"/>
      <c r="K42" s="282"/>
      <c r="L42" s="282"/>
      <c r="M42" s="282"/>
      <c r="N42" s="282"/>
      <c r="O42" s="282"/>
      <c r="P42" s="282"/>
      <c r="Q42" s="282"/>
      <c r="R42" s="282"/>
      <c r="S42" s="282"/>
      <c r="T42" s="282"/>
    </row>
    <row r="43" spans="1:20" x14ac:dyDescent="0.3">
      <c r="A43" s="963" t="s">
        <v>748</v>
      </c>
      <c r="B43" s="964"/>
      <c r="C43" s="965"/>
      <c r="D43" s="282"/>
      <c r="E43" s="282"/>
      <c r="F43" s="282"/>
      <c r="G43" s="282"/>
      <c r="H43" s="282"/>
      <c r="I43" s="282"/>
      <c r="J43" s="282"/>
      <c r="K43" s="282"/>
      <c r="L43" s="282"/>
      <c r="M43" s="282"/>
      <c r="N43" s="282"/>
      <c r="O43" s="282"/>
      <c r="P43" s="282"/>
      <c r="Q43" s="282"/>
      <c r="R43" s="282"/>
      <c r="S43" s="282"/>
      <c r="T43" s="282"/>
    </row>
    <row r="44" spans="1:20" ht="17.25" thickBot="1" x14ac:dyDescent="0.35">
      <c r="A44" s="966" t="s">
        <v>749</v>
      </c>
      <c r="B44" s="967"/>
      <c r="C44" s="968"/>
      <c r="D44" s="282"/>
      <c r="E44" s="282"/>
      <c r="F44" s="282"/>
      <c r="G44" s="282"/>
      <c r="H44" s="282"/>
      <c r="I44" s="282"/>
      <c r="J44" s="282"/>
      <c r="K44" s="282"/>
      <c r="L44" s="282"/>
      <c r="M44" s="282"/>
      <c r="N44" s="282"/>
      <c r="O44" s="282"/>
      <c r="P44" s="282"/>
      <c r="Q44" s="282"/>
      <c r="R44" s="282"/>
      <c r="S44" s="282"/>
      <c r="T44" s="282"/>
    </row>
    <row r="45" spans="1:20" x14ac:dyDescent="0.3">
      <c r="A45" s="282"/>
      <c r="B45" s="282"/>
      <c r="C45" s="282"/>
      <c r="D45" s="282"/>
      <c r="E45" s="282"/>
      <c r="F45" s="282"/>
      <c r="G45" s="282"/>
      <c r="H45" s="282"/>
      <c r="I45" s="282"/>
      <c r="J45" s="282"/>
      <c r="K45" s="282"/>
      <c r="L45" s="282"/>
      <c r="M45" s="282"/>
      <c r="N45" s="282"/>
      <c r="O45" s="282"/>
      <c r="P45" s="282"/>
      <c r="Q45" s="282"/>
      <c r="R45" s="282"/>
      <c r="S45" s="282"/>
      <c r="T45" s="282"/>
    </row>
    <row r="46" spans="1:20" x14ac:dyDescent="0.3">
      <c r="A46" s="282"/>
      <c r="B46" s="282"/>
      <c r="C46" s="282"/>
      <c r="D46" s="282"/>
      <c r="E46" s="282"/>
      <c r="F46" s="282"/>
      <c r="G46" s="282"/>
      <c r="H46" s="282"/>
      <c r="I46" s="282"/>
      <c r="J46" s="282"/>
      <c r="K46" s="282"/>
      <c r="L46" s="282"/>
      <c r="M46" s="282"/>
      <c r="N46" s="282"/>
      <c r="O46" s="282"/>
      <c r="P46" s="282"/>
      <c r="Q46" s="282"/>
      <c r="R46" s="282"/>
      <c r="S46" s="282"/>
      <c r="T46" s="282"/>
    </row>
    <row r="47" spans="1:20" x14ac:dyDescent="0.3">
      <c r="A47" s="282"/>
      <c r="B47" s="282"/>
      <c r="C47" s="282"/>
      <c r="D47" s="282"/>
      <c r="E47" s="282"/>
      <c r="F47" s="282"/>
      <c r="G47" s="282"/>
      <c r="H47" s="282"/>
      <c r="I47" s="282"/>
      <c r="J47" s="282"/>
      <c r="K47" s="282"/>
      <c r="L47" s="282"/>
      <c r="M47" s="282"/>
      <c r="N47" s="282"/>
      <c r="O47" s="282"/>
      <c r="P47" s="282"/>
      <c r="Q47" s="282"/>
      <c r="R47" s="282"/>
      <c r="S47" s="282"/>
      <c r="T47" s="282"/>
    </row>
    <row r="48" spans="1:20" x14ac:dyDescent="0.3">
      <c r="A48" s="282"/>
      <c r="B48" s="282"/>
      <c r="C48" s="282"/>
      <c r="D48" s="282"/>
      <c r="E48" s="282"/>
      <c r="F48" s="282"/>
      <c r="G48" s="282"/>
      <c r="H48" s="282"/>
      <c r="I48" s="282"/>
      <c r="J48" s="282"/>
      <c r="K48" s="282"/>
      <c r="L48" s="282"/>
      <c r="M48" s="282"/>
      <c r="N48" s="282"/>
      <c r="O48" s="282"/>
      <c r="P48" s="282"/>
      <c r="Q48" s="282"/>
      <c r="R48" s="282"/>
      <c r="S48" s="282"/>
      <c r="T48" s="282"/>
    </row>
    <row r="49" spans="1:20" x14ac:dyDescent="0.3">
      <c r="A49" s="282"/>
      <c r="B49" s="282"/>
      <c r="C49" s="282"/>
      <c r="D49" s="282"/>
      <c r="E49" s="282"/>
      <c r="F49" s="282"/>
      <c r="G49" s="282"/>
      <c r="H49" s="282"/>
      <c r="I49" s="282"/>
      <c r="J49" s="282"/>
      <c r="K49" s="282"/>
      <c r="L49" s="282"/>
      <c r="M49" s="282"/>
      <c r="N49" s="282"/>
      <c r="O49" s="282"/>
      <c r="P49" s="282"/>
      <c r="Q49" s="282"/>
      <c r="R49" s="282"/>
      <c r="S49" s="282"/>
      <c r="T49" s="282"/>
    </row>
    <row r="50" spans="1:20" x14ac:dyDescent="0.3">
      <c r="A50" s="282"/>
      <c r="B50" s="282"/>
      <c r="C50" s="282"/>
      <c r="D50" s="282"/>
      <c r="E50" s="282"/>
      <c r="F50" s="282"/>
      <c r="G50" s="282"/>
      <c r="H50" s="282"/>
      <c r="I50" s="282"/>
      <c r="J50" s="282"/>
      <c r="K50" s="282"/>
      <c r="L50" s="282"/>
      <c r="M50" s="282"/>
      <c r="N50" s="282"/>
      <c r="O50" s="282"/>
      <c r="P50" s="282"/>
      <c r="Q50" s="282"/>
      <c r="R50" s="282"/>
      <c r="S50" s="282"/>
      <c r="T50" s="282"/>
    </row>
    <row r="51" spans="1:20" x14ac:dyDescent="0.3">
      <c r="A51" s="282"/>
      <c r="B51" s="282"/>
      <c r="C51" s="282"/>
      <c r="D51" s="282"/>
      <c r="E51" s="282"/>
      <c r="F51" s="282"/>
      <c r="G51" s="282"/>
      <c r="H51" s="282"/>
      <c r="I51" s="282"/>
      <c r="J51" s="282"/>
      <c r="K51" s="282"/>
      <c r="L51" s="282"/>
      <c r="M51" s="282"/>
      <c r="N51" s="282"/>
      <c r="O51" s="282"/>
      <c r="P51" s="282"/>
      <c r="Q51" s="282"/>
      <c r="R51" s="282"/>
      <c r="S51" s="282"/>
      <c r="T51" s="282"/>
    </row>
    <row r="52" spans="1:20" x14ac:dyDescent="0.3">
      <c r="A52" s="282"/>
      <c r="B52" s="282"/>
      <c r="C52" s="282"/>
      <c r="D52" s="282"/>
      <c r="E52" s="282"/>
      <c r="F52" s="282"/>
      <c r="G52" s="282"/>
      <c r="H52" s="282"/>
      <c r="I52" s="282"/>
      <c r="J52" s="282"/>
      <c r="K52" s="282"/>
      <c r="L52" s="282"/>
      <c r="M52" s="282"/>
      <c r="N52" s="282"/>
      <c r="O52" s="282"/>
      <c r="P52" s="282"/>
      <c r="Q52" s="282"/>
      <c r="R52" s="282"/>
      <c r="S52" s="282"/>
      <c r="T52" s="282"/>
    </row>
    <row r="53" spans="1:20" x14ac:dyDescent="0.3">
      <c r="A53" s="282"/>
      <c r="B53" s="282"/>
      <c r="C53" s="282"/>
      <c r="D53" s="282"/>
      <c r="E53" s="282"/>
      <c r="F53" s="282"/>
      <c r="G53" s="282"/>
      <c r="H53" s="282"/>
      <c r="I53" s="282"/>
      <c r="J53" s="282"/>
      <c r="K53" s="282"/>
      <c r="L53" s="282"/>
      <c r="M53" s="282"/>
      <c r="N53" s="282"/>
      <c r="O53" s="282"/>
      <c r="P53" s="282"/>
      <c r="Q53" s="282"/>
      <c r="R53" s="282"/>
      <c r="S53" s="282"/>
      <c r="T53" s="282"/>
    </row>
    <row r="54" spans="1:20" x14ac:dyDescent="0.3">
      <c r="A54" s="282"/>
      <c r="B54" s="282"/>
      <c r="C54" s="282"/>
      <c r="D54" s="282"/>
      <c r="E54" s="282"/>
      <c r="F54" s="282"/>
      <c r="G54" s="282"/>
      <c r="H54" s="282"/>
      <c r="I54" s="282"/>
      <c r="J54" s="282"/>
      <c r="K54" s="282"/>
      <c r="L54" s="282"/>
      <c r="M54" s="282"/>
      <c r="N54" s="282"/>
      <c r="O54" s="282"/>
      <c r="P54" s="282"/>
      <c r="Q54" s="282"/>
      <c r="R54" s="282"/>
      <c r="S54" s="282"/>
      <c r="T54" s="282"/>
    </row>
    <row r="55" spans="1:20" x14ac:dyDescent="0.3">
      <c r="A55" s="282"/>
      <c r="B55" s="282"/>
      <c r="C55" s="282"/>
      <c r="D55" s="282"/>
      <c r="E55" s="282"/>
      <c r="F55" s="282"/>
      <c r="G55" s="282"/>
      <c r="H55" s="282"/>
      <c r="I55" s="282"/>
      <c r="J55" s="282"/>
      <c r="K55" s="282"/>
      <c r="L55" s="282"/>
      <c r="M55" s="282"/>
      <c r="N55" s="282"/>
      <c r="O55" s="282"/>
      <c r="P55" s="282"/>
      <c r="Q55" s="282"/>
      <c r="R55" s="282"/>
      <c r="S55" s="282"/>
      <c r="T55" s="282"/>
    </row>
    <row r="56" spans="1:20" x14ac:dyDescent="0.3">
      <c r="A56" s="282"/>
      <c r="B56" s="282"/>
      <c r="C56" s="282"/>
      <c r="D56" s="282"/>
      <c r="E56" s="282"/>
      <c r="F56" s="282"/>
      <c r="G56" s="282"/>
      <c r="H56" s="282"/>
      <c r="I56" s="282"/>
      <c r="J56" s="282"/>
      <c r="K56" s="282"/>
      <c r="L56" s="282"/>
      <c r="M56" s="282"/>
      <c r="N56" s="282"/>
      <c r="O56" s="282"/>
      <c r="P56" s="282"/>
      <c r="Q56" s="282"/>
      <c r="R56" s="282"/>
      <c r="S56" s="282"/>
      <c r="T56" s="282"/>
    </row>
    <row r="57" spans="1:20" x14ac:dyDescent="0.3">
      <c r="A57" s="282"/>
      <c r="B57" s="282"/>
      <c r="C57" s="282"/>
      <c r="D57" s="282"/>
      <c r="E57" s="282"/>
      <c r="F57" s="282"/>
      <c r="G57" s="282"/>
      <c r="H57" s="282"/>
      <c r="I57" s="282"/>
      <c r="J57" s="282"/>
      <c r="K57" s="282"/>
      <c r="L57" s="282"/>
      <c r="M57" s="282"/>
      <c r="N57" s="282"/>
      <c r="O57" s="282"/>
      <c r="P57" s="282"/>
      <c r="Q57" s="282"/>
      <c r="R57" s="282"/>
      <c r="S57" s="282"/>
      <c r="T57" s="282"/>
    </row>
    <row r="58" spans="1:20" x14ac:dyDescent="0.3">
      <c r="A58" s="282"/>
      <c r="B58" s="282"/>
      <c r="C58" s="282"/>
      <c r="D58" s="282"/>
      <c r="E58" s="282"/>
      <c r="F58" s="282"/>
      <c r="G58" s="282"/>
      <c r="H58" s="282"/>
      <c r="I58" s="282"/>
      <c r="J58" s="282"/>
      <c r="K58" s="282"/>
      <c r="L58" s="282"/>
      <c r="M58" s="282"/>
      <c r="N58" s="282"/>
      <c r="O58" s="282"/>
      <c r="P58" s="282"/>
      <c r="Q58" s="282"/>
      <c r="R58" s="282"/>
      <c r="S58" s="282"/>
      <c r="T58" s="282"/>
    </row>
    <row r="59" spans="1:20" x14ac:dyDescent="0.3">
      <c r="A59" s="282"/>
      <c r="B59" s="282"/>
      <c r="C59" s="282"/>
      <c r="D59" s="282"/>
      <c r="E59" s="282"/>
      <c r="F59" s="282"/>
      <c r="G59" s="282"/>
      <c r="H59" s="282"/>
      <c r="I59" s="282"/>
      <c r="J59" s="282"/>
      <c r="K59" s="282"/>
      <c r="L59" s="282"/>
      <c r="M59" s="282"/>
      <c r="N59" s="282"/>
      <c r="O59" s="282"/>
      <c r="P59" s="282"/>
      <c r="Q59" s="282"/>
      <c r="R59" s="282"/>
      <c r="S59" s="282"/>
      <c r="T59" s="282"/>
    </row>
    <row r="60" spans="1:20" x14ac:dyDescent="0.3">
      <c r="A60" s="282"/>
      <c r="B60" s="282"/>
      <c r="C60" s="282"/>
      <c r="D60" s="282"/>
      <c r="E60" s="282"/>
      <c r="F60" s="282"/>
      <c r="G60" s="282"/>
      <c r="H60" s="282"/>
      <c r="I60" s="282"/>
      <c r="J60" s="282"/>
      <c r="K60" s="282"/>
      <c r="L60" s="282"/>
      <c r="M60" s="282"/>
      <c r="N60" s="282"/>
      <c r="O60" s="282"/>
      <c r="P60" s="282"/>
      <c r="Q60" s="282"/>
      <c r="R60" s="282"/>
      <c r="S60" s="282"/>
      <c r="T60" s="282"/>
    </row>
    <row r="61" spans="1:20" x14ac:dyDescent="0.3">
      <c r="A61" s="282"/>
      <c r="B61" s="282"/>
      <c r="C61" s="282"/>
      <c r="D61" s="282"/>
      <c r="E61" s="282"/>
      <c r="F61" s="282"/>
      <c r="G61" s="282"/>
      <c r="H61" s="282"/>
      <c r="I61" s="282"/>
      <c r="J61" s="282"/>
      <c r="K61" s="282"/>
      <c r="L61" s="282"/>
      <c r="M61" s="282"/>
      <c r="N61" s="282"/>
      <c r="O61" s="282"/>
      <c r="P61" s="282"/>
      <c r="Q61" s="282"/>
      <c r="R61" s="282"/>
      <c r="S61" s="282"/>
      <c r="T61" s="282"/>
    </row>
    <row r="62" spans="1:20" x14ac:dyDescent="0.3">
      <c r="A62" s="282"/>
      <c r="B62" s="282"/>
      <c r="C62" s="282"/>
      <c r="D62" s="282"/>
      <c r="E62" s="282"/>
      <c r="F62" s="282"/>
      <c r="G62" s="282"/>
      <c r="H62" s="282"/>
      <c r="I62" s="282"/>
      <c r="J62" s="282"/>
      <c r="K62" s="282"/>
      <c r="L62" s="282"/>
      <c r="M62" s="282"/>
      <c r="N62" s="282"/>
      <c r="O62" s="282"/>
      <c r="P62" s="282"/>
      <c r="Q62" s="282"/>
      <c r="R62" s="282"/>
      <c r="S62" s="282"/>
      <c r="T62" s="282"/>
    </row>
    <row r="63" spans="1:20" x14ac:dyDescent="0.3">
      <c r="A63" s="282"/>
      <c r="B63" s="282"/>
      <c r="C63" s="282"/>
      <c r="D63" s="282"/>
      <c r="E63" s="282"/>
      <c r="F63" s="282"/>
      <c r="G63" s="282"/>
      <c r="H63" s="282"/>
      <c r="I63" s="282"/>
      <c r="J63" s="282"/>
      <c r="K63" s="282"/>
      <c r="L63" s="282"/>
      <c r="M63" s="282"/>
      <c r="N63" s="282"/>
      <c r="O63" s="282"/>
      <c r="P63" s="282"/>
      <c r="Q63" s="282"/>
      <c r="R63" s="282"/>
      <c r="S63" s="282"/>
      <c r="T63" s="282"/>
    </row>
    <row r="64" spans="1:20" x14ac:dyDescent="0.3">
      <c r="A64" s="282"/>
      <c r="B64" s="282"/>
      <c r="C64" s="282"/>
      <c r="D64" s="282"/>
      <c r="E64" s="282"/>
      <c r="F64" s="282"/>
      <c r="G64" s="282"/>
      <c r="H64" s="282"/>
      <c r="I64" s="282"/>
      <c r="J64" s="282"/>
      <c r="K64" s="282"/>
      <c r="L64" s="282"/>
      <c r="M64" s="282"/>
      <c r="N64" s="282"/>
      <c r="O64" s="282"/>
      <c r="P64" s="282"/>
      <c r="Q64" s="282"/>
      <c r="R64" s="282"/>
      <c r="S64" s="282"/>
      <c r="T64" s="282"/>
    </row>
    <row r="65" spans="1:20" x14ac:dyDescent="0.3">
      <c r="A65" s="282"/>
      <c r="B65" s="282"/>
      <c r="C65" s="282"/>
      <c r="D65" s="282"/>
      <c r="E65" s="282"/>
      <c r="F65" s="282"/>
      <c r="G65" s="282"/>
      <c r="H65" s="282"/>
      <c r="I65" s="282"/>
      <c r="J65" s="282"/>
      <c r="K65" s="282"/>
      <c r="L65" s="282"/>
      <c r="M65" s="282"/>
      <c r="N65" s="282"/>
      <c r="O65" s="282"/>
      <c r="P65" s="282"/>
      <c r="Q65" s="282"/>
      <c r="R65" s="282"/>
      <c r="S65" s="282"/>
      <c r="T65" s="282"/>
    </row>
    <row r="66" spans="1:20" x14ac:dyDescent="0.3">
      <c r="A66" s="282"/>
      <c r="B66" s="282"/>
      <c r="C66" s="282"/>
      <c r="D66" s="282"/>
      <c r="E66" s="282"/>
      <c r="F66" s="282"/>
      <c r="G66" s="282"/>
      <c r="H66" s="282"/>
      <c r="I66" s="282"/>
      <c r="J66" s="282"/>
      <c r="K66" s="282"/>
      <c r="L66" s="282"/>
      <c r="M66" s="282"/>
      <c r="N66" s="282"/>
      <c r="O66" s="282"/>
      <c r="P66" s="282"/>
      <c r="Q66" s="282"/>
      <c r="R66" s="282"/>
      <c r="S66" s="282"/>
      <c r="T66" s="282"/>
    </row>
    <row r="67" spans="1:20" x14ac:dyDescent="0.3">
      <c r="A67" s="282"/>
      <c r="B67" s="282"/>
      <c r="C67" s="282"/>
      <c r="D67" s="282"/>
      <c r="E67" s="282"/>
      <c r="F67" s="282"/>
      <c r="G67" s="282"/>
      <c r="H67" s="282"/>
      <c r="I67" s="282"/>
      <c r="J67" s="282"/>
      <c r="K67" s="282"/>
      <c r="L67" s="282"/>
      <c r="M67" s="282"/>
      <c r="N67" s="282"/>
      <c r="O67" s="282"/>
      <c r="P67" s="282"/>
    </row>
    <row r="68" spans="1:20" x14ac:dyDescent="0.3">
      <c r="A68" s="282"/>
      <c r="B68" s="282"/>
      <c r="C68" s="282"/>
      <c r="D68" s="282"/>
      <c r="E68" s="282"/>
      <c r="F68" s="282"/>
      <c r="G68" s="282"/>
      <c r="H68" s="282"/>
      <c r="I68" s="282"/>
      <c r="J68" s="282"/>
      <c r="K68" s="282"/>
      <c r="L68" s="282"/>
      <c r="M68" s="282"/>
      <c r="N68" s="282"/>
      <c r="O68" s="282"/>
      <c r="P68" s="282"/>
    </row>
  </sheetData>
  <sheetProtection algorithmName="SHA-512" hashValue="G3LUN5qu6UNTpBmonQ3H3UIFPAAMpX/Bc9OLd/hNFzzdmPFN15ulAZRVfYX3mkKsEYwmm908u63IBYnrcLd3tQ==" saltValue="EAv5J2aYpj24lZ1pb8vlrw==" spinCount="100000" sheet="1" selectLockedCells="1"/>
  <mergeCells count="29">
    <mergeCell ref="A41:B41"/>
    <mergeCell ref="A42:B42"/>
    <mergeCell ref="A43:C43"/>
    <mergeCell ref="A44:C44"/>
    <mergeCell ref="F33:G33"/>
    <mergeCell ref="A36:C36"/>
    <mergeCell ref="A37:B37"/>
    <mergeCell ref="A38:B38"/>
    <mergeCell ref="A39:B39"/>
    <mergeCell ref="A40:B40"/>
    <mergeCell ref="F32:G32"/>
    <mergeCell ref="A12:B14"/>
    <mergeCell ref="C12:D12"/>
    <mergeCell ref="C13:D13"/>
    <mergeCell ref="C14:D14"/>
    <mergeCell ref="C16:D18"/>
    <mergeCell ref="A20:B22"/>
    <mergeCell ref="C20:D22"/>
    <mergeCell ref="A23:B27"/>
    <mergeCell ref="C24:D24"/>
    <mergeCell ref="A28:E28"/>
    <mergeCell ref="F28:G29"/>
    <mergeCell ref="F30:G31"/>
    <mergeCell ref="A1:F2"/>
    <mergeCell ref="A3:C4"/>
    <mergeCell ref="A10:D10"/>
    <mergeCell ref="F10:G10"/>
    <mergeCell ref="A11:B11"/>
    <mergeCell ref="C11:D11"/>
  </mergeCells>
  <phoneticPr fontId="4" type="noConversion"/>
  <dataValidations count="1">
    <dataValidation type="decimal" operator="greaterThanOrEqual" allowBlank="1" showInputMessage="1" showErrorMessage="1" errorTitle="&quot;60% 이상의 값을 입력해주세요&quot;" error="&quot;60% 이상의 값을 입력해주세요&quot;" sqref="F30:G31" xr:uid="{E1F77D24-8733-4126-BB1E-E4D5EA55D539}">
      <formula1>0.6</formula1>
    </dataValidation>
  </dataValidations>
  <hyperlinks>
    <hyperlink ref="A37:B37" r:id="rId1" display="Highly branched cyclic dextrin" xr:uid="{1D4634D8-D8AE-4F8E-B700-8E1A33D9530B}"/>
    <hyperlink ref="A38:B38" r:id="rId2" display="게토레이 파우더" xr:uid="{B1EE381E-40E4-418C-8298-6AFEBF56A189}"/>
    <hyperlink ref="A39:B39" r:id="rId3" display="스테비아" xr:uid="{AF6BA5D4-CB2C-4DD2-BA5B-FD1E601D3056}"/>
    <hyperlink ref="A40:B40" r:id="rId4" display="전해질 파우더" xr:uid="{C09E3CA7-F560-465F-9A90-ACA540F4A4B9}"/>
    <hyperlink ref="G11" r:id="rId5" xr:uid="{BF22ED62-551A-4B3E-B3A1-68474D914F51}"/>
    <hyperlink ref="G13" r:id="rId6" xr:uid="{196A1996-E1AC-486F-BE12-D0EC38D0156C}"/>
    <hyperlink ref="G12" r:id="rId7" xr:uid="{13244DB3-42F3-4F8E-90C6-61B16E049FBC}"/>
  </hyperlinks>
  <pageMargins left="0.7" right="0.7" top="0.75" bottom="0.75" header="0.3" footer="0.3"/>
  <pageSetup paperSize="9" orientation="portrait" horizontalDpi="300" verticalDpi="300"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A072-B069-4E65-B69D-60D4D44A8425}">
  <dimension ref="A1:Z29"/>
  <sheetViews>
    <sheetView tabSelected="1" zoomScale="190" zoomScaleNormal="190" workbookViewId="0">
      <selection activeCell="B18" sqref="B18"/>
    </sheetView>
  </sheetViews>
  <sheetFormatPr defaultRowHeight="16.5" x14ac:dyDescent="0.3"/>
  <cols>
    <col min="1" max="1" width="14.375" bestFit="1" customWidth="1"/>
    <col min="2" max="2" width="25.875" customWidth="1"/>
    <col min="21" max="21" width="29" bestFit="1" customWidth="1"/>
  </cols>
  <sheetData>
    <row r="1" spans="1:26" x14ac:dyDescent="0.3">
      <c r="B1" s="978" t="s">
        <v>750</v>
      </c>
      <c r="C1" s="978"/>
      <c r="D1" s="978"/>
    </row>
    <row r="2" spans="1:26" ht="17.25" thickBot="1" x14ac:dyDescent="0.35">
      <c r="B2" s="978" t="s">
        <v>751</v>
      </c>
      <c r="C2" s="978"/>
      <c r="D2" s="978"/>
    </row>
    <row r="3" spans="1:26" x14ac:dyDescent="0.3">
      <c r="A3" s="545"/>
      <c r="B3" s="546" t="s">
        <v>752</v>
      </c>
      <c r="C3" s="546" t="s">
        <v>753</v>
      </c>
      <c r="D3" s="547" t="s">
        <v>217</v>
      </c>
      <c r="E3" s="540" t="s">
        <v>208</v>
      </c>
      <c r="F3" s="543" t="s">
        <v>45</v>
      </c>
      <c r="G3" s="169" t="s">
        <v>46</v>
      </c>
      <c r="U3" s="548"/>
      <c r="V3" s="548" t="s">
        <v>217</v>
      </c>
      <c r="W3" s="548" t="s">
        <v>208</v>
      </c>
      <c r="X3" s="548" t="s">
        <v>45</v>
      </c>
      <c r="Y3" s="548" t="s">
        <v>46</v>
      </c>
      <c r="Z3" s="542"/>
    </row>
    <row r="4" spans="1:26" x14ac:dyDescent="0.3">
      <c r="A4" s="549" t="s">
        <v>754</v>
      </c>
      <c r="B4" s="550" t="s">
        <v>755</v>
      </c>
      <c r="C4" s="550">
        <v>2</v>
      </c>
      <c r="D4" s="551">
        <f>VLOOKUP(B4,$U$4:$Y$24,2,FALSE)*C4</f>
        <v>206</v>
      </c>
      <c r="E4" s="538">
        <f>VLOOKUP(B4,$U$4:$Y$24,3,FALSE)*C4</f>
        <v>2</v>
      </c>
      <c r="F4" s="552">
        <f>VLOOKUP(B4,$U$4:$Y$24,4,FALSE)*C4</f>
        <v>42</v>
      </c>
      <c r="G4" s="553">
        <f>VLOOKUP(B4,$U$4:$Y$24,5,FALSE)*C4</f>
        <v>3.8</v>
      </c>
      <c r="U4" s="548" t="s">
        <v>756</v>
      </c>
      <c r="V4" s="548">
        <v>120</v>
      </c>
      <c r="W4" s="548">
        <v>3</v>
      </c>
      <c r="X4" s="548">
        <v>24</v>
      </c>
      <c r="Y4" s="548">
        <v>1</v>
      </c>
      <c r="Z4" s="542"/>
    </row>
    <row r="5" spans="1:26" x14ac:dyDescent="0.3">
      <c r="A5" s="554" t="s">
        <v>208</v>
      </c>
      <c r="B5" s="550" t="s">
        <v>757</v>
      </c>
      <c r="C5" s="550">
        <v>150</v>
      </c>
      <c r="D5" s="551">
        <f>VLOOKUP(B5,$U$4:$Y$24,2,FALSE)*C5/100</f>
        <v>576</v>
      </c>
      <c r="E5" s="538">
        <f>VLOOKUP(B5,$U$4:$Y$24,3,FALSE)*C5/100</f>
        <v>76.5</v>
      </c>
      <c r="F5" s="552">
        <f>VLOOKUP(B5,$U$4:$Y$24,4,FALSE)*C5/100</f>
        <v>16.5</v>
      </c>
      <c r="G5" s="553">
        <f>VLOOKUP(B5,$U$4:$Y$24,5,FALSE)*C5/100</f>
        <v>11.55</v>
      </c>
      <c r="U5" s="548" t="s">
        <v>758</v>
      </c>
      <c r="V5" s="548">
        <v>140</v>
      </c>
      <c r="W5" s="548">
        <v>3</v>
      </c>
      <c r="X5" s="548">
        <v>30</v>
      </c>
      <c r="Y5" s="548">
        <v>0.5</v>
      </c>
      <c r="Z5" s="542"/>
    </row>
    <row r="6" spans="1:26" x14ac:dyDescent="0.3">
      <c r="A6" s="555" t="s">
        <v>759</v>
      </c>
      <c r="B6" s="550" t="s">
        <v>760</v>
      </c>
      <c r="C6" s="550">
        <v>300</v>
      </c>
      <c r="D6" s="551">
        <f>VLOOKUP(B6,$U$4:$Y$26,2,FALSE)*C6/100</f>
        <v>195</v>
      </c>
      <c r="E6" s="538">
        <f>VLOOKUP(B6,$U$4:$Y$26,3,FALSE)*C6/100</f>
        <v>15</v>
      </c>
      <c r="F6" s="552">
        <f>VLOOKUP(B6,$U$4:$Y$26,4,FALSE)*C6/100</f>
        <v>9</v>
      </c>
      <c r="G6" s="553">
        <f>VLOOKUP(B6,$U$4:$Y$26,5,FALSE)*C6/100</f>
        <v>10.8</v>
      </c>
      <c r="U6" s="548" t="s">
        <v>643</v>
      </c>
      <c r="V6" s="548">
        <v>130</v>
      </c>
      <c r="W6" s="548">
        <v>4</v>
      </c>
      <c r="X6" s="548">
        <v>25</v>
      </c>
      <c r="Y6" s="548">
        <v>1.5</v>
      </c>
      <c r="Z6" s="542"/>
    </row>
    <row r="7" spans="1:26" ht="17.25" thickBot="1" x14ac:dyDescent="0.35">
      <c r="A7" s="556"/>
      <c r="B7" s="557"/>
      <c r="C7" s="557"/>
      <c r="D7" s="558" t="s">
        <v>217</v>
      </c>
      <c r="E7" s="559" t="s">
        <v>208</v>
      </c>
      <c r="F7" s="560" t="s">
        <v>45</v>
      </c>
      <c r="G7" s="561" t="s">
        <v>46</v>
      </c>
      <c r="U7" s="548" t="s">
        <v>761</v>
      </c>
      <c r="V7" s="548">
        <v>130</v>
      </c>
      <c r="W7" s="548">
        <v>2</v>
      </c>
      <c r="X7" s="548">
        <v>25</v>
      </c>
      <c r="Y7" s="548">
        <v>1.5</v>
      </c>
      <c r="Z7" s="542"/>
    </row>
    <row r="8" spans="1:26" x14ac:dyDescent="0.3">
      <c r="A8" s="827" t="s">
        <v>762</v>
      </c>
      <c r="B8" s="828"/>
      <c r="C8" s="829"/>
      <c r="D8" s="979">
        <f>SUM(D4:D7)</f>
        <v>977</v>
      </c>
      <c r="E8" s="562">
        <f>SUM(E4:E7)</f>
        <v>93.5</v>
      </c>
      <c r="F8" s="539">
        <f>SUM(F4:F7)</f>
        <v>67.5</v>
      </c>
      <c r="G8" s="563">
        <f>SUM(G4:G7)</f>
        <v>26.150000000000002</v>
      </c>
      <c r="U8" s="548" t="s">
        <v>763</v>
      </c>
      <c r="V8" s="548">
        <v>103</v>
      </c>
      <c r="W8" s="548">
        <v>1</v>
      </c>
      <c r="X8" s="548">
        <v>21</v>
      </c>
      <c r="Y8" s="548">
        <v>1.9</v>
      </c>
      <c r="Z8" s="542"/>
    </row>
    <row r="9" spans="1:26" ht="17.25" thickBot="1" x14ac:dyDescent="0.35">
      <c r="A9" s="975" t="s">
        <v>213</v>
      </c>
      <c r="B9" s="976"/>
      <c r="C9" s="977"/>
      <c r="D9" s="980"/>
      <c r="E9" s="564">
        <f>E8*4/$D$8</f>
        <v>0.38280450358239509</v>
      </c>
      <c r="F9" s="565">
        <f>F8*4/$D$8</f>
        <v>0.27635619242579323</v>
      </c>
      <c r="G9" s="566">
        <f>G8*9/$D$8</f>
        <v>0.24089048106448313</v>
      </c>
      <c r="U9" s="548" t="s">
        <v>764</v>
      </c>
      <c r="V9" s="548">
        <v>93</v>
      </c>
      <c r="W9" s="548">
        <v>0.6</v>
      </c>
      <c r="X9" s="548">
        <v>23</v>
      </c>
      <c r="Y9" s="548">
        <v>0.1</v>
      </c>
      <c r="Z9" s="542"/>
    </row>
    <row r="10" spans="1:26" x14ac:dyDescent="0.3">
      <c r="A10" s="542"/>
      <c r="B10" s="542"/>
      <c r="C10" s="542"/>
      <c r="D10" s="542"/>
      <c r="E10" s="542"/>
      <c r="F10" s="542"/>
      <c r="G10" s="542"/>
      <c r="U10" s="548" t="s">
        <v>765</v>
      </c>
      <c r="V10" s="548">
        <v>120</v>
      </c>
      <c r="W10" s="548">
        <v>0</v>
      </c>
      <c r="X10" s="548">
        <v>25</v>
      </c>
      <c r="Y10" s="548">
        <v>0.5</v>
      </c>
      <c r="Z10" s="542"/>
    </row>
    <row r="11" spans="1:26" ht="17.25" thickBot="1" x14ac:dyDescent="0.35">
      <c r="A11" s="542"/>
      <c r="B11" s="542"/>
      <c r="C11" s="542"/>
      <c r="D11" s="542"/>
      <c r="E11" s="542"/>
      <c r="F11" s="542"/>
      <c r="G11" s="542"/>
      <c r="U11" s="548" t="s">
        <v>766</v>
      </c>
      <c r="V11" s="548">
        <v>103</v>
      </c>
      <c r="W11" s="548">
        <v>1</v>
      </c>
      <c r="X11" s="548">
        <v>21</v>
      </c>
      <c r="Y11" s="548">
        <v>1.9</v>
      </c>
      <c r="Z11" s="542"/>
    </row>
    <row r="12" spans="1:26" x14ac:dyDescent="0.3">
      <c r="A12" s="981" t="s">
        <v>767</v>
      </c>
      <c r="B12" s="982"/>
      <c r="C12" s="982"/>
      <c r="D12" s="982"/>
      <c r="E12" s="982"/>
      <c r="F12" s="982"/>
      <c r="G12" s="983"/>
      <c r="U12" s="548" t="s">
        <v>768</v>
      </c>
      <c r="V12" s="548">
        <v>110</v>
      </c>
      <c r="W12" s="548">
        <v>0</v>
      </c>
      <c r="X12" s="548">
        <v>27</v>
      </c>
      <c r="Y12" s="548">
        <v>0</v>
      </c>
      <c r="Z12" s="542"/>
    </row>
    <row r="13" spans="1:26" x14ac:dyDescent="0.3">
      <c r="A13" s="984"/>
      <c r="B13" s="985"/>
      <c r="C13" s="985"/>
      <c r="D13" s="985"/>
      <c r="E13" s="985"/>
      <c r="F13" s="985"/>
      <c r="G13" s="986"/>
      <c r="U13" s="548" t="s">
        <v>769</v>
      </c>
      <c r="V13" s="548">
        <v>200</v>
      </c>
      <c r="W13" s="548">
        <v>10</v>
      </c>
      <c r="X13" s="548">
        <v>22</v>
      </c>
      <c r="Y13" s="548">
        <v>6</v>
      </c>
      <c r="Z13" s="542"/>
    </row>
    <row r="14" spans="1:26" x14ac:dyDescent="0.3">
      <c r="A14" s="984"/>
      <c r="B14" s="985"/>
      <c r="C14" s="985"/>
      <c r="D14" s="985"/>
      <c r="E14" s="985"/>
      <c r="F14" s="985"/>
      <c r="G14" s="986"/>
      <c r="U14" s="548" t="s">
        <v>770</v>
      </c>
      <c r="V14" s="548">
        <v>140</v>
      </c>
      <c r="W14" s="548">
        <v>5</v>
      </c>
      <c r="X14" s="548">
        <v>25</v>
      </c>
      <c r="Y14" s="548">
        <v>1.5</v>
      </c>
      <c r="Z14" s="542"/>
    </row>
    <row r="15" spans="1:26" x14ac:dyDescent="0.3">
      <c r="A15" s="567"/>
      <c r="B15" s="542" t="s">
        <v>752</v>
      </c>
      <c r="C15" s="542" t="s">
        <v>753</v>
      </c>
      <c r="D15" s="568" t="s">
        <v>217</v>
      </c>
      <c r="E15" s="541" t="s">
        <v>208</v>
      </c>
      <c r="F15" s="544" t="s">
        <v>45</v>
      </c>
      <c r="G15" s="569" t="s">
        <v>46</v>
      </c>
      <c r="U15" s="548"/>
      <c r="V15" s="548"/>
      <c r="W15" s="548"/>
      <c r="X15" s="548"/>
      <c r="Y15" s="548"/>
      <c r="Z15" s="542"/>
    </row>
    <row r="16" spans="1:26" x14ac:dyDescent="0.3">
      <c r="A16" s="570" t="s">
        <v>754</v>
      </c>
      <c r="B16" s="550" t="s">
        <v>771</v>
      </c>
      <c r="C16" s="550">
        <v>0</v>
      </c>
      <c r="D16" s="551">
        <f>VLOOKUP(B16,$U$4:$Y$24,2,FALSE)*C16</f>
        <v>0</v>
      </c>
      <c r="E16" s="538">
        <f>VLOOKUP(B16,$U$4:$Y$24,3,FALSE)*C16</f>
        <v>0</v>
      </c>
      <c r="F16" s="552">
        <f>VLOOKUP(B16,$U$4:$Y$24,4,FALSE)*C16</f>
        <v>0</v>
      </c>
      <c r="G16" s="571">
        <f>VLOOKUP(B16,$U$4:$Y$24,5,FALSE)*C16</f>
        <v>0</v>
      </c>
      <c r="U16" s="548" t="s">
        <v>772</v>
      </c>
      <c r="V16" s="548">
        <v>375</v>
      </c>
      <c r="W16" s="548">
        <v>66</v>
      </c>
      <c r="X16" s="548">
        <v>14.5</v>
      </c>
      <c r="Y16" s="548">
        <v>5.5</v>
      </c>
      <c r="Z16" s="542"/>
    </row>
    <row r="17" spans="1:26" x14ac:dyDescent="0.3">
      <c r="A17" s="572" t="s">
        <v>208</v>
      </c>
      <c r="B17" s="550" t="s">
        <v>787</v>
      </c>
      <c r="C17" s="550">
        <v>60</v>
      </c>
      <c r="D17" s="551">
        <f>VLOOKUP(B17,$U$4:$Y$24,2,FALSE)*C17/100</f>
        <v>225</v>
      </c>
      <c r="E17" s="538">
        <f>VLOOKUP(B17,$U$4:$Y$24,3,FALSE)*C17/100</f>
        <v>39.6</v>
      </c>
      <c r="F17" s="552">
        <f>VLOOKUP(B17,$U$4:$Y$24,4,FALSE)*C17/100</f>
        <v>8.6999999999999993</v>
      </c>
      <c r="G17" s="571">
        <f>VLOOKUP(B17,$U$4:$Y$24,5,FALSE)*C17/100</f>
        <v>3.3</v>
      </c>
      <c r="U17" s="548" t="s">
        <v>773</v>
      </c>
      <c r="V17" s="548">
        <v>384</v>
      </c>
      <c r="W17" s="548">
        <v>51</v>
      </c>
      <c r="X17" s="548">
        <v>11</v>
      </c>
      <c r="Y17" s="548">
        <v>7.7</v>
      </c>
      <c r="Z17" s="542"/>
    </row>
    <row r="18" spans="1:26" x14ac:dyDescent="0.3">
      <c r="A18" s="573" t="s">
        <v>774</v>
      </c>
      <c r="B18" s="550" t="s">
        <v>760</v>
      </c>
      <c r="C18" s="550"/>
      <c r="D18" s="551">
        <f t="shared" ref="D18:D20" si="0">VLOOKUP(B18,$U$4:$Y$24,2,FALSE)*C18/100</f>
        <v>0</v>
      </c>
      <c r="E18" s="538">
        <f t="shared" ref="E18:E20" si="1">VLOOKUP(B18,$U$4:$Y$24,3,FALSE)*C18/100</f>
        <v>0</v>
      </c>
      <c r="F18" s="552">
        <f t="shared" ref="F18:F20" si="2">VLOOKUP(B18,$U$4:$Y$24,4,FALSE)*C18/100</f>
        <v>0</v>
      </c>
      <c r="G18" s="571">
        <f t="shared" ref="G18:G20" si="3">VLOOKUP(B18,$U$4:$Y$24,5,FALSE)*C18/100</f>
        <v>0</v>
      </c>
      <c r="U18" s="161"/>
      <c r="V18" s="161"/>
      <c r="W18" s="161"/>
      <c r="X18" s="161"/>
      <c r="Y18" s="161"/>
      <c r="Z18" s="542"/>
    </row>
    <row r="19" spans="1:26" x14ac:dyDescent="0.3">
      <c r="A19" s="570" t="s">
        <v>775</v>
      </c>
      <c r="B19" s="550" t="s">
        <v>776</v>
      </c>
      <c r="C19" s="550"/>
      <c r="D19" s="551">
        <f t="shared" si="0"/>
        <v>0</v>
      </c>
      <c r="E19" s="538">
        <f t="shared" si="1"/>
        <v>0</v>
      </c>
      <c r="F19" s="552">
        <f t="shared" si="2"/>
        <v>0</v>
      </c>
      <c r="G19" s="571">
        <f t="shared" si="3"/>
        <v>0</v>
      </c>
      <c r="U19" s="548"/>
      <c r="V19" s="548"/>
      <c r="W19" s="548"/>
      <c r="X19" s="548"/>
      <c r="Y19" s="548"/>
      <c r="Z19" s="542"/>
    </row>
    <row r="20" spans="1:26" x14ac:dyDescent="0.3">
      <c r="A20" s="574" t="s">
        <v>777</v>
      </c>
      <c r="B20" s="550" t="s">
        <v>778</v>
      </c>
      <c r="C20" s="550"/>
      <c r="D20" s="551">
        <f t="shared" si="0"/>
        <v>0</v>
      </c>
      <c r="E20" s="538">
        <f t="shared" si="1"/>
        <v>0</v>
      </c>
      <c r="F20" s="552">
        <f t="shared" si="2"/>
        <v>0</v>
      </c>
      <c r="G20" s="571">
        <f t="shared" si="3"/>
        <v>0</v>
      </c>
      <c r="U20" s="548" t="s">
        <v>779</v>
      </c>
      <c r="V20" s="548">
        <v>65</v>
      </c>
      <c r="W20" s="548">
        <v>5</v>
      </c>
      <c r="X20" s="548">
        <v>3</v>
      </c>
      <c r="Y20" s="548">
        <v>3.6</v>
      </c>
      <c r="Z20" s="542"/>
    </row>
    <row r="21" spans="1:26" x14ac:dyDescent="0.3">
      <c r="A21" s="574" t="s">
        <v>780</v>
      </c>
      <c r="B21" s="550" t="s">
        <v>788</v>
      </c>
      <c r="C21" s="550">
        <v>300</v>
      </c>
      <c r="D21" s="550">
        <f>F21*4</f>
        <v>276</v>
      </c>
      <c r="E21" s="550"/>
      <c r="F21" s="550">
        <f>23*3</f>
        <v>69</v>
      </c>
      <c r="G21" s="575"/>
      <c r="U21" s="548" t="s">
        <v>781</v>
      </c>
      <c r="V21" s="548">
        <v>50</v>
      </c>
      <c r="W21" s="548">
        <v>5</v>
      </c>
      <c r="X21" s="548">
        <v>3</v>
      </c>
      <c r="Y21" s="548">
        <v>2</v>
      </c>
      <c r="Z21" s="542"/>
    </row>
    <row r="22" spans="1:26" ht="17.25" thickBot="1" x14ac:dyDescent="0.35">
      <c r="A22" s="971"/>
      <c r="B22" s="972"/>
      <c r="C22" s="972"/>
      <c r="D22" s="558" t="s">
        <v>217</v>
      </c>
      <c r="E22" s="559" t="s">
        <v>208</v>
      </c>
      <c r="F22" s="560" t="s">
        <v>45</v>
      </c>
      <c r="G22" s="561" t="s">
        <v>46</v>
      </c>
      <c r="U22" s="548" t="s">
        <v>782</v>
      </c>
      <c r="V22" s="548">
        <v>40</v>
      </c>
      <c r="W22" s="548">
        <v>5</v>
      </c>
      <c r="X22" s="548">
        <v>3</v>
      </c>
      <c r="Y22" s="548">
        <v>1</v>
      </c>
      <c r="Z22" s="542"/>
    </row>
    <row r="23" spans="1:26" x14ac:dyDescent="0.3">
      <c r="A23" s="827" t="s">
        <v>762</v>
      </c>
      <c r="B23" s="828"/>
      <c r="C23" s="829"/>
      <c r="D23" s="973">
        <f>SUM(D16:D21)</f>
        <v>501</v>
      </c>
      <c r="E23" s="562">
        <f>SUM(E16:E21)</f>
        <v>39.6</v>
      </c>
      <c r="F23" s="539">
        <f>SUM(F16:F21)</f>
        <v>77.7</v>
      </c>
      <c r="G23" s="563">
        <f t="shared" ref="G23" si="4">SUM(G16:G21)</f>
        <v>3.3</v>
      </c>
      <c r="U23" s="548" t="s">
        <v>783</v>
      </c>
      <c r="V23" s="548">
        <v>30</v>
      </c>
      <c r="W23" s="548">
        <v>5</v>
      </c>
      <c r="X23" s="548">
        <v>3</v>
      </c>
      <c r="Y23" s="548">
        <v>0</v>
      </c>
      <c r="Z23" s="542"/>
    </row>
    <row r="24" spans="1:26" ht="17.25" thickBot="1" x14ac:dyDescent="0.35">
      <c r="A24" s="975" t="s">
        <v>213</v>
      </c>
      <c r="B24" s="976"/>
      <c r="C24" s="977"/>
      <c r="D24" s="974"/>
      <c r="E24" s="564">
        <f>E23*4/$D$8</f>
        <v>0.16212896622313205</v>
      </c>
      <c r="F24" s="565">
        <f>F23*4/$D$8</f>
        <v>0.31811668372569091</v>
      </c>
      <c r="G24" s="566">
        <f>G23*9/$D$8</f>
        <v>3.0399181166837257E-2</v>
      </c>
      <c r="U24" s="548" t="s">
        <v>784</v>
      </c>
      <c r="V24" s="548">
        <v>58</v>
      </c>
      <c r="W24" s="548">
        <v>3.5</v>
      </c>
      <c r="X24" s="548">
        <v>3</v>
      </c>
      <c r="Y24" s="548">
        <v>3</v>
      </c>
      <c r="Z24" s="542"/>
    </row>
    <row r="25" spans="1:26" x14ac:dyDescent="0.3">
      <c r="U25" s="548" t="s">
        <v>785</v>
      </c>
      <c r="V25" s="548">
        <v>24</v>
      </c>
      <c r="W25" s="548">
        <v>2.7</v>
      </c>
      <c r="X25" s="548">
        <v>0.6</v>
      </c>
      <c r="Y25" s="548">
        <v>1.1000000000000001</v>
      </c>
      <c r="Z25" s="542"/>
    </row>
    <row r="26" spans="1:26" x14ac:dyDescent="0.3">
      <c r="U26" s="548" t="s">
        <v>786</v>
      </c>
      <c r="V26" s="548">
        <v>18</v>
      </c>
      <c r="W26" s="548">
        <v>1.6</v>
      </c>
      <c r="X26" s="548">
        <v>0.6</v>
      </c>
      <c r="Y26" s="548">
        <v>1.1000000000000001</v>
      </c>
      <c r="Z26" s="542"/>
    </row>
    <row r="27" spans="1:26" x14ac:dyDescent="0.3">
      <c r="U27" s="542"/>
      <c r="V27" s="542"/>
      <c r="W27" s="542"/>
      <c r="X27" s="542"/>
      <c r="Y27" s="542"/>
      <c r="Z27" s="542"/>
    </row>
    <row r="28" spans="1:26" x14ac:dyDescent="0.3">
      <c r="U28" s="542"/>
      <c r="V28" s="542"/>
      <c r="W28" s="542"/>
      <c r="X28" s="542"/>
      <c r="Y28" s="542"/>
      <c r="Z28" s="542"/>
    </row>
    <row r="29" spans="1:26" x14ac:dyDescent="0.3">
      <c r="U29" s="542"/>
      <c r="V29" s="542"/>
      <c r="W29" s="542"/>
      <c r="X29" s="542"/>
      <c r="Y29" s="542"/>
      <c r="Z29" s="542"/>
    </row>
  </sheetData>
  <sheetProtection algorithmName="SHA-512" hashValue="ERLKzJiSPnHoo5wuRjC9LE3Lh6D1XdL0PlB2ObI78MkZk5EAPYMhums5p+0GFY97Z9R9upKEDjYu2HyykOqb0w==" saltValue="x2gMfDX30oRL40qG+3ASjw==" spinCount="100000" sheet="1" selectLockedCells="1"/>
  <mergeCells count="10">
    <mergeCell ref="A22:C22"/>
    <mergeCell ref="A23:C23"/>
    <mergeCell ref="D23:D24"/>
    <mergeCell ref="A24:C24"/>
    <mergeCell ref="B1:D1"/>
    <mergeCell ref="B2:D2"/>
    <mergeCell ref="A8:C8"/>
    <mergeCell ref="D8:D9"/>
    <mergeCell ref="A9:C9"/>
    <mergeCell ref="A12:G14"/>
  </mergeCells>
  <phoneticPr fontId="4" type="noConversion"/>
  <dataValidations count="4">
    <dataValidation type="list" allowBlank="1" showInputMessage="1" showErrorMessage="1" sqref="B20" xr:uid="{311217DA-7069-4284-8835-4DF4C0B36963}">
      <formula1>$U$4:$U$26</formula1>
    </dataValidation>
    <dataValidation type="list" allowBlank="1" showInputMessage="1" showErrorMessage="1" sqref="B5 B17" xr:uid="{DB8A3B1A-C781-4C0A-A587-AAAE5BE02E4C}">
      <formula1>$U$16:$U$17</formula1>
    </dataValidation>
    <dataValidation type="list" allowBlank="1" showInputMessage="1" showErrorMessage="1" sqref="B6 B18" xr:uid="{EA1961AD-6243-48B9-B863-B61D79AD455C}">
      <formula1>$U$20:$U$26</formula1>
    </dataValidation>
    <dataValidation type="list" allowBlank="1" showInputMessage="1" showErrorMessage="1" sqref="B4 B16 B19" xr:uid="{D7BDC974-E8B7-48B3-83E5-5B03F0EE2CA5}">
      <formula1>$U$4:$U$14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289D7-E867-4C16-BB75-556CA083C36D}">
  <dimension ref="A1:AG290"/>
  <sheetViews>
    <sheetView topLeftCell="A19" zoomScale="160" zoomScaleNormal="160" zoomScaleSheetLayoutView="90" workbookViewId="0">
      <selection activeCell="A26" sqref="A26"/>
    </sheetView>
  </sheetViews>
  <sheetFormatPr defaultRowHeight="16.5" x14ac:dyDescent="0.3"/>
  <cols>
    <col min="1" max="1" width="22.75" customWidth="1"/>
    <col min="4" max="4" width="9.375" bestFit="1" customWidth="1"/>
    <col min="5" max="5" width="12.375" bestFit="1" customWidth="1"/>
    <col min="6" max="6" width="30.625" bestFit="1" customWidth="1"/>
    <col min="7" max="7" width="10.375" bestFit="1" customWidth="1"/>
    <col min="8" max="11" width="9.75" customWidth="1"/>
    <col min="12" max="12" width="10.25" customWidth="1"/>
    <col min="13" max="14" width="9.75" customWidth="1"/>
    <col min="15" max="21" width="4.625" customWidth="1"/>
    <col min="22" max="22" width="28.5" customWidth="1"/>
    <col min="23" max="23" width="9.25" customWidth="1"/>
    <col min="24" max="24" width="9" customWidth="1"/>
    <col min="25" max="25" width="11" bestFit="1" customWidth="1"/>
    <col min="26" max="27" width="9.75" bestFit="1" customWidth="1"/>
  </cols>
  <sheetData>
    <row r="1" spans="1:32" ht="17.25" thickBot="1" x14ac:dyDescent="0.35">
      <c r="A1" s="637" t="s">
        <v>402</v>
      </c>
      <c r="B1" s="638"/>
      <c r="C1" s="638"/>
      <c r="D1" s="639"/>
      <c r="E1" s="282"/>
      <c r="F1" s="282"/>
      <c r="G1" s="282"/>
      <c r="H1" s="282"/>
      <c r="I1" s="282"/>
      <c r="J1" s="282"/>
      <c r="K1" s="282"/>
      <c r="L1" s="282"/>
      <c r="M1" s="282"/>
      <c r="N1" s="282"/>
      <c r="O1" s="283"/>
      <c r="P1" s="283"/>
      <c r="Q1" s="283"/>
      <c r="R1" s="283"/>
      <c r="S1" s="283"/>
      <c r="T1" s="283"/>
      <c r="U1" s="283"/>
      <c r="V1" s="282"/>
      <c r="W1" s="282"/>
      <c r="X1" s="282"/>
      <c r="Y1" s="282"/>
      <c r="Z1" s="282"/>
      <c r="AA1" s="282"/>
      <c r="AB1" s="282"/>
      <c r="AC1" s="282"/>
      <c r="AD1" s="282"/>
    </row>
    <row r="2" spans="1:32" ht="17.25" thickBot="1" x14ac:dyDescent="0.35">
      <c r="A2" s="282"/>
      <c r="B2" s="282"/>
      <c r="C2" s="282"/>
      <c r="D2" s="282"/>
      <c r="E2" s="282"/>
      <c r="F2" s="282"/>
      <c r="G2" s="282"/>
      <c r="H2" s="282"/>
      <c r="I2" s="282"/>
      <c r="J2" s="282"/>
      <c r="K2" s="282"/>
      <c r="L2" s="282"/>
      <c r="M2" s="282"/>
      <c r="N2" s="282"/>
      <c r="O2" s="282"/>
      <c r="P2" s="282"/>
      <c r="Q2" s="282"/>
      <c r="R2" s="282"/>
      <c r="S2" s="282"/>
      <c r="T2" s="282"/>
      <c r="U2" s="282"/>
      <c r="V2" s="282"/>
      <c r="W2" s="282"/>
      <c r="X2" s="282"/>
      <c r="Y2" s="282"/>
      <c r="Z2" s="282"/>
      <c r="AA2" s="282"/>
      <c r="AB2" s="282"/>
      <c r="AC2" s="282"/>
      <c r="AD2" s="282"/>
    </row>
    <row r="3" spans="1:32" x14ac:dyDescent="0.3">
      <c r="A3" s="150" t="s">
        <v>5</v>
      </c>
      <c r="B3" s="184">
        <v>50</v>
      </c>
      <c r="C3" s="151" t="s">
        <v>7</v>
      </c>
      <c r="D3" s="185">
        <v>0.25</v>
      </c>
      <c r="E3" s="285"/>
      <c r="F3" s="282"/>
      <c r="G3" s="282"/>
      <c r="H3" s="282"/>
      <c r="I3" s="282"/>
      <c r="J3" s="282"/>
      <c r="K3" s="285"/>
      <c r="L3" s="285"/>
      <c r="M3" s="285"/>
      <c r="N3" s="285"/>
      <c r="O3" s="282"/>
      <c r="P3" s="282"/>
      <c r="Q3" s="282"/>
      <c r="R3" s="282"/>
      <c r="S3" s="282"/>
      <c r="T3" s="282"/>
      <c r="U3" s="282"/>
      <c r="V3" s="295"/>
      <c r="W3" s="295"/>
      <c r="X3" s="369"/>
      <c r="Y3" s="369"/>
      <c r="Z3" s="369"/>
      <c r="AA3" s="369"/>
      <c r="AB3" s="282"/>
      <c r="AC3" s="282"/>
      <c r="AD3" s="282"/>
    </row>
    <row r="4" spans="1:32" ht="17.25" thickBot="1" x14ac:dyDescent="0.35">
      <c r="A4" s="710" t="s">
        <v>3</v>
      </c>
      <c r="B4" s="711"/>
      <c r="C4" s="711"/>
      <c r="D4" s="712"/>
      <c r="E4" s="285"/>
      <c r="F4" s="282"/>
      <c r="G4" s="282"/>
      <c r="H4" s="282"/>
      <c r="I4" s="370"/>
      <c r="J4" s="370"/>
      <c r="K4" s="285"/>
      <c r="L4" s="285"/>
      <c r="M4" s="285"/>
      <c r="N4" s="285"/>
      <c r="O4" s="282"/>
      <c r="P4" s="282"/>
      <c r="Q4" s="282"/>
      <c r="R4" s="282"/>
      <c r="S4" s="282"/>
      <c r="T4" s="282"/>
      <c r="U4" s="282"/>
      <c r="V4" s="295"/>
      <c r="W4" s="295"/>
      <c r="X4" s="369"/>
      <c r="Y4" s="369"/>
      <c r="Z4" s="369"/>
      <c r="AA4" s="369"/>
      <c r="AB4" s="282"/>
      <c r="AC4" s="282"/>
      <c r="AD4" s="282"/>
    </row>
    <row r="5" spans="1:32" ht="17.25" thickBot="1" x14ac:dyDescent="0.35">
      <c r="A5" s="282"/>
      <c r="B5" s="282"/>
      <c r="C5" s="282"/>
      <c r="D5" s="285"/>
      <c r="E5" s="285"/>
      <c r="F5" s="282"/>
      <c r="G5" s="282"/>
      <c r="H5" s="282"/>
      <c r="I5" s="370"/>
      <c r="J5" s="282"/>
      <c r="K5" s="282"/>
      <c r="L5" s="282"/>
      <c r="M5" s="282"/>
      <c r="N5" s="285"/>
      <c r="O5" s="282"/>
      <c r="P5" s="282"/>
      <c r="Q5" s="282"/>
      <c r="R5" s="282"/>
      <c r="S5" s="282"/>
      <c r="T5" s="282"/>
      <c r="U5" s="282"/>
      <c r="V5" s="295"/>
      <c r="W5" s="295"/>
      <c r="X5" s="369"/>
      <c r="Y5" s="369"/>
      <c r="Z5" s="369"/>
      <c r="AA5" s="369"/>
      <c r="AB5" s="282"/>
      <c r="AC5" s="282"/>
      <c r="AD5" s="282"/>
    </row>
    <row r="6" spans="1:32" x14ac:dyDescent="0.3">
      <c r="A6" s="713" t="s">
        <v>386</v>
      </c>
      <c r="B6" s="714"/>
      <c r="C6" s="714"/>
      <c r="D6" s="715"/>
      <c r="E6" s="282"/>
      <c r="F6" s="282"/>
      <c r="G6" s="282"/>
      <c r="H6" s="282"/>
      <c r="I6" s="371"/>
      <c r="J6" s="282"/>
      <c r="K6" s="282"/>
      <c r="L6" s="282"/>
      <c r="M6" s="282"/>
      <c r="N6" s="282"/>
      <c r="O6" s="282"/>
      <c r="P6" s="282"/>
      <c r="Q6" s="282"/>
      <c r="R6" s="282"/>
      <c r="S6" s="282"/>
      <c r="T6" s="321"/>
      <c r="U6" s="321"/>
      <c r="V6" s="372"/>
      <c r="W6" s="372"/>
      <c r="X6" s="373"/>
      <c r="Y6" s="373"/>
      <c r="Z6" s="373"/>
      <c r="AA6" s="373"/>
      <c r="AB6" s="321"/>
      <c r="AC6" s="321"/>
      <c r="AD6" s="282"/>
    </row>
    <row r="7" spans="1:32" ht="17.25" thickBot="1" x14ac:dyDescent="0.35">
      <c r="A7" s="716">
        <f>IF(D3&gt;0.2,B3*(1-D3)*1.33*1.6,B3*1.6)</f>
        <v>79.800000000000011</v>
      </c>
      <c r="B7" s="717"/>
      <c r="C7" s="717">
        <f>IF(D3&gt;0.2,B3*(1-D3)*1.33*2.2,B3*2.2)</f>
        <v>109.72500000000001</v>
      </c>
      <c r="D7" s="718"/>
      <c r="E7" s="282"/>
      <c r="F7" s="282"/>
      <c r="G7" s="282"/>
      <c r="H7" s="282"/>
      <c r="I7" s="282"/>
      <c r="J7" s="282"/>
      <c r="K7" s="282"/>
      <c r="L7" s="282"/>
      <c r="M7" s="282"/>
      <c r="N7" s="282"/>
      <c r="O7" s="282"/>
      <c r="P7" s="282"/>
      <c r="Q7" s="282"/>
      <c r="R7" s="282"/>
      <c r="S7" s="282"/>
      <c r="T7" s="321"/>
      <c r="U7" s="321"/>
      <c r="V7" s="372"/>
      <c r="W7" s="372"/>
      <c r="X7" s="373"/>
      <c r="Y7" s="373"/>
      <c r="Z7" s="373"/>
      <c r="AA7" s="373"/>
      <c r="AB7" s="321"/>
      <c r="AC7" s="321"/>
      <c r="AD7" s="282"/>
    </row>
    <row r="8" spans="1:32" x14ac:dyDescent="0.3">
      <c r="A8" s="704" t="s">
        <v>625</v>
      </c>
      <c r="B8" s="705"/>
      <c r="C8" s="705"/>
      <c r="D8" s="706"/>
      <c r="E8" s="369"/>
      <c r="F8" s="282"/>
      <c r="G8" s="282"/>
      <c r="H8" s="282"/>
      <c r="I8" s="282"/>
      <c r="J8" s="282"/>
      <c r="K8" s="282"/>
      <c r="L8" s="282"/>
      <c r="M8" s="282"/>
      <c r="N8" s="369"/>
      <c r="O8" s="282"/>
      <c r="P8" s="282"/>
      <c r="Q8" s="282"/>
      <c r="R8" s="282"/>
      <c r="S8" s="282"/>
      <c r="T8" s="321"/>
      <c r="U8" s="321"/>
      <c r="V8" s="372"/>
      <c r="W8" s="372"/>
      <c r="X8" s="373"/>
      <c r="Y8" s="373"/>
      <c r="Z8" s="373"/>
      <c r="AA8" s="373"/>
      <c r="AB8" s="321"/>
      <c r="AC8" s="321"/>
      <c r="AD8" s="374"/>
      <c r="AE8" s="375"/>
      <c r="AF8" s="375"/>
    </row>
    <row r="9" spans="1:32" ht="17.25" thickBot="1" x14ac:dyDescent="0.35">
      <c r="A9" s="707"/>
      <c r="B9" s="708"/>
      <c r="C9" s="708"/>
      <c r="D9" s="709"/>
      <c r="E9" s="369"/>
      <c r="F9" s="282"/>
      <c r="G9" s="282"/>
      <c r="H9" s="282"/>
      <c r="I9" s="282"/>
      <c r="J9" s="282"/>
      <c r="K9" s="282"/>
      <c r="L9" s="282"/>
      <c r="M9" s="282"/>
      <c r="N9" s="369"/>
      <c r="O9" s="282"/>
      <c r="P9" s="282"/>
      <c r="Q9" s="282"/>
      <c r="R9" s="282"/>
      <c r="S9" s="282"/>
      <c r="T9" s="321"/>
      <c r="U9" s="321"/>
      <c r="V9" s="372"/>
      <c r="W9" s="372"/>
      <c r="X9" s="373"/>
      <c r="Y9" s="373"/>
      <c r="Z9" s="373"/>
      <c r="AA9" s="373"/>
      <c r="AB9" s="321"/>
      <c r="AC9" s="321"/>
      <c r="AD9" s="374"/>
      <c r="AE9" s="375"/>
      <c r="AF9" s="375"/>
    </row>
    <row r="10" spans="1:32" ht="17.25" thickBot="1" x14ac:dyDescent="0.35">
      <c r="A10" s="295"/>
      <c r="B10" s="295"/>
      <c r="C10" s="282"/>
      <c r="D10" s="369"/>
      <c r="E10" s="369"/>
      <c r="F10" s="369"/>
      <c r="G10" s="369"/>
      <c r="H10" s="369"/>
      <c r="I10" s="369"/>
      <c r="J10" s="282"/>
      <c r="K10" s="282"/>
      <c r="L10" s="282"/>
      <c r="M10" s="282"/>
      <c r="N10" s="369"/>
      <c r="O10" s="282"/>
      <c r="P10" s="282"/>
      <c r="Q10" s="282"/>
      <c r="R10" s="282"/>
      <c r="S10" s="282"/>
      <c r="T10" s="321"/>
      <c r="U10" s="321"/>
      <c r="V10" s="372"/>
      <c r="W10" s="372"/>
      <c r="X10" s="373"/>
      <c r="Y10" s="373"/>
      <c r="Z10" s="373"/>
      <c r="AA10" s="373"/>
      <c r="AB10" s="321"/>
      <c r="AC10" s="321"/>
      <c r="AD10" s="374"/>
      <c r="AE10" s="375"/>
      <c r="AF10" s="375"/>
    </row>
    <row r="11" spans="1:32" x14ac:dyDescent="0.3">
      <c r="A11" s="702" t="s">
        <v>57</v>
      </c>
      <c r="B11" s="703"/>
      <c r="C11" s="376"/>
      <c r="D11" s="376"/>
      <c r="E11" s="376"/>
      <c r="F11" s="376"/>
      <c r="G11" s="376"/>
      <c r="H11" s="377"/>
      <c r="I11" s="285"/>
      <c r="J11" s="282"/>
      <c r="K11" s="282"/>
      <c r="L11" s="282"/>
      <c r="M11" s="282"/>
      <c r="N11" s="285"/>
      <c r="O11" s="282"/>
      <c r="P11" s="282"/>
      <c r="Q11" s="282"/>
      <c r="R11" s="282"/>
      <c r="S11" s="282"/>
      <c r="T11" s="321"/>
      <c r="U11" s="321"/>
      <c r="V11" s="321"/>
      <c r="W11" s="321"/>
      <c r="X11" s="321"/>
      <c r="Y11" s="321"/>
      <c r="Z11" s="321"/>
      <c r="AA11" s="321"/>
      <c r="AB11" s="321"/>
      <c r="AC11" s="321"/>
      <c r="AD11" s="374"/>
      <c r="AE11" s="375"/>
      <c r="AF11" s="375"/>
    </row>
    <row r="12" spans="1:32" x14ac:dyDescent="0.3">
      <c r="A12" s="172" t="s">
        <v>58</v>
      </c>
      <c r="B12" s="378"/>
      <c r="C12" s="378"/>
      <c r="D12" s="378"/>
      <c r="E12" s="378"/>
      <c r="F12" s="378"/>
      <c r="G12" s="378"/>
      <c r="H12" s="176"/>
      <c r="I12" s="282"/>
      <c r="J12" s="282"/>
      <c r="K12" s="282"/>
      <c r="L12" s="282"/>
      <c r="M12" s="282"/>
      <c r="N12" s="282"/>
      <c r="O12" s="282"/>
      <c r="P12" s="282"/>
      <c r="Q12" s="282"/>
      <c r="R12" s="282"/>
      <c r="S12" s="282"/>
      <c r="T12" s="321"/>
      <c r="U12" s="321"/>
      <c r="V12" s="321" t="s">
        <v>387</v>
      </c>
      <c r="W12" s="321"/>
      <c r="X12" s="321"/>
      <c r="Y12" s="321"/>
      <c r="Z12" s="321"/>
      <c r="AA12" s="321"/>
      <c r="AB12" s="321"/>
      <c r="AC12" s="321"/>
      <c r="AD12" s="374"/>
      <c r="AE12" s="375"/>
      <c r="AF12" s="379"/>
    </row>
    <row r="13" spans="1:32" x14ac:dyDescent="0.3">
      <c r="A13" s="173" t="s">
        <v>59</v>
      </c>
      <c r="B13" s="378"/>
      <c r="C13" s="378"/>
      <c r="D13" s="378"/>
      <c r="E13" s="378"/>
      <c r="F13" s="378"/>
      <c r="G13" s="378"/>
      <c r="H13" s="176"/>
      <c r="I13" s="282"/>
      <c r="J13" s="282"/>
      <c r="K13" s="282"/>
      <c r="L13" s="282"/>
      <c r="M13" s="282"/>
      <c r="N13" s="282"/>
      <c r="O13" s="282"/>
      <c r="P13" s="282"/>
      <c r="Q13" s="282"/>
      <c r="R13" s="282"/>
      <c r="S13" s="282"/>
      <c r="T13" s="321"/>
      <c r="U13" s="321"/>
      <c r="V13" s="321" t="s">
        <v>388</v>
      </c>
      <c r="W13" s="321"/>
      <c r="X13" s="321"/>
      <c r="Y13" s="321"/>
      <c r="Z13" s="321"/>
      <c r="AA13" s="321"/>
      <c r="AB13" s="321"/>
      <c r="AC13" s="321"/>
      <c r="AD13" s="374"/>
      <c r="AE13" s="375"/>
      <c r="AF13" s="375"/>
    </row>
    <row r="14" spans="1:32" x14ac:dyDescent="0.3">
      <c r="A14" s="173" t="s">
        <v>60</v>
      </c>
      <c r="B14" s="378"/>
      <c r="C14" s="378"/>
      <c r="D14" s="378"/>
      <c r="E14" s="378"/>
      <c r="F14" s="378"/>
      <c r="G14" s="378"/>
      <c r="H14" s="176"/>
      <c r="I14" s="282"/>
      <c r="J14" s="282"/>
      <c r="K14" s="282"/>
      <c r="L14" s="282"/>
      <c r="M14" s="282"/>
      <c r="N14" s="282"/>
      <c r="O14" s="282"/>
      <c r="P14" s="282"/>
      <c r="Q14" s="282"/>
      <c r="R14" s="282"/>
      <c r="S14" s="282"/>
      <c r="T14" s="321"/>
      <c r="U14" s="321"/>
      <c r="V14" s="321" t="s">
        <v>389</v>
      </c>
      <c r="W14" s="321"/>
      <c r="X14" s="321"/>
      <c r="Y14" s="321"/>
      <c r="Z14" s="321"/>
      <c r="AA14" s="321"/>
      <c r="AB14" s="321"/>
      <c r="AC14" s="321"/>
      <c r="AD14" s="374"/>
      <c r="AE14" s="375"/>
      <c r="AF14" s="375"/>
    </row>
    <row r="15" spans="1:32" x14ac:dyDescent="0.3">
      <c r="A15" s="173" t="s">
        <v>61</v>
      </c>
      <c r="B15" s="378"/>
      <c r="C15" s="378"/>
      <c r="D15" s="378"/>
      <c r="E15" s="378"/>
      <c r="F15" s="378"/>
      <c r="G15" s="378"/>
      <c r="H15" s="176"/>
      <c r="I15" s="282"/>
      <c r="J15" s="282"/>
      <c r="K15" s="282"/>
      <c r="L15" s="282"/>
      <c r="M15" s="282"/>
      <c r="N15" s="282"/>
      <c r="O15" s="282"/>
      <c r="P15" s="282"/>
      <c r="Q15" s="282"/>
      <c r="R15" s="282"/>
      <c r="S15" s="282"/>
      <c r="T15" s="321"/>
      <c r="U15" s="321"/>
      <c r="V15" s="321" t="s">
        <v>390</v>
      </c>
      <c r="W15" s="321"/>
      <c r="X15" s="321"/>
      <c r="Y15" s="321"/>
      <c r="Z15" s="321"/>
      <c r="AA15" s="321"/>
      <c r="AB15" s="321"/>
      <c r="AC15" s="321"/>
      <c r="AD15" s="374"/>
      <c r="AE15" s="375"/>
      <c r="AF15" s="375"/>
    </row>
    <row r="16" spans="1:32" ht="17.25" thickBot="1" x14ac:dyDescent="0.35">
      <c r="A16" s="174" t="s">
        <v>62</v>
      </c>
      <c r="B16" s="175"/>
      <c r="C16" s="175"/>
      <c r="D16" s="175"/>
      <c r="E16" s="175"/>
      <c r="F16" s="175"/>
      <c r="G16" s="175"/>
      <c r="H16" s="177"/>
      <c r="I16" s="282"/>
      <c r="J16" s="282"/>
      <c r="K16" s="282"/>
      <c r="L16" s="282"/>
      <c r="M16" s="282"/>
      <c r="N16" s="282"/>
      <c r="O16" s="282"/>
      <c r="P16" s="282"/>
      <c r="Q16" s="282"/>
      <c r="R16" s="282"/>
      <c r="S16" s="282"/>
      <c r="T16" s="321"/>
      <c r="U16" s="321"/>
      <c r="V16" s="321" t="s">
        <v>391</v>
      </c>
      <c r="W16" s="321"/>
      <c r="X16" s="321"/>
      <c r="Y16" s="321"/>
      <c r="Z16" s="321"/>
      <c r="AA16" s="321"/>
      <c r="AB16" s="321"/>
      <c r="AC16" s="321"/>
      <c r="AD16" s="374"/>
      <c r="AE16" s="375"/>
      <c r="AF16" s="375"/>
    </row>
    <row r="17" spans="1:33" x14ac:dyDescent="0.3">
      <c r="A17" s="282"/>
      <c r="B17" s="282"/>
      <c r="C17" s="282"/>
      <c r="D17" s="282"/>
      <c r="E17" s="282"/>
      <c r="F17" s="282"/>
      <c r="G17" s="282"/>
      <c r="H17" s="282"/>
      <c r="I17" s="282"/>
      <c r="J17" s="282"/>
      <c r="K17" s="282"/>
      <c r="L17" s="282"/>
      <c r="M17" s="282"/>
      <c r="N17" s="282"/>
      <c r="O17" s="282"/>
      <c r="P17" s="282"/>
      <c r="Q17" s="282"/>
      <c r="R17" s="282"/>
      <c r="S17" s="282"/>
      <c r="T17" s="321"/>
      <c r="U17" s="321"/>
      <c r="V17" s="321" t="s">
        <v>392</v>
      </c>
      <c r="W17" s="321"/>
      <c r="X17" s="321"/>
      <c r="Y17" s="321"/>
      <c r="Z17" s="321"/>
      <c r="AA17" s="321"/>
      <c r="AB17" s="321"/>
      <c r="AC17" s="321"/>
      <c r="AD17" s="374"/>
      <c r="AE17" s="375"/>
      <c r="AF17" s="375"/>
    </row>
    <row r="18" spans="1:33" x14ac:dyDescent="0.3">
      <c r="A18" s="282"/>
      <c r="B18" s="282"/>
      <c r="C18" s="282"/>
      <c r="D18" s="282"/>
      <c r="E18" s="282"/>
      <c r="F18" s="282"/>
      <c r="G18" s="282"/>
      <c r="H18" s="282"/>
      <c r="I18" s="282"/>
      <c r="J18" s="282"/>
      <c r="K18" s="282"/>
      <c r="L18" s="282"/>
      <c r="M18" s="282"/>
      <c r="N18" s="282"/>
      <c r="O18" s="282"/>
      <c r="P18" s="282"/>
      <c r="Q18" s="282"/>
      <c r="R18" s="282"/>
      <c r="S18" s="282"/>
      <c r="T18" s="321"/>
      <c r="U18" s="321"/>
      <c r="V18" s="321" t="s">
        <v>393</v>
      </c>
      <c r="W18" s="321"/>
      <c r="X18" s="321"/>
      <c r="Y18" s="321"/>
      <c r="Z18" s="321"/>
      <c r="AA18" s="321"/>
      <c r="AB18" s="321"/>
      <c r="AC18" s="321"/>
      <c r="AD18" s="374"/>
      <c r="AE18" s="375"/>
      <c r="AF18" s="375"/>
    </row>
    <row r="19" spans="1:33" x14ac:dyDescent="0.3">
      <c r="A19" s="282"/>
      <c r="B19" s="282"/>
      <c r="C19" s="282"/>
      <c r="D19" s="282"/>
      <c r="E19" s="282"/>
      <c r="F19" s="282"/>
      <c r="G19" s="282"/>
      <c r="H19" s="282"/>
      <c r="I19" s="282"/>
      <c r="J19" s="282"/>
      <c r="K19" s="282"/>
      <c r="L19" s="282"/>
      <c r="M19" s="282"/>
      <c r="N19" s="282"/>
      <c r="O19" s="282"/>
      <c r="P19" s="282"/>
      <c r="Q19" s="282"/>
      <c r="R19" s="282"/>
      <c r="S19" s="282"/>
      <c r="T19" s="321"/>
      <c r="U19" s="321"/>
      <c r="V19" s="321" t="s">
        <v>394</v>
      </c>
      <c r="W19" s="321"/>
      <c r="X19" s="321"/>
      <c r="Y19" s="321"/>
      <c r="Z19" s="321"/>
      <c r="AA19" s="321"/>
      <c r="AB19" s="321"/>
      <c r="AC19" s="321"/>
      <c r="AD19" s="374"/>
      <c r="AE19" s="375"/>
      <c r="AF19" s="375"/>
    </row>
    <row r="20" spans="1:33" x14ac:dyDescent="0.3">
      <c r="A20" s="380"/>
      <c r="B20" s="282"/>
      <c r="C20" s="282"/>
      <c r="D20" s="282"/>
      <c r="E20" s="282"/>
      <c r="F20" s="282"/>
      <c r="G20" s="282"/>
      <c r="H20" s="282"/>
      <c r="I20" s="282"/>
      <c r="J20" s="282"/>
      <c r="K20" s="282"/>
      <c r="L20" s="282"/>
      <c r="M20" s="282"/>
      <c r="N20" s="282"/>
      <c r="O20" s="282"/>
      <c r="P20" s="282"/>
      <c r="Q20" s="282"/>
      <c r="R20" s="282"/>
      <c r="S20" s="282"/>
      <c r="T20" s="321"/>
      <c r="U20" s="321"/>
      <c r="V20" s="321"/>
      <c r="W20" s="321"/>
      <c r="X20" s="321"/>
      <c r="Y20" s="321"/>
      <c r="Z20" s="321"/>
      <c r="AA20" s="321"/>
      <c r="AB20" s="321"/>
      <c r="AC20" s="321"/>
      <c r="AD20" s="374"/>
      <c r="AE20" s="375"/>
      <c r="AF20" s="375"/>
    </row>
    <row r="21" spans="1:33" ht="17.25" thickBot="1" x14ac:dyDescent="0.35">
      <c r="A21" s="282"/>
      <c r="B21" s="282"/>
      <c r="C21" s="282"/>
      <c r="D21" s="282"/>
      <c r="E21" s="282"/>
      <c r="F21" s="282"/>
      <c r="G21" s="282"/>
      <c r="H21" s="282"/>
      <c r="I21" s="282"/>
      <c r="J21" s="282"/>
      <c r="K21" s="282"/>
      <c r="L21" s="282"/>
      <c r="M21" s="282"/>
      <c r="N21" s="282"/>
      <c r="O21" s="282"/>
      <c r="P21" s="282"/>
      <c r="Q21" s="282"/>
      <c r="R21" s="282"/>
      <c r="S21" s="282"/>
      <c r="T21" s="321"/>
      <c r="U21" s="321"/>
      <c r="V21" s="321" t="s">
        <v>395</v>
      </c>
      <c r="W21" s="321"/>
      <c r="X21" s="321"/>
      <c r="Y21" s="321"/>
      <c r="Z21" s="321"/>
      <c r="AA21" s="321"/>
      <c r="AB21" s="321"/>
      <c r="AC21" s="321"/>
      <c r="AD21" s="374"/>
      <c r="AE21" s="375"/>
      <c r="AF21" s="375"/>
    </row>
    <row r="22" spans="1:33" ht="17.25" thickBot="1" x14ac:dyDescent="0.35">
      <c r="A22" s="675" t="s">
        <v>413</v>
      </c>
      <c r="B22" s="676"/>
      <c r="C22" s="677"/>
      <c r="D22" s="282"/>
      <c r="E22" s="282"/>
      <c r="G22" s="2" t="s">
        <v>1</v>
      </c>
      <c r="H22" s="3" t="s">
        <v>2</v>
      </c>
      <c r="I22" s="282"/>
      <c r="J22" s="694" t="s">
        <v>415</v>
      </c>
      <c r="K22" s="695"/>
      <c r="L22" s="695"/>
      <c r="M22" s="696"/>
      <c r="N22" s="285"/>
      <c r="O22" s="282"/>
      <c r="P22" s="282"/>
      <c r="Q22" s="282"/>
      <c r="R22" s="282"/>
      <c r="S22" s="282"/>
      <c r="T22" s="321"/>
      <c r="U22" s="321"/>
      <c r="V22" s="321"/>
      <c r="W22" s="321"/>
      <c r="X22" s="321"/>
      <c r="Y22" s="321"/>
      <c r="Z22" s="321"/>
      <c r="AA22" s="321"/>
      <c r="AB22" s="321"/>
      <c r="AC22" s="321"/>
      <c r="AD22" s="374"/>
      <c r="AE22" s="375"/>
      <c r="AF22" s="375"/>
    </row>
    <row r="23" spans="1:33" ht="17.25" thickBot="1" x14ac:dyDescent="0.35">
      <c r="A23" s="168"/>
      <c r="B23" s="171" t="s">
        <v>64</v>
      </c>
      <c r="C23" s="169" t="s">
        <v>65</v>
      </c>
      <c r="D23" s="282"/>
      <c r="E23" s="282"/>
      <c r="F23" s="4" t="s">
        <v>4</v>
      </c>
      <c r="G23" s="678">
        <v>0.6</v>
      </c>
      <c r="H23" s="679"/>
      <c r="I23" s="282"/>
      <c r="J23" s="697"/>
      <c r="K23" s="698"/>
      <c r="L23" s="698"/>
      <c r="M23" s="699"/>
      <c r="N23" s="285"/>
      <c r="O23" s="282"/>
      <c r="P23" s="282"/>
      <c r="Q23" s="282"/>
      <c r="R23" s="282"/>
      <c r="S23" s="282"/>
      <c r="T23" s="321"/>
      <c r="U23" s="321"/>
      <c r="V23" s="321" t="s">
        <v>396</v>
      </c>
      <c r="W23" s="321">
        <v>70.5</v>
      </c>
      <c r="X23" s="321"/>
      <c r="Y23" s="321"/>
      <c r="Z23" s="321"/>
      <c r="AA23" s="321"/>
      <c r="AB23" s="321"/>
      <c r="AC23" s="321"/>
      <c r="AD23" s="374"/>
      <c r="AE23" s="375"/>
      <c r="AF23" s="375"/>
    </row>
    <row r="24" spans="1:33" ht="17.25" thickBot="1" x14ac:dyDescent="0.35">
      <c r="A24" s="186" t="s">
        <v>403</v>
      </c>
      <c r="B24" s="186">
        <v>8</v>
      </c>
      <c r="C24" s="170">
        <f>VLOOKUP(A24,$A$93:$C$116,3,FALSE)</f>
        <v>0.93</v>
      </c>
      <c r="D24" s="318">
        <f>B24*C24</f>
        <v>7.44</v>
      </c>
      <c r="E24" s="282"/>
      <c r="F24" s="5" t="s">
        <v>6</v>
      </c>
      <c r="G24" s="6">
        <f>F35*G23</f>
        <v>1752.6</v>
      </c>
      <c r="H24" s="101">
        <f>G24/4</f>
        <v>438.15</v>
      </c>
      <c r="I24" s="282"/>
      <c r="J24" s="634" t="s">
        <v>63</v>
      </c>
      <c r="K24" s="635"/>
      <c r="L24" s="700">
        <v>72</v>
      </c>
      <c r="M24" s="701"/>
      <c r="N24" s="381"/>
      <c r="O24" s="282"/>
      <c r="P24" s="282"/>
      <c r="Q24" s="282"/>
      <c r="R24" s="282"/>
      <c r="S24" s="282"/>
      <c r="T24" s="321"/>
      <c r="U24" s="321"/>
      <c r="V24" s="321" t="s">
        <v>7</v>
      </c>
      <c r="W24" s="382">
        <v>0.15</v>
      </c>
      <c r="X24" s="321"/>
      <c r="Y24" s="321"/>
      <c r="Z24" s="321"/>
      <c r="AA24" s="321"/>
      <c r="AB24" s="321"/>
      <c r="AC24" s="321"/>
      <c r="AD24" s="374"/>
      <c r="AE24" s="375"/>
      <c r="AF24" s="375"/>
    </row>
    <row r="25" spans="1:33" x14ac:dyDescent="0.3">
      <c r="A25" s="186" t="s">
        <v>69</v>
      </c>
      <c r="B25" s="186">
        <v>2</v>
      </c>
      <c r="C25" s="170">
        <f>VLOOKUP(A25,$A$93:$C$116,3,FALSE)</f>
        <v>1.4</v>
      </c>
      <c r="D25" s="318">
        <f t="shared" ref="D25:D33" si="0">B25*C25</f>
        <v>2.8</v>
      </c>
      <c r="E25" s="282"/>
      <c r="F25" s="8" t="s">
        <v>80</v>
      </c>
      <c r="G25" s="680">
        <v>170</v>
      </c>
      <c r="H25" s="681"/>
      <c r="I25" s="282"/>
      <c r="J25" s="164"/>
      <c r="K25" s="383" t="s">
        <v>66</v>
      </c>
      <c r="L25" s="383" t="s">
        <v>67</v>
      </c>
      <c r="M25" s="163" t="s">
        <v>65</v>
      </c>
      <c r="N25" s="381"/>
      <c r="O25" s="282"/>
      <c r="P25" s="282"/>
      <c r="Q25" s="282"/>
      <c r="R25" s="282"/>
      <c r="S25" s="282"/>
      <c r="T25" s="321"/>
      <c r="U25" s="321"/>
      <c r="V25" s="321" t="s">
        <v>397</v>
      </c>
      <c r="W25" s="384">
        <v>0.05</v>
      </c>
      <c r="X25" s="321"/>
      <c r="Y25" s="321"/>
      <c r="Z25" s="321"/>
      <c r="AA25" s="321"/>
      <c r="AB25" s="321"/>
      <c r="AC25" s="321"/>
      <c r="AD25" s="374"/>
      <c r="AE25" s="375"/>
      <c r="AF25" s="375"/>
    </row>
    <row r="26" spans="1:33" ht="17.25" thickBot="1" x14ac:dyDescent="0.35">
      <c r="A26" s="186" t="s">
        <v>414</v>
      </c>
      <c r="B26" s="186">
        <v>0</v>
      </c>
      <c r="C26" s="170">
        <f t="shared" ref="C26:C28" si="1">VLOOKUP(A26,$A$93:$C$116,3,FALSE)</f>
        <v>1.2</v>
      </c>
      <c r="D26" s="318">
        <f t="shared" si="0"/>
        <v>0</v>
      </c>
      <c r="E26" s="282"/>
      <c r="F26" s="9" t="s">
        <v>82</v>
      </c>
      <c r="G26" s="10">
        <f>G25*4</f>
        <v>680</v>
      </c>
      <c r="H26" s="128">
        <f>G26/F35</f>
        <v>0.23279698733310511</v>
      </c>
      <c r="I26" s="282"/>
      <c r="J26" s="165" t="s">
        <v>404</v>
      </c>
      <c r="K26" s="385">
        <v>2</v>
      </c>
      <c r="L26" s="385">
        <v>134</v>
      </c>
      <c r="M26" s="155">
        <f>IF(L26/$L$24&gt;1.6,L26*$AB$39+$AB$40,L26*$AB$36+$AB$33)+IF(IF(L26/$L$24&gt;1.6,L26*$AB$39+$AB$40,L26*$AB$36+$AB$33)&gt;=1.2,(IF(K26&gt;1,IF(L26/$L$24&gt;1.6,L26*$AB$39+$AB$40,L26*$AB$36+$AB$33)*0.05*K26,0)),0)</f>
        <v>4.3541666666666714</v>
      </c>
      <c r="N26" s="381"/>
      <c r="O26" s="282"/>
      <c r="P26" s="282"/>
      <c r="Q26" s="282"/>
      <c r="R26" s="282"/>
      <c r="S26" s="282"/>
      <c r="T26" s="321"/>
      <c r="U26" s="321"/>
      <c r="V26" s="321"/>
      <c r="W26" s="321"/>
      <c r="X26" s="321"/>
      <c r="Y26" s="321"/>
      <c r="Z26" s="321"/>
      <c r="AA26" s="321"/>
      <c r="AB26" s="321"/>
      <c r="AC26" s="321"/>
      <c r="AD26" s="374"/>
      <c r="AE26" s="375"/>
      <c r="AF26" s="375"/>
    </row>
    <row r="27" spans="1:33" x14ac:dyDescent="0.3">
      <c r="A27" s="186" t="s">
        <v>411</v>
      </c>
      <c r="B27" s="186">
        <v>4</v>
      </c>
      <c r="C27" s="170">
        <f t="shared" si="1"/>
        <v>1.57</v>
      </c>
      <c r="D27" s="318">
        <f t="shared" si="0"/>
        <v>6.28</v>
      </c>
      <c r="E27" s="282"/>
      <c r="F27" s="12" t="s">
        <v>12</v>
      </c>
      <c r="G27" s="682">
        <f>G28/9</f>
        <v>54.26666666666668</v>
      </c>
      <c r="H27" s="683"/>
      <c r="I27" s="282"/>
      <c r="J27" s="165" t="s">
        <v>405</v>
      </c>
      <c r="K27" s="385">
        <v>1</v>
      </c>
      <c r="L27" s="385">
        <v>120</v>
      </c>
      <c r="M27" s="155">
        <f>IF(L27/$L$24&gt;1.6,L27*$AB$39+$AB$40,L27*$AB$36+$AB$33)+IF(IF(L27/$L$24&gt;1.6,L27*$AB$39+$AB$40,L27*$AB$36+$AB$33)&gt;=1.2,(IF(K27&gt;1,IF(L27/$L$24&gt;1.6,L27*$AB$39+$AB$40,L27*$AB$36+$AB$33)*0.05*K27,0)),0)</f>
        <v>2.5000000000000036</v>
      </c>
      <c r="N27" s="381"/>
      <c r="O27" s="282"/>
      <c r="P27" s="282"/>
      <c r="Q27" s="282"/>
      <c r="R27" s="282"/>
      <c r="S27" s="282"/>
      <c r="T27" s="321"/>
      <c r="U27" s="321"/>
      <c r="V27" s="321" t="s">
        <v>398</v>
      </c>
      <c r="W27" s="336">
        <f>W23*(1-W24)/(1-W25)</f>
        <v>63.078947368421055</v>
      </c>
      <c r="X27" s="321"/>
      <c r="Y27" s="321"/>
      <c r="Z27" s="321"/>
      <c r="AA27" s="321"/>
      <c r="AB27" s="321"/>
      <c r="AC27" s="321"/>
      <c r="AD27" s="374"/>
      <c r="AE27" s="375"/>
      <c r="AF27" s="375"/>
    </row>
    <row r="28" spans="1:33" ht="17.25" thickBot="1" x14ac:dyDescent="0.35">
      <c r="A28" s="186" t="s">
        <v>414</v>
      </c>
      <c r="B28" s="186">
        <v>0</v>
      </c>
      <c r="C28" s="170">
        <f t="shared" si="1"/>
        <v>1.2</v>
      </c>
      <c r="D28" s="318">
        <f t="shared" si="0"/>
        <v>0</v>
      </c>
      <c r="E28" s="282"/>
      <c r="F28" s="17" t="s">
        <v>85</v>
      </c>
      <c r="G28" s="183">
        <f>F35-G24-G26</f>
        <v>488.40000000000009</v>
      </c>
      <c r="H28" s="162">
        <f>G28/F35</f>
        <v>0.16720301266689494</v>
      </c>
      <c r="I28" s="282"/>
      <c r="J28" s="165" t="s">
        <v>406</v>
      </c>
      <c r="K28" s="385">
        <v>3</v>
      </c>
      <c r="L28" s="385">
        <v>110</v>
      </c>
      <c r="M28" s="155">
        <f>IF(L28/$L$24&gt;1.6,L28*$AB$39+$AB$40,L28*$AB$36+$AB$33)+IF(IF(L28/$L$24&gt;1.6,L28*$AB$39+$AB$40,L28*$AB$36+$AB$33)&gt;=1.2,(IF(K28&gt;1,IF(L28/$L$24&gt;1.6,L28*$AB$39+$AB$40,L28*$AB$36+$AB$33)*0.05*K28,0)),0)</f>
        <v>2.1615740740740739</v>
      </c>
      <c r="N28" s="381"/>
      <c r="O28" s="282"/>
      <c r="P28" s="282"/>
      <c r="Q28" s="282"/>
      <c r="R28" s="282"/>
      <c r="S28" s="282"/>
      <c r="T28" s="321"/>
      <c r="U28" s="321"/>
      <c r="V28" s="321"/>
      <c r="W28" s="321"/>
      <c r="X28" s="321"/>
      <c r="Y28" s="321"/>
      <c r="Z28" s="321"/>
      <c r="AA28" s="321"/>
      <c r="AB28" s="321"/>
      <c r="AC28" s="321"/>
      <c r="AD28" s="374"/>
      <c r="AE28" s="375"/>
      <c r="AF28" s="375"/>
    </row>
    <row r="29" spans="1:33" x14ac:dyDescent="0.3">
      <c r="A29" s="186" t="s">
        <v>70</v>
      </c>
      <c r="B29" s="186">
        <v>4</v>
      </c>
      <c r="C29" s="170">
        <f>VLOOKUP(A29,$A$93:$C$116,3,FALSE)</f>
        <v>1.6</v>
      </c>
      <c r="D29" s="318">
        <f t="shared" si="0"/>
        <v>6.4</v>
      </c>
      <c r="E29" s="282"/>
      <c r="F29" s="282"/>
      <c r="G29" s="386"/>
      <c r="H29" s="387"/>
      <c r="I29" s="282"/>
      <c r="J29" s="165" t="s">
        <v>407</v>
      </c>
      <c r="K29" s="385">
        <v>4.5</v>
      </c>
      <c r="L29" s="385">
        <v>100</v>
      </c>
      <c r="M29" s="155">
        <f>IF(L29/$L$24&gt;1.6,L29*$AB$39+$AB$40,L29*$AB$36+$AB$33)+IF(IF(L29/$L$24&gt;1.6,L29*$AB$39+$AB$40,L29*$AB$36+$AB$33)&gt;=1.2,(IF(K29&gt;1,IF(L29/$L$24&gt;1.6,L29*$AB$39+$AB$40,L29*$AB$36+$AB$33)*0.05*K29,0)),0)</f>
        <v>2.018981481481481</v>
      </c>
      <c r="N29" s="388"/>
      <c r="O29" s="282"/>
      <c r="P29" s="282"/>
      <c r="Q29" s="282"/>
      <c r="R29" s="282"/>
      <c r="S29" s="282"/>
      <c r="T29" s="321"/>
      <c r="U29" s="321"/>
      <c r="V29" s="321" t="s">
        <v>399</v>
      </c>
      <c r="W29" s="338">
        <f>W23-W27</f>
        <v>7.4210526315789451</v>
      </c>
      <c r="X29" s="321"/>
      <c r="Y29" s="321"/>
      <c r="Z29" s="321"/>
      <c r="AA29" s="321"/>
      <c r="AB29" s="321"/>
      <c r="AC29" s="321"/>
      <c r="AD29" s="374"/>
      <c r="AE29" s="375"/>
      <c r="AF29" s="379"/>
      <c r="AG29" s="280"/>
    </row>
    <row r="30" spans="1:33" ht="17.25" thickBot="1" x14ac:dyDescent="0.35">
      <c r="A30" s="186" t="s">
        <v>622</v>
      </c>
      <c r="B30" s="186">
        <v>4</v>
      </c>
      <c r="C30" s="170">
        <f>VLOOKUP(A30,$A$93:$C$116,3,FALSE)</f>
        <v>2.5</v>
      </c>
      <c r="D30" s="318">
        <f t="shared" si="0"/>
        <v>10</v>
      </c>
      <c r="E30" s="282"/>
      <c r="F30" s="282"/>
      <c r="G30" s="386"/>
      <c r="H30" s="387"/>
      <c r="I30" s="282"/>
      <c r="J30" s="166" t="s">
        <v>408</v>
      </c>
      <c r="K30" s="188">
        <v>7</v>
      </c>
      <c r="L30" s="188">
        <v>90</v>
      </c>
      <c r="M30" s="156">
        <f>IF(L30/$L$24&gt;1.6,L30*$AB$39+$AB$40,L30*$AB$36+$AB$33)+IF(IF(L30/$L$24&gt;1.6,L30*$AB$39+$AB$40,L30*$AB$36+$AB$33)&gt;=1.2,(IF(K30&gt;1,IF(L30/$L$24&gt;1.6,L30*$AB$39+$AB$40,L30*$AB$36+$AB$33)*0.05*K30,0)),0)</f>
        <v>1.9124999999999999</v>
      </c>
      <c r="N30" s="282"/>
      <c r="O30" s="282"/>
      <c r="P30" s="282"/>
      <c r="Q30" s="282"/>
      <c r="R30" s="282"/>
      <c r="S30" s="282"/>
      <c r="T30" s="321"/>
      <c r="U30" s="321"/>
      <c r="V30" s="321" t="s">
        <v>400</v>
      </c>
      <c r="W30" s="321">
        <v>700</v>
      </c>
      <c r="X30" s="581" t="str">
        <f>IF(W30&gt;700,"근손실 위험이 있습니다","적당합니다")</f>
        <v>적당합니다</v>
      </c>
      <c r="Y30" s="581"/>
      <c r="Z30" s="321"/>
      <c r="AA30" s="321"/>
      <c r="AB30" s="321"/>
      <c r="AC30" s="321"/>
      <c r="AD30" s="374"/>
      <c r="AE30" s="375"/>
      <c r="AF30" s="375"/>
    </row>
    <row r="31" spans="1:33" x14ac:dyDescent="0.3">
      <c r="A31" s="186" t="s">
        <v>434</v>
      </c>
      <c r="B31" s="186">
        <v>0</v>
      </c>
      <c r="C31" s="170">
        <f>VLOOKUP(A31,$A$93:$C$116,3,FALSE)</f>
        <v>2</v>
      </c>
      <c r="D31" s="318">
        <f t="shared" si="0"/>
        <v>0</v>
      </c>
      <c r="E31" s="282"/>
      <c r="F31" s="282"/>
      <c r="G31" s="386"/>
      <c r="H31" s="387"/>
      <c r="I31" s="282"/>
      <c r="J31" s="388"/>
      <c r="K31" s="685" t="s">
        <v>416</v>
      </c>
      <c r="L31" s="686"/>
      <c r="M31" s="687"/>
      <c r="N31" s="282"/>
      <c r="O31" s="282"/>
      <c r="P31" s="282"/>
      <c r="Q31" s="282"/>
      <c r="R31" s="282"/>
      <c r="S31" s="282"/>
      <c r="T31" s="321"/>
      <c r="U31" s="321"/>
      <c r="V31" s="321" t="s">
        <v>401</v>
      </c>
      <c r="W31" s="340">
        <f>W29*7000/W30</f>
        <v>74.210526315789451</v>
      </c>
      <c r="X31" s="321"/>
      <c r="Y31" s="321"/>
      <c r="Z31" s="321"/>
      <c r="AA31" s="321"/>
      <c r="AB31" s="321"/>
      <c r="AC31" s="321">
        <f>AB36*AC35</f>
        <v>2.6666666666666661</v>
      </c>
      <c r="AD31" s="374"/>
      <c r="AE31" s="375"/>
      <c r="AF31" s="375"/>
    </row>
    <row r="32" spans="1:33" ht="17.25" thickBot="1" x14ac:dyDescent="0.35">
      <c r="A32" s="186" t="s">
        <v>621</v>
      </c>
      <c r="B32" s="186">
        <v>0</v>
      </c>
      <c r="C32" s="170">
        <f>VLOOKUP(A32,$A$93:$C$116,3,FALSE)</f>
        <v>3</v>
      </c>
      <c r="D32" s="318">
        <f t="shared" si="0"/>
        <v>0</v>
      </c>
      <c r="E32" s="282"/>
      <c r="F32" s="388"/>
      <c r="G32" s="282"/>
      <c r="H32" s="282"/>
      <c r="I32" s="282"/>
      <c r="J32" s="282"/>
      <c r="K32" s="688"/>
      <c r="L32" s="689"/>
      <c r="M32" s="690"/>
      <c r="N32" s="282"/>
      <c r="O32" s="282"/>
      <c r="P32" s="282"/>
      <c r="Q32" s="282"/>
      <c r="R32" s="282"/>
      <c r="S32" s="282"/>
      <c r="T32" s="321"/>
      <c r="U32" s="321"/>
      <c r="V32" s="321"/>
      <c r="W32" s="321"/>
      <c r="X32" s="321"/>
      <c r="Y32" s="321"/>
      <c r="Z32" s="321"/>
      <c r="AA32" s="321"/>
      <c r="AB32" s="321"/>
      <c r="AC32" s="321">
        <f>AB36*AC34</f>
        <v>1.6666666666666663</v>
      </c>
      <c r="AD32" s="374"/>
      <c r="AE32" s="375"/>
      <c r="AF32" s="375"/>
    </row>
    <row r="33" spans="1:32" ht="17.25" thickBot="1" x14ac:dyDescent="0.35">
      <c r="A33" s="187" t="s">
        <v>623</v>
      </c>
      <c r="B33" s="187">
        <v>2</v>
      </c>
      <c r="C33" s="170">
        <f>VLOOKUP(A33,$A$93:$C$116,3,FALSE)</f>
        <v>4.3541666666666714</v>
      </c>
      <c r="D33" s="318">
        <f t="shared" si="0"/>
        <v>8.7083333333333428</v>
      </c>
      <c r="E33" s="157" t="s">
        <v>74</v>
      </c>
      <c r="F33" s="181">
        <f>($B$3*(1-$D$3)*21.6)+370</f>
        <v>1180</v>
      </c>
      <c r="G33" s="282"/>
      <c r="H33" s="282"/>
      <c r="I33" s="282"/>
      <c r="J33" s="282"/>
      <c r="K33" s="691"/>
      <c r="L33" s="692"/>
      <c r="M33" s="693"/>
      <c r="N33" s="282"/>
      <c r="O33" s="282"/>
      <c r="P33" s="282"/>
      <c r="Q33" s="282"/>
      <c r="R33" s="282"/>
      <c r="S33" s="282"/>
      <c r="T33" s="321"/>
      <c r="U33" s="321"/>
      <c r="V33" s="321"/>
      <c r="W33" s="321"/>
      <c r="X33" s="321"/>
      <c r="Y33" s="321"/>
      <c r="Z33" s="321"/>
      <c r="AA33" s="389">
        <f>F34-SUM(G24,G25*4)</f>
        <v>-385.87361111111045</v>
      </c>
      <c r="AB33" s="321">
        <f>2/3*-1</f>
        <v>-0.66666666666666663</v>
      </c>
      <c r="AC33" s="321"/>
      <c r="AD33" s="374"/>
      <c r="AE33" s="375"/>
      <c r="AF33" s="375"/>
    </row>
    <row r="34" spans="1:32" ht="17.25" thickBot="1" x14ac:dyDescent="0.35">
      <c r="A34" s="158" t="s">
        <v>75</v>
      </c>
      <c r="B34" s="159">
        <f>SUM(B24:B33)</f>
        <v>24</v>
      </c>
      <c r="C34" s="271" t="s">
        <v>76</v>
      </c>
      <c r="D34" s="167">
        <f>SUM(D24:D33)/24</f>
        <v>1.7345138888888894</v>
      </c>
      <c r="E34" s="160" t="s">
        <v>77</v>
      </c>
      <c r="F34" s="182">
        <f>F33*D34</f>
        <v>2046.7263888888895</v>
      </c>
      <c r="G34" s="282"/>
      <c r="H34" s="282"/>
      <c r="I34" s="282"/>
      <c r="J34" s="282"/>
      <c r="K34" s="282"/>
      <c r="L34" s="282"/>
      <c r="M34" s="282"/>
      <c r="N34" s="282"/>
      <c r="O34" s="282"/>
      <c r="P34" s="282"/>
      <c r="Q34" s="282"/>
      <c r="R34" s="282"/>
      <c r="S34" s="282"/>
      <c r="T34" s="321"/>
      <c r="U34" s="321"/>
      <c r="V34" s="321"/>
      <c r="W34" s="321"/>
      <c r="X34" s="321"/>
      <c r="Y34" s="321"/>
      <c r="Z34" s="321"/>
      <c r="AA34" s="321"/>
      <c r="AB34" s="321">
        <v>1</v>
      </c>
      <c r="AC34" s="321">
        <f>L24</f>
        <v>72</v>
      </c>
      <c r="AD34" s="374"/>
      <c r="AE34" s="375"/>
      <c r="AF34" s="375"/>
    </row>
    <row r="35" spans="1:32" ht="17.25" thickBot="1" x14ac:dyDescent="0.35">
      <c r="A35" s="285"/>
      <c r="B35" s="282"/>
      <c r="C35" s="282"/>
      <c r="D35" s="282"/>
      <c r="E35" s="180" t="s">
        <v>425</v>
      </c>
      <c r="F35" s="204">
        <f>3621-700</f>
        <v>2921</v>
      </c>
      <c r="G35" s="282"/>
      <c r="H35" s="282"/>
      <c r="I35" s="282"/>
      <c r="J35" s="282"/>
      <c r="K35" s="282"/>
      <c r="L35" s="282"/>
      <c r="M35" s="282"/>
      <c r="N35" s="282"/>
      <c r="O35" s="282"/>
      <c r="P35" s="282"/>
      <c r="Q35" s="282"/>
      <c r="R35" s="282"/>
      <c r="S35" s="282"/>
      <c r="T35" s="321"/>
      <c r="U35" s="321"/>
      <c r="V35" s="321"/>
      <c r="W35" s="321"/>
      <c r="X35" s="321"/>
      <c r="Y35" s="321"/>
      <c r="Z35" s="321"/>
      <c r="AA35" s="321"/>
      <c r="AB35" s="321">
        <v>2</v>
      </c>
      <c r="AC35" s="321">
        <f>L24*1.6</f>
        <v>115.2</v>
      </c>
      <c r="AD35" s="374"/>
      <c r="AE35" s="375"/>
      <c r="AF35" s="375"/>
    </row>
    <row r="36" spans="1:32" ht="17.25" thickBot="1" x14ac:dyDescent="0.35">
      <c r="A36" s="282"/>
      <c r="B36" s="282"/>
      <c r="C36" s="282"/>
      <c r="D36" s="282"/>
      <c r="E36" s="282"/>
      <c r="F36" s="282"/>
      <c r="G36" s="282"/>
      <c r="H36" s="282"/>
      <c r="I36" s="282"/>
      <c r="J36" s="282"/>
      <c r="K36" s="282"/>
      <c r="L36" s="282"/>
      <c r="M36" s="282"/>
      <c r="N36" s="282"/>
      <c r="O36" s="282"/>
      <c r="P36" s="282"/>
      <c r="Q36" s="282"/>
      <c r="R36" s="282"/>
      <c r="S36" s="282"/>
      <c r="T36" s="321"/>
      <c r="U36" s="321"/>
      <c r="V36" s="321"/>
      <c r="W36" s="321"/>
      <c r="X36" s="321"/>
      <c r="Y36" s="321"/>
      <c r="Z36" s="321"/>
      <c r="AA36" s="321"/>
      <c r="AB36" s="321">
        <f>LINEST(AB34:AB35,AC34:AC35,TRUE)</f>
        <v>2.3148148148148143E-2</v>
      </c>
      <c r="AC36" s="321"/>
      <c r="AD36" s="374"/>
      <c r="AE36" s="375"/>
      <c r="AF36" s="375"/>
    </row>
    <row r="37" spans="1:32" ht="17.25" thickBot="1" x14ac:dyDescent="0.35">
      <c r="A37" s="675" t="s">
        <v>637</v>
      </c>
      <c r="B37" s="676"/>
      <c r="C37" s="677"/>
      <c r="D37" s="282"/>
      <c r="E37" s="282"/>
      <c r="F37" s="282"/>
      <c r="G37" s="2" t="s">
        <v>1</v>
      </c>
      <c r="H37" s="3" t="s">
        <v>2</v>
      </c>
      <c r="I37" s="282"/>
      <c r="J37" s="282"/>
      <c r="K37" s="282"/>
      <c r="L37" s="282"/>
      <c r="M37" s="282"/>
      <c r="N37" s="282"/>
      <c r="O37" s="282"/>
      <c r="P37" s="282"/>
      <c r="Q37" s="282"/>
      <c r="R37" s="282"/>
      <c r="S37" s="282"/>
      <c r="T37" s="321"/>
      <c r="U37" s="321"/>
      <c r="V37" s="321"/>
      <c r="W37" s="321"/>
      <c r="X37" s="321"/>
      <c r="Y37" s="321"/>
      <c r="Z37" s="321"/>
      <c r="AA37" s="321"/>
      <c r="AB37" s="321">
        <v>2</v>
      </c>
      <c r="AC37" s="321">
        <f>L24*1.6</f>
        <v>115.2</v>
      </c>
      <c r="AD37" s="374"/>
      <c r="AE37" s="375"/>
      <c r="AF37" s="375"/>
    </row>
    <row r="38" spans="1:32" x14ac:dyDescent="0.3">
      <c r="A38" s="168"/>
      <c r="B38" s="171" t="s">
        <v>64</v>
      </c>
      <c r="C38" s="169" t="s">
        <v>65</v>
      </c>
      <c r="D38" s="282"/>
      <c r="E38" s="282"/>
      <c r="F38" s="4" t="s">
        <v>4</v>
      </c>
      <c r="G38" s="678">
        <v>0.6</v>
      </c>
      <c r="H38" s="679"/>
      <c r="I38" s="282"/>
      <c r="J38" s="282"/>
      <c r="K38" s="282"/>
      <c r="L38" s="282"/>
      <c r="M38" s="282"/>
      <c r="N38" s="282"/>
      <c r="O38" s="282"/>
      <c r="P38" s="282"/>
      <c r="Q38" s="282"/>
      <c r="R38" s="282"/>
      <c r="S38" s="282"/>
      <c r="T38" s="321"/>
      <c r="U38" s="321"/>
      <c r="V38" s="321"/>
      <c r="W38" s="321"/>
      <c r="X38" s="321"/>
      <c r="Y38" s="321"/>
      <c r="Z38" s="321"/>
      <c r="AA38" s="321"/>
      <c r="AB38" s="321">
        <v>8</v>
      </c>
      <c r="AC38" s="321">
        <f>L24*2.4</f>
        <v>172.79999999999998</v>
      </c>
      <c r="AD38" s="321"/>
      <c r="AE38" s="161"/>
      <c r="AF38" s="375"/>
    </row>
    <row r="39" spans="1:32" ht="17.25" thickBot="1" x14ac:dyDescent="0.35">
      <c r="A39" s="186" t="s">
        <v>403</v>
      </c>
      <c r="B39" s="186">
        <v>8</v>
      </c>
      <c r="C39" s="170">
        <f>VLOOKUP(A39,$A$93:$C$116,3,FALSE)</f>
        <v>0.93</v>
      </c>
      <c r="D39" s="318">
        <f>B39*C39</f>
        <v>7.44</v>
      </c>
      <c r="E39" s="282"/>
      <c r="F39" s="5" t="s">
        <v>6</v>
      </c>
      <c r="G39" s="6">
        <f>F50*G38</f>
        <v>1752.6</v>
      </c>
      <c r="H39" s="101">
        <f>G39/4</f>
        <v>438.15</v>
      </c>
      <c r="I39" s="282"/>
      <c r="J39" s="282"/>
      <c r="K39" s="282"/>
      <c r="L39" s="282"/>
      <c r="M39" s="282"/>
      <c r="N39" s="282"/>
      <c r="O39" s="282"/>
      <c r="P39" s="282"/>
      <c r="Q39" s="282"/>
      <c r="R39" s="282"/>
      <c r="S39" s="282"/>
      <c r="T39" s="321"/>
      <c r="U39" s="321"/>
      <c r="V39" s="321"/>
      <c r="W39" s="321"/>
      <c r="X39" s="321"/>
      <c r="Y39" s="321"/>
      <c r="Z39" s="321"/>
      <c r="AA39" s="321"/>
      <c r="AB39" s="321">
        <f>LINEST(AB37:AB38,AC37:AC38,TRUE)</f>
        <v>0.1041666666666667</v>
      </c>
      <c r="AC39" s="321"/>
      <c r="AD39" s="321"/>
      <c r="AE39" s="161"/>
      <c r="AF39" s="375"/>
    </row>
    <row r="40" spans="1:32" x14ac:dyDescent="0.3">
      <c r="A40" s="186" t="s">
        <v>69</v>
      </c>
      <c r="B40" s="186">
        <v>2</v>
      </c>
      <c r="C40" s="170">
        <f>VLOOKUP(A40,$A$93:$C$116,3,FALSE)</f>
        <v>1.4</v>
      </c>
      <c r="D40" s="318">
        <f t="shared" ref="D40:D48" si="2">B40*C40</f>
        <v>2.8</v>
      </c>
      <c r="E40" s="282"/>
      <c r="F40" s="8" t="s">
        <v>80</v>
      </c>
      <c r="G40" s="680">
        <v>170</v>
      </c>
      <c r="H40" s="681"/>
      <c r="I40" s="282"/>
      <c r="J40" s="282"/>
      <c r="K40" s="282"/>
      <c r="L40" s="282"/>
      <c r="M40" s="282"/>
      <c r="N40" s="282"/>
      <c r="O40" s="282"/>
      <c r="P40" s="282"/>
      <c r="Q40" s="282"/>
      <c r="R40" s="282"/>
      <c r="S40" s="282"/>
      <c r="T40" s="321"/>
      <c r="U40" s="321"/>
      <c r="V40" s="321"/>
      <c r="W40" s="321"/>
      <c r="X40" s="321"/>
      <c r="Y40" s="321"/>
      <c r="Z40" s="321"/>
      <c r="AA40" s="321"/>
      <c r="AB40" s="321">
        <v>-10</v>
      </c>
      <c r="AC40" s="321"/>
      <c r="AD40" s="321"/>
      <c r="AE40" s="161"/>
      <c r="AF40" s="375"/>
    </row>
    <row r="41" spans="1:32" ht="17.25" thickBot="1" x14ac:dyDescent="0.35">
      <c r="A41" s="186" t="s">
        <v>414</v>
      </c>
      <c r="B41" s="186">
        <v>8</v>
      </c>
      <c r="C41" s="170">
        <f t="shared" ref="C41:C43" si="3">VLOOKUP(A41,$A$93:$C$116,3,FALSE)</f>
        <v>1.2</v>
      </c>
      <c r="D41" s="318">
        <f t="shared" si="2"/>
        <v>9.6</v>
      </c>
      <c r="E41" s="282"/>
      <c r="F41" s="9" t="s">
        <v>82</v>
      </c>
      <c r="G41" s="10">
        <f>G40*4</f>
        <v>680</v>
      </c>
      <c r="H41" s="128">
        <f>G41/F50</f>
        <v>0.23279698733310511</v>
      </c>
      <c r="I41" s="282"/>
      <c r="J41" s="282"/>
      <c r="K41" s="282"/>
      <c r="L41" s="282"/>
      <c r="M41" s="282"/>
      <c r="N41" s="282"/>
      <c r="O41" s="282"/>
      <c r="P41" s="282"/>
      <c r="Q41" s="282"/>
      <c r="R41" s="282"/>
      <c r="S41" s="282"/>
      <c r="T41" s="321"/>
      <c r="U41" s="321"/>
      <c r="V41" s="332" t="s">
        <v>88</v>
      </c>
      <c r="W41" s="581" t="s">
        <v>89</v>
      </c>
      <c r="X41" s="581"/>
      <c r="Y41" s="581" t="s">
        <v>90</v>
      </c>
      <c r="Z41" s="581"/>
      <c r="AA41" s="321"/>
      <c r="AB41" s="321"/>
      <c r="AC41" s="321"/>
      <c r="AD41" s="321"/>
      <c r="AE41" s="161"/>
      <c r="AF41" s="375"/>
    </row>
    <row r="42" spans="1:32" x14ac:dyDescent="0.3">
      <c r="A42" s="186" t="s">
        <v>414</v>
      </c>
      <c r="B42" s="186">
        <v>0</v>
      </c>
      <c r="C42" s="170">
        <f t="shared" si="3"/>
        <v>1.2</v>
      </c>
      <c r="D42" s="318">
        <f t="shared" si="2"/>
        <v>0</v>
      </c>
      <c r="E42" s="282"/>
      <c r="F42" s="12" t="s">
        <v>12</v>
      </c>
      <c r="G42" s="682">
        <f>G43/9</f>
        <v>54.26666666666668</v>
      </c>
      <c r="H42" s="683"/>
      <c r="I42" s="282"/>
      <c r="J42" s="282"/>
      <c r="K42" s="282"/>
      <c r="L42" s="282"/>
      <c r="M42" s="282"/>
      <c r="N42" s="282"/>
      <c r="O42" s="282"/>
      <c r="P42" s="282"/>
      <c r="Q42" s="282"/>
      <c r="R42" s="282"/>
      <c r="S42" s="282"/>
      <c r="T42" s="321"/>
      <c r="U42" s="321"/>
      <c r="V42" s="321" t="s">
        <v>91</v>
      </c>
      <c r="W42" s="389">
        <f>F34*W43/4</f>
        <v>307.0089583333334</v>
      </c>
      <c r="X42" s="389">
        <f>W42*4</f>
        <v>1228.0358333333336</v>
      </c>
      <c r="Y42" s="389">
        <f>F34*Y43/4</f>
        <v>307.0089583333334</v>
      </c>
      <c r="Z42" s="389">
        <f>Y42*4</f>
        <v>1228.0358333333336</v>
      </c>
      <c r="AA42" s="321"/>
      <c r="AB42" s="321"/>
      <c r="AC42" s="321"/>
      <c r="AD42" s="321"/>
      <c r="AE42" s="161"/>
      <c r="AF42" s="375"/>
    </row>
    <row r="43" spans="1:32" ht="17.25" thickBot="1" x14ac:dyDescent="0.35">
      <c r="A43" s="186" t="s">
        <v>414</v>
      </c>
      <c r="B43" s="186">
        <v>0</v>
      </c>
      <c r="C43" s="170">
        <f t="shared" si="3"/>
        <v>1.2</v>
      </c>
      <c r="D43" s="318">
        <f t="shared" si="2"/>
        <v>0</v>
      </c>
      <c r="E43" s="282"/>
      <c r="F43" s="17" t="s">
        <v>85</v>
      </c>
      <c r="G43" s="183">
        <f>F50-G39-G41</f>
        <v>488.40000000000009</v>
      </c>
      <c r="H43" s="162">
        <f>G43/F50</f>
        <v>0.16720301266689494</v>
      </c>
      <c r="I43" s="282"/>
      <c r="J43" s="282"/>
      <c r="K43" s="282"/>
      <c r="L43" s="282"/>
      <c r="M43" s="282"/>
      <c r="N43" s="282"/>
      <c r="O43" s="282"/>
      <c r="P43" s="282"/>
      <c r="Q43" s="282"/>
      <c r="R43" s="282"/>
      <c r="S43" s="282"/>
      <c r="T43" s="321"/>
      <c r="U43" s="321"/>
      <c r="V43" s="321" t="s">
        <v>92</v>
      </c>
      <c r="W43" s="684">
        <v>0.6</v>
      </c>
      <c r="X43" s="684"/>
      <c r="Y43" s="684">
        <v>0.6</v>
      </c>
      <c r="Z43" s="684"/>
      <c r="AA43" s="321"/>
      <c r="AB43" s="321"/>
      <c r="AC43" s="321"/>
      <c r="AD43" s="321"/>
      <c r="AE43" s="161"/>
      <c r="AF43" s="375"/>
    </row>
    <row r="44" spans="1:32" x14ac:dyDescent="0.3">
      <c r="A44" s="186" t="s">
        <v>70</v>
      </c>
      <c r="B44" s="186"/>
      <c r="C44" s="170">
        <f>VLOOKUP(A44,$A$93:$C$116,3,FALSE)</f>
        <v>1.6</v>
      </c>
      <c r="D44" s="318">
        <f t="shared" si="2"/>
        <v>0</v>
      </c>
      <c r="E44" s="282"/>
      <c r="F44" s="282"/>
      <c r="G44" s="386"/>
      <c r="H44" s="387"/>
      <c r="I44" s="282"/>
      <c r="J44" s="282"/>
      <c r="K44" s="282"/>
      <c r="L44" s="282"/>
      <c r="M44" s="282"/>
      <c r="N44" s="282"/>
      <c r="O44" s="282"/>
      <c r="P44" s="282"/>
      <c r="Q44" s="282"/>
      <c r="R44" s="282"/>
      <c r="S44" s="282"/>
      <c r="T44" s="321"/>
      <c r="U44" s="321"/>
      <c r="V44" s="321" t="s">
        <v>93</v>
      </c>
      <c r="W44" s="349">
        <f>A7</f>
        <v>79.800000000000011</v>
      </c>
      <c r="X44" s="321">
        <f>W44*4</f>
        <v>319.20000000000005</v>
      </c>
      <c r="Y44" s="349">
        <f>C7</f>
        <v>109.72500000000001</v>
      </c>
      <c r="Z44" s="321">
        <f>Y44*4</f>
        <v>438.90000000000003</v>
      </c>
      <c r="AA44" s="321"/>
      <c r="AB44" s="321"/>
      <c r="AC44" s="321"/>
      <c r="AD44" s="321"/>
      <c r="AE44" s="161"/>
      <c r="AF44" s="375"/>
    </row>
    <row r="45" spans="1:32" x14ac:dyDescent="0.3">
      <c r="A45" s="186" t="s">
        <v>414</v>
      </c>
      <c r="B45" s="186"/>
      <c r="C45" s="170">
        <f>VLOOKUP(A45,$A$93:$C$116,3,FALSE)</f>
        <v>1.2</v>
      </c>
      <c r="D45" s="318">
        <f t="shared" si="2"/>
        <v>0</v>
      </c>
      <c r="E45" s="282"/>
      <c r="F45" s="282"/>
      <c r="G45" s="386"/>
      <c r="H45" s="387"/>
      <c r="I45" s="282"/>
      <c r="J45" s="282"/>
      <c r="K45" s="282"/>
      <c r="L45" s="282"/>
      <c r="M45" s="282"/>
      <c r="N45" s="282"/>
      <c r="O45" s="282"/>
      <c r="P45" s="282"/>
      <c r="Q45" s="282"/>
      <c r="R45" s="282"/>
      <c r="S45" s="282"/>
      <c r="T45" s="321"/>
      <c r="U45" s="321"/>
      <c r="V45" s="321" t="s">
        <v>82</v>
      </c>
      <c r="W45" s="588">
        <f>X44/F34</f>
        <v>0.15595636120824377</v>
      </c>
      <c r="X45" s="588"/>
      <c r="Y45" s="588">
        <f>Z44/F34</f>
        <v>0.21443999666133517</v>
      </c>
      <c r="Z45" s="588"/>
      <c r="AA45" s="321"/>
      <c r="AB45" s="321"/>
      <c r="AC45" s="321"/>
      <c r="AD45" s="321"/>
      <c r="AE45" s="161"/>
      <c r="AF45" s="375"/>
    </row>
    <row r="46" spans="1:32" x14ac:dyDescent="0.3">
      <c r="A46" s="186" t="s">
        <v>569</v>
      </c>
      <c r="B46" s="186"/>
      <c r="C46" s="170">
        <f>VLOOKUP(A46,$A$93:$C$116,3,FALSE)</f>
        <v>4.5</v>
      </c>
      <c r="D46" s="318">
        <f t="shared" si="2"/>
        <v>0</v>
      </c>
      <c r="E46" s="282"/>
      <c r="F46" s="282"/>
      <c r="G46" s="386"/>
      <c r="H46" s="387"/>
      <c r="I46" s="285"/>
      <c r="J46" s="285"/>
      <c r="K46" s="285"/>
      <c r="L46" s="285"/>
      <c r="M46" s="285"/>
      <c r="N46" s="285"/>
      <c r="O46" s="285"/>
      <c r="P46" s="285"/>
      <c r="Q46" s="285"/>
      <c r="R46" s="285"/>
      <c r="S46" s="285"/>
      <c r="T46" s="332"/>
      <c r="U46" s="332"/>
      <c r="V46" s="321" t="s">
        <v>12</v>
      </c>
      <c r="W46" s="389">
        <f>X46/9</f>
        <v>55.498950617283981</v>
      </c>
      <c r="X46" s="389">
        <f>F34-X42-X44</f>
        <v>499.49055555555583</v>
      </c>
      <c r="Y46" s="389">
        <f>Z46/9</f>
        <v>42.198950617283977</v>
      </c>
      <c r="Z46" s="389">
        <f>F34-Z44-Z42</f>
        <v>379.79055555555578</v>
      </c>
      <c r="AA46" s="321"/>
      <c r="AB46" s="321"/>
      <c r="AC46" s="321"/>
      <c r="AD46" s="321"/>
      <c r="AE46" s="161"/>
      <c r="AF46" s="375"/>
    </row>
    <row r="47" spans="1:32" ht="17.25" thickBot="1" x14ac:dyDescent="0.35">
      <c r="A47" s="186" t="s">
        <v>411</v>
      </c>
      <c r="B47" s="186">
        <v>4</v>
      </c>
      <c r="C47" s="170">
        <f>VLOOKUP(A47,$A$93:$C$116,3,FALSE)</f>
        <v>1.57</v>
      </c>
      <c r="D47" s="318">
        <f t="shared" si="2"/>
        <v>6.28</v>
      </c>
      <c r="E47" s="282"/>
      <c r="F47" s="388"/>
      <c r="G47" s="282"/>
      <c r="H47" s="282"/>
      <c r="I47" s="282"/>
      <c r="J47" s="282"/>
      <c r="K47" s="282"/>
      <c r="L47" s="282"/>
      <c r="M47" s="282"/>
      <c r="N47" s="282"/>
      <c r="O47" s="282"/>
      <c r="P47" s="282"/>
      <c r="Q47" s="282"/>
      <c r="R47" s="282"/>
      <c r="S47" s="282"/>
      <c r="T47" s="321"/>
      <c r="U47" s="321"/>
      <c r="V47" s="321" t="s">
        <v>98</v>
      </c>
      <c r="W47" s="588">
        <f>X46/F34</f>
        <v>0.24404363879175628</v>
      </c>
      <c r="X47" s="588"/>
      <c r="Y47" s="588">
        <f>Z46/F34</f>
        <v>0.18556000333866485</v>
      </c>
      <c r="Z47" s="588"/>
      <c r="AA47" s="321"/>
      <c r="AB47" s="321"/>
      <c r="AC47" s="321"/>
      <c r="AD47" s="321"/>
      <c r="AE47" s="161"/>
      <c r="AF47" s="375"/>
    </row>
    <row r="48" spans="1:32" ht="17.25" thickBot="1" x14ac:dyDescent="0.35">
      <c r="A48" s="187" t="s">
        <v>568</v>
      </c>
      <c r="B48" s="187">
        <v>2</v>
      </c>
      <c r="C48" s="170">
        <f>VLOOKUP(A48,$A$93:$C$116,3,FALSE)</f>
        <v>4</v>
      </c>
      <c r="D48" s="318">
        <f t="shared" si="2"/>
        <v>8</v>
      </c>
      <c r="E48" s="157" t="s">
        <v>74</v>
      </c>
      <c r="F48" s="181">
        <f>($B$3*(1-$D$3)*21.6)+370</f>
        <v>1180</v>
      </c>
      <c r="G48" s="282"/>
      <c r="H48" s="282"/>
      <c r="I48" s="282"/>
      <c r="J48" s="282"/>
      <c r="K48" s="282"/>
      <c r="L48" s="282"/>
      <c r="M48" s="282"/>
      <c r="N48" s="282"/>
      <c r="O48" s="282"/>
      <c r="P48" s="282"/>
      <c r="Q48" s="282"/>
      <c r="R48" s="282"/>
      <c r="S48" s="282"/>
      <c r="T48" s="321"/>
      <c r="U48" s="321"/>
      <c r="V48" s="321"/>
      <c r="W48" s="321"/>
      <c r="X48" s="321"/>
      <c r="Y48" s="321"/>
      <c r="Z48" s="321"/>
      <c r="AA48" s="321"/>
      <c r="AB48" s="321"/>
      <c r="AC48" s="321"/>
      <c r="AD48" s="321"/>
      <c r="AE48" s="161"/>
      <c r="AF48" s="375"/>
    </row>
    <row r="49" spans="1:32" ht="17.25" thickBot="1" x14ac:dyDescent="0.35">
      <c r="A49" s="158" t="s">
        <v>75</v>
      </c>
      <c r="B49" s="159">
        <f>SUM(B39:B48)</f>
        <v>24</v>
      </c>
      <c r="C49" s="271" t="s">
        <v>76</v>
      </c>
      <c r="D49" s="167">
        <f>SUM(D39:D48)/24</f>
        <v>1.4216666666666669</v>
      </c>
      <c r="E49" s="160" t="s">
        <v>77</v>
      </c>
      <c r="F49" s="182">
        <f>F48*D49</f>
        <v>1677.5666666666668</v>
      </c>
      <c r="G49" s="282"/>
      <c r="H49" s="282"/>
      <c r="I49" s="282"/>
      <c r="J49" s="282"/>
      <c r="K49" s="282"/>
      <c r="L49" s="282"/>
      <c r="M49" s="282"/>
      <c r="N49" s="282"/>
      <c r="O49" s="282"/>
      <c r="P49" s="282"/>
      <c r="Q49" s="282"/>
      <c r="R49" s="282"/>
      <c r="S49" s="282"/>
      <c r="T49" s="321"/>
      <c r="U49" s="321"/>
      <c r="V49" s="321" t="s">
        <v>88</v>
      </c>
      <c r="W49" s="581" t="s">
        <v>101</v>
      </c>
      <c r="X49" s="581"/>
      <c r="Y49" s="581" t="s">
        <v>102</v>
      </c>
      <c r="Z49" s="581"/>
      <c r="AA49" s="321"/>
      <c r="AB49" s="321"/>
      <c r="AC49" s="321"/>
      <c r="AD49" s="321"/>
      <c r="AE49" s="161"/>
      <c r="AF49" s="375"/>
    </row>
    <row r="50" spans="1:32" ht="17.25" thickBot="1" x14ac:dyDescent="0.35">
      <c r="A50" s="285"/>
      <c r="B50" s="282"/>
      <c r="C50" s="282"/>
      <c r="D50" s="282"/>
      <c r="E50" s="180" t="s">
        <v>425</v>
      </c>
      <c r="F50" s="204">
        <f>3621-700</f>
        <v>2921</v>
      </c>
      <c r="G50" s="282"/>
      <c r="H50" s="282"/>
      <c r="I50" s="282"/>
      <c r="J50" s="282"/>
      <c r="K50" s="282"/>
      <c r="L50" s="282"/>
      <c r="M50" s="282"/>
      <c r="N50" s="282"/>
      <c r="O50" s="282"/>
      <c r="P50" s="282"/>
      <c r="Q50" s="282"/>
      <c r="R50" s="282"/>
      <c r="S50" s="282"/>
      <c r="T50" s="321"/>
      <c r="U50" s="321"/>
      <c r="V50" s="321" t="s">
        <v>91</v>
      </c>
      <c r="W50" s="389">
        <f>F44*0.6/4</f>
        <v>0</v>
      </c>
      <c r="X50" s="389">
        <f>W50*4</f>
        <v>0</v>
      </c>
      <c r="Y50" s="321"/>
      <c r="Z50" s="321"/>
      <c r="AA50" s="321"/>
      <c r="AB50" s="321"/>
      <c r="AC50" s="321"/>
      <c r="AD50" s="321"/>
      <c r="AE50" s="161"/>
      <c r="AF50" s="375"/>
    </row>
    <row r="51" spans="1:32" ht="17.25" thickBot="1" x14ac:dyDescent="0.35">
      <c r="A51" s="282"/>
      <c r="B51" s="282"/>
      <c r="C51" s="282"/>
      <c r="D51" s="282"/>
      <c r="E51" s="282"/>
      <c r="F51" s="282"/>
      <c r="G51" s="282"/>
      <c r="H51" s="282"/>
      <c r="I51" s="282"/>
      <c r="J51" s="282"/>
      <c r="K51" s="282"/>
      <c r="L51" s="282"/>
      <c r="M51" s="282"/>
      <c r="N51" s="282"/>
      <c r="O51" s="282"/>
      <c r="P51" s="282"/>
      <c r="Q51" s="282"/>
      <c r="R51" s="282"/>
      <c r="S51" s="282"/>
      <c r="T51" s="321"/>
      <c r="U51" s="321"/>
      <c r="V51" s="321" t="s">
        <v>92</v>
      </c>
      <c r="W51" s="684">
        <v>0.5</v>
      </c>
      <c r="X51" s="684"/>
      <c r="Y51" s="581">
        <v>50</v>
      </c>
      <c r="Z51" s="581"/>
      <c r="AA51" s="321"/>
      <c r="AB51" s="321"/>
      <c r="AC51" s="321"/>
      <c r="AD51" s="321"/>
      <c r="AE51" s="161"/>
      <c r="AF51" s="375"/>
    </row>
    <row r="52" spans="1:32" ht="17.25" thickBot="1" x14ac:dyDescent="0.35">
      <c r="A52" s="675" t="s">
        <v>636</v>
      </c>
      <c r="B52" s="676"/>
      <c r="C52" s="677"/>
      <c r="D52" s="282"/>
      <c r="E52" s="282"/>
      <c r="F52" s="282"/>
      <c r="G52" s="2" t="s">
        <v>1</v>
      </c>
      <c r="H52" s="3" t="s">
        <v>2</v>
      </c>
      <c r="I52" s="282"/>
      <c r="J52" s="282"/>
      <c r="K52" s="282"/>
      <c r="L52" s="282"/>
      <c r="M52" s="282"/>
      <c r="N52" s="282"/>
      <c r="O52" s="282"/>
      <c r="P52" s="282"/>
      <c r="Q52" s="282"/>
      <c r="R52" s="282"/>
      <c r="S52" s="282"/>
      <c r="T52" s="321"/>
      <c r="U52" s="321"/>
      <c r="V52" s="321" t="s">
        <v>93</v>
      </c>
      <c r="W52" s="349" t="str">
        <f>V19</f>
        <v xml:space="preserve">3. (활동대사량) - (먹는양) 값을 입력한다. 즉, 하루에 감량에 사용하는 칼로리량 </v>
      </c>
      <c r="X52" s="321"/>
      <c r="Y52" s="349">
        <f>W19</f>
        <v>0</v>
      </c>
      <c r="Z52" s="321"/>
      <c r="AA52" s="321"/>
      <c r="AB52" s="321"/>
      <c r="AC52" s="321"/>
      <c r="AD52" s="321"/>
      <c r="AE52" s="161"/>
      <c r="AF52" s="375"/>
    </row>
    <row r="53" spans="1:32" x14ac:dyDescent="0.3">
      <c r="A53" s="168"/>
      <c r="B53" s="171" t="s">
        <v>64</v>
      </c>
      <c r="C53" s="169" t="s">
        <v>65</v>
      </c>
      <c r="D53" s="282"/>
      <c r="E53" s="282"/>
      <c r="F53" s="4" t="s">
        <v>4</v>
      </c>
      <c r="G53" s="678">
        <v>0.6</v>
      </c>
      <c r="H53" s="679"/>
      <c r="I53" s="285"/>
      <c r="J53" s="285"/>
      <c r="K53" s="285"/>
      <c r="L53" s="285"/>
      <c r="M53" s="285"/>
      <c r="N53" s="285"/>
      <c r="O53" s="285"/>
      <c r="P53" s="285"/>
      <c r="Q53" s="285"/>
      <c r="R53" s="285"/>
      <c r="S53" s="285"/>
      <c r="T53" s="332"/>
      <c r="U53" s="332"/>
      <c r="V53" s="321" t="s">
        <v>82</v>
      </c>
      <c r="W53" s="321"/>
      <c r="X53" s="321"/>
      <c r="Y53" s="321"/>
      <c r="Z53" s="321"/>
      <c r="AA53" s="321"/>
      <c r="AB53" s="321"/>
      <c r="AC53" s="321"/>
      <c r="AD53" s="321"/>
      <c r="AE53" s="161"/>
      <c r="AF53" s="375"/>
    </row>
    <row r="54" spans="1:32" ht="17.25" thickBot="1" x14ac:dyDescent="0.35">
      <c r="A54" s="186" t="s">
        <v>403</v>
      </c>
      <c r="B54" s="186">
        <v>8</v>
      </c>
      <c r="C54" s="170">
        <f>VLOOKUP(A54,$A$93:$C$116,3,FALSE)</f>
        <v>0.93</v>
      </c>
      <c r="D54" s="318">
        <f>B54*C54</f>
        <v>7.44</v>
      </c>
      <c r="E54" s="282"/>
      <c r="F54" s="5" t="s">
        <v>6</v>
      </c>
      <c r="G54" s="6">
        <f>F65*G53</f>
        <v>1752.6</v>
      </c>
      <c r="H54" s="101">
        <f>G54/4</f>
        <v>438.15</v>
      </c>
      <c r="I54" s="282"/>
      <c r="J54" s="282"/>
      <c r="K54" s="282"/>
      <c r="L54" s="282"/>
      <c r="M54" s="282"/>
      <c r="N54" s="282"/>
      <c r="O54" s="282"/>
      <c r="P54" s="282"/>
      <c r="Q54" s="282"/>
      <c r="R54" s="282"/>
      <c r="S54" s="282"/>
      <c r="T54" s="321"/>
      <c r="U54" s="321"/>
      <c r="V54" s="321" t="s">
        <v>12</v>
      </c>
      <c r="W54" s="321"/>
      <c r="X54" s="321"/>
      <c r="Y54" s="321"/>
      <c r="Z54" s="321"/>
      <c r="AA54" s="321"/>
      <c r="AB54" s="321"/>
      <c r="AC54" s="321"/>
      <c r="AD54" s="321"/>
      <c r="AE54" s="161"/>
      <c r="AF54" s="375"/>
    </row>
    <row r="55" spans="1:32" x14ac:dyDescent="0.3">
      <c r="A55" s="186" t="s">
        <v>69</v>
      </c>
      <c r="B55" s="186">
        <v>2</v>
      </c>
      <c r="C55" s="170">
        <f>VLOOKUP(A55,$A$93:$C$116,3,FALSE)</f>
        <v>1.4</v>
      </c>
      <c r="D55" s="318">
        <f t="shared" ref="D55:D63" si="4">B55*C55</f>
        <v>2.8</v>
      </c>
      <c r="E55" s="282"/>
      <c r="F55" s="8" t="s">
        <v>80</v>
      </c>
      <c r="G55" s="680">
        <v>170</v>
      </c>
      <c r="H55" s="681"/>
      <c r="I55" s="282"/>
      <c r="J55" s="282"/>
      <c r="K55" s="282"/>
      <c r="L55" s="282"/>
      <c r="M55" s="282"/>
      <c r="N55" s="282"/>
      <c r="O55" s="282"/>
      <c r="P55" s="282"/>
      <c r="Q55" s="282"/>
      <c r="R55" s="282"/>
      <c r="S55" s="282"/>
      <c r="T55" s="321"/>
      <c r="U55" s="321"/>
      <c r="V55" s="321" t="s">
        <v>98</v>
      </c>
      <c r="W55" s="321"/>
      <c r="X55" s="321"/>
      <c r="Y55" s="321"/>
      <c r="Z55" s="321"/>
      <c r="AA55" s="321"/>
      <c r="AB55" s="321"/>
      <c r="AC55" s="321"/>
      <c r="AD55" s="321"/>
      <c r="AE55" s="161"/>
      <c r="AF55" s="375"/>
    </row>
    <row r="56" spans="1:32" ht="17.25" thickBot="1" x14ac:dyDescent="0.35">
      <c r="A56" s="186" t="s">
        <v>414</v>
      </c>
      <c r="B56" s="186">
        <v>0</v>
      </c>
      <c r="C56" s="170">
        <f t="shared" ref="C56:C58" si="5">VLOOKUP(A56,$A$93:$C$116,3,FALSE)</f>
        <v>1.2</v>
      </c>
      <c r="D56" s="318">
        <f t="shared" si="4"/>
        <v>0</v>
      </c>
      <c r="E56" s="282"/>
      <c r="F56" s="9" t="s">
        <v>82</v>
      </c>
      <c r="G56" s="10">
        <f>G55*4</f>
        <v>680</v>
      </c>
      <c r="H56" s="128">
        <f>G56/F65</f>
        <v>0.23279698733310511</v>
      </c>
      <c r="I56" s="282"/>
      <c r="J56" s="282"/>
      <c r="K56" s="282"/>
      <c r="L56" s="282"/>
      <c r="M56" s="282"/>
      <c r="N56" s="282"/>
      <c r="O56" s="282"/>
      <c r="P56" s="282"/>
      <c r="Q56" s="282"/>
      <c r="R56" s="282"/>
      <c r="S56" s="282"/>
      <c r="T56" s="321"/>
      <c r="U56" s="321"/>
      <c r="V56" s="321"/>
      <c r="W56" s="321"/>
      <c r="X56" s="321"/>
      <c r="Y56" s="321"/>
      <c r="Z56" s="321"/>
      <c r="AA56" s="321"/>
      <c r="AB56" s="321"/>
      <c r="AC56" s="321"/>
      <c r="AD56" s="321"/>
      <c r="AE56" s="161"/>
      <c r="AF56" s="375"/>
    </row>
    <row r="57" spans="1:32" x14ac:dyDescent="0.3">
      <c r="A57" s="186" t="s">
        <v>403</v>
      </c>
      <c r="B57" s="186">
        <v>0</v>
      </c>
      <c r="C57" s="170">
        <f t="shared" si="5"/>
        <v>0.93</v>
      </c>
      <c r="D57" s="318">
        <f t="shared" si="4"/>
        <v>0</v>
      </c>
      <c r="E57" s="282"/>
      <c r="F57" s="12" t="s">
        <v>12</v>
      </c>
      <c r="G57" s="682">
        <f>G58/9</f>
        <v>54.26666666666668</v>
      </c>
      <c r="H57" s="683"/>
      <c r="I57" s="282"/>
      <c r="J57" s="282"/>
      <c r="K57" s="282"/>
      <c r="L57" s="282"/>
      <c r="M57" s="282"/>
      <c r="N57" s="282"/>
      <c r="O57" s="282"/>
      <c r="P57" s="282"/>
      <c r="Q57" s="282"/>
      <c r="R57" s="282"/>
      <c r="S57" s="282"/>
      <c r="T57" s="321"/>
      <c r="U57" s="321"/>
      <c r="V57" s="321"/>
      <c r="W57" s="321"/>
      <c r="X57" s="321"/>
      <c r="Y57" s="321"/>
      <c r="Z57" s="321"/>
      <c r="AA57" s="321"/>
      <c r="AB57" s="321"/>
      <c r="AC57" s="321"/>
      <c r="AD57" s="321"/>
      <c r="AE57" s="161"/>
      <c r="AF57" s="375"/>
    </row>
    <row r="58" spans="1:32" ht="17.25" thickBot="1" x14ac:dyDescent="0.35">
      <c r="A58" s="186" t="s">
        <v>403</v>
      </c>
      <c r="B58" s="186">
        <v>0</v>
      </c>
      <c r="C58" s="170">
        <f t="shared" si="5"/>
        <v>0.93</v>
      </c>
      <c r="D58" s="318">
        <f t="shared" si="4"/>
        <v>0</v>
      </c>
      <c r="F58" s="17" t="s">
        <v>85</v>
      </c>
      <c r="G58" s="183">
        <f>F65-G54-G56</f>
        <v>488.40000000000009</v>
      </c>
      <c r="H58" s="162">
        <f>G58/F65</f>
        <v>0.16720301266689494</v>
      </c>
      <c r="I58" s="282"/>
      <c r="J58" s="282"/>
      <c r="K58" s="282"/>
      <c r="L58" s="282"/>
      <c r="M58" s="282"/>
      <c r="N58" s="282"/>
      <c r="O58" s="282"/>
      <c r="P58" s="282"/>
      <c r="Q58" s="282"/>
      <c r="R58" s="282"/>
      <c r="S58" s="282"/>
      <c r="T58" s="321"/>
      <c r="U58" s="321"/>
      <c r="V58" s="321"/>
      <c r="W58" s="321"/>
      <c r="X58" s="321"/>
      <c r="Y58" s="321"/>
      <c r="Z58" s="321"/>
      <c r="AA58" s="321"/>
      <c r="AB58" s="321"/>
      <c r="AC58" s="321"/>
      <c r="AD58" s="321"/>
      <c r="AE58" s="161"/>
      <c r="AF58" s="375"/>
    </row>
    <row r="59" spans="1:32" x14ac:dyDescent="0.3">
      <c r="A59" s="186" t="s">
        <v>618</v>
      </c>
      <c r="B59" s="186">
        <v>5</v>
      </c>
      <c r="C59" s="170">
        <f>VLOOKUP(A59,$A$93:$C$116,3,FALSE)</f>
        <v>1.3</v>
      </c>
      <c r="D59" s="318">
        <f t="shared" si="4"/>
        <v>6.5</v>
      </c>
      <c r="E59" s="282"/>
      <c r="F59" s="282"/>
      <c r="G59" s="386"/>
      <c r="H59" s="387"/>
      <c r="I59" s="282"/>
      <c r="J59" s="282"/>
      <c r="K59" s="282"/>
      <c r="L59" s="282"/>
      <c r="M59" s="282"/>
      <c r="N59" s="282"/>
      <c r="O59" s="282"/>
      <c r="P59" s="282"/>
      <c r="Q59" s="282"/>
      <c r="R59" s="282"/>
      <c r="S59" s="282"/>
      <c r="T59" s="321"/>
      <c r="U59" s="321"/>
      <c r="V59" s="321"/>
      <c r="W59" s="321"/>
      <c r="X59" s="321"/>
      <c r="Y59" s="321"/>
      <c r="Z59" s="321"/>
      <c r="AA59" s="321"/>
      <c r="AB59" s="321"/>
      <c r="AC59" s="321"/>
      <c r="AD59" s="321"/>
      <c r="AE59" s="161"/>
      <c r="AF59" s="375"/>
    </row>
    <row r="60" spans="1:32" x14ac:dyDescent="0.3">
      <c r="A60" s="186" t="s">
        <v>414</v>
      </c>
      <c r="B60" s="186">
        <v>4</v>
      </c>
      <c r="C60" s="170">
        <f>VLOOKUP(A60,$A$93:$C$116,3,FALSE)</f>
        <v>1.2</v>
      </c>
      <c r="D60" s="318">
        <f t="shared" si="4"/>
        <v>4.8</v>
      </c>
      <c r="E60" s="282"/>
      <c r="F60" s="282"/>
      <c r="G60" s="386"/>
      <c r="H60" s="387"/>
      <c r="I60" s="282"/>
      <c r="J60" s="282"/>
      <c r="K60" s="282"/>
      <c r="L60" s="282"/>
      <c r="M60" s="282"/>
      <c r="N60" s="282"/>
      <c r="O60" s="282"/>
      <c r="P60" s="282"/>
      <c r="Q60" s="282"/>
      <c r="R60" s="282"/>
      <c r="S60" s="282"/>
      <c r="T60" s="321"/>
      <c r="U60" s="321"/>
      <c r="V60" s="321"/>
      <c r="W60" s="321"/>
      <c r="X60" s="321"/>
      <c r="Y60" s="321"/>
      <c r="Z60" s="321"/>
      <c r="AA60" s="321"/>
      <c r="AB60" s="321"/>
      <c r="AC60" s="321"/>
      <c r="AD60" s="321"/>
      <c r="AE60" s="161"/>
      <c r="AF60" s="375"/>
    </row>
    <row r="61" spans="1:32" x14ac:dyDescent="0.3">
      <c r="A61" s="186" t="s">
        <v>569</v>
      </c>
      <c r="B61" s="186">
        <v>1</v>
      </c>
      <c r="C61" s="170">
        <f>VLOOKUP(A61,$A$93:$C$116,3,FALSE)</f>
        <v>4.5</v>
      </c>
      <c r="D61" s="318">
        <f t="shared" si="4"/>
        <v>4.5</v>
      </c>
      <c r="E61" s="282"/>
      <c r="F61" s="282"/>
      <c r="G61" s="386"/>
      <c r="H61" s="387"/>
      <c r="I61" s="282"/>
      <c r="J61" s="282"/>
      <c r="K61" s="282"/>
      <c r="L61" s="282"/>
      <c r="M61" s="282"/>
      <c r="N61" s="282"/>
      <c r="O61" s="282"/>
      <c r="P61" s="282"/>
      <c r="Q61" s="282"/>
      <c r="R61" s="282"/>
      <c r="S61" s="282"/>
      <c r="T61" s="321"/>
      <c r="U61" s="321"/>
      <c r="V61" s="321"/>
      <c r="W61" s="321"/>
      <c r="X61" s="321"/>
      <c r="Y61" s="321"/>
      <c r="Z61" s="321"/>
      <c r="AA61" s="321"/>
      <c r="AB61" s="321"/>
      <c r="AC61" s="321"/>
      <c r="AD61" s="321"/>
      <c r="AE61" s="161"/>
      <c r="AF61" s="375"/>
    </row>
    <row r="62" spans="1:32" ht="17.25" thickBot="1" x14ac:dyDescent="0.35">
      <c r="A62" s="186" t="s">
        <v>411</v>
      </c>
      <c r="B62" s="186">
        <v>1</v>
      </c>
      <c r="C62" s="170">
        <f>VLOOKUP(A62,$A$93:$C$116,3,FALSE)</f>
        <v>1.57</v>
      </c>
      <c r="D62" s="318">
        <f t="shared" si="4"/>
        <v>1.57</v>
      </c>
      <c r="E62" s="282"/>
      <c r="F62" s="388"/>
      <c r="G62" s="282"/>
      <c r="H62" s="282"/>
      <c r="I62" s="282"/>
      <c r="J62" s="282"/>
      <c r="K62" s="282"/>
      <c r="L62" s="282"/>
      <c r="M62" s="282"/>
      <c r="N62" s="282"/>
      <c r="O62" s="282"/>
      <c r="P62" s="282"/>
      <c r="Q62" s="282"/>
      <c r="R62" s="282"/>
      <c r="S62" s="282"/>
      <c r="T62" s="321"/>
      <c r="U62" s="321"/>
      <c r="V62" s="321"/>
      <c r="W62" s="321"/>
      <c r="X62" s="321"/>
      <c r="Y62" s="321"/>
      <c r="Z62" s="321"/>
      <c r="AA62" s="321"/>
      <c r="AB62" s="321"/>
      <c r="AC62" s="321"/>
      <c r="AD62" s="321"/>
      <c r="AE62" s="161"/>
      <c r="AF62" s="375"/>
    </row>
    <row r="63" spans="1:32" ht="17.25" thickBot="1" x14ac:dyDescent="0.35">
      <c r="A63" s="187" t="s">
        <v>568</v>
      </c>
      <c r="B63" s="187">
        <v>3</v>
      </c>
      <c r="C63" s="170">
        <f>VLOOKUP(A63,$A$93:$C$116,3,FALSE)</f>
        <v>4</v>
      </c>
      <c r="D63" s="318">
        <f t="shared" si="4"/>
        <v>12</v>
      </c>
      <c r="E63" s="157" t="s">
        <v>74</v>
      </c>
      <c r="F63" s="181">
        <f>($B$3*(1-$D$3)*21.6)+370</f>
        <v>1180</v>
      </c>
      <c r="G63" s="282"/>
      <c r="H63" s="282"/>
      <c r="I63" s="282"/>
      <c r="J63" s="282"/>
      <c r="K63" s="282"/>
      <c r="L63" s="282"/>
      <c r="M63" s="282"/>
      <c r="N63" s="282"/>
      <c r="O63" s="282"/>
      <c r="P63" s="282"/>
      <c r="Q63" s="282"/>
      <c r="R63" s="282"/>
      <c r="S63" s="282"/>
      <c r="T63" s="321"/>
      <c r="U63" s="321"/>
      <c r="V63" s="321"/>
      <c r="W63" s="321"/>
      <c r="X63" s="321"/>
      <c r="Y63" s="321"/>
      <c r="Z63" s="321"/>
      <c r="AA63" s="321"/>
      <c r="AB63" s="321"/>
      <c r="AC63" s="321"/>
      <c r="AD63" s="321"/>
      <c r="AE63" s="161"/>
      <c r="AF63" s="375"/>
    </row>
    <row r="64" spans="1:32" ht="17.25" thickBot="1" x14ac:dyDescent="0.35">
      <c r="A64" s="158" t="s">
        <v>75</v>
      </c>
      <c r="B64" s="159">
        <f>SUM(B54:B63)</f>
        <v>24</v>
      </c>
      <c r="C64" s="271" t="s">
        <v>76</v>
      </c>
      <c r="D64" s="167">
        <f>SUM(D54:D63)/24</f>
        <v>1.6504166666666666</v>
      </c>
      <c r="E64" s="160" t="s">
        <v>77</v>
      </c>
      <c r="F64" s="182">
        <f>F63*D64</f>
        <v>1947.4916666666666</v>
      </c>
      <c r="G64" s="282"/>
      <c r="H64" s="282"/>
      <c r="I64" s="282"/>
      <c r="J64" s="282"/>
      <c r="K64" s="282"/>
      <c r="L64" s="282"/>
      <c r="M64" s="282"/>
      <c r="N64" s="282"/>
      <c r="O64" s="282"/>
      <c r="P64" s="282"/>
      <c r="Q64" s="282"/>
      <c r="R64" s="282"/>
      <c r="S64" s="282"/>
      <c r="T64" s="321"/>
      <c r="U64" s="321"/>
      <c r="V64" s="321"/>
      <c r="W64" s="321"/>
      <c r="X64" s="321"/>
      <c r="Y64" s="321"/>
      <c r="Z64" s="321"/>
      <c r="AA64" s="321"/>
      <c r="AB64" s="321"/>
      <c r="AC64" s="321"/>
      <c r="AD64" s="321"/>
      <c r="AE64" s="161"/>
      <c r="AF64" s="375"/>
    </row>
    <row r="65" spans="1:32" ht="17.25" thickBot="1" x14ac:dyDescent="0.35">
      <c r="A65" s="285"/>
      <c r="B65" s="282"/>
      <c r="C65" s="282"/>
      <c r="D65" s="282"/>
      <c r="E65" s="180" t="s">
        <v>425</v>
      </c>
      <c r="F65" s="204">
        <f>3621-700</f>
        <v>2921</v>
      </c>
      <c r="G65" s="282"/>
      <c r="H65" s="282"/>
      <c r="I65" s="282"/>
      <c r="J65" s="282"/>
      <c r="K65" s="282"/>
      <c r="L65" s="282"/>
      <c r="M65" s="282"/>
      <c r="N65" s="282"/>
      <c r="O65" s="282"/>
      <c r="P65" s="282"/>
      <c r="Q65" s="282"/>
      <c r="R65" s="282"/>
      <c r="S65" s="282"/>
      <c r="T65" s="321"/>
      <c r="U65" s="321"/>
      <c r="V65" s="321"/>
      <c r="W65" s="321"/>
      <c r="X65" s="321"/>
      <c r="Y65" s="321"/>
      <c r="Z65" s="321"/>
      <c r="AA65" s="321"/>
      <c r="AB65" s="321"/>
      <c r="AC65" s="321"/>
      <c r="AD65" s="321"/>
      <c r="AE65" s="161"/>
      <c r="AF65" s="375"/>
    </row>
    <row r="66" spans="1:32" x14ac:dyDescent="0.3">
      <c r="A66" s="321"/>
      <c r="B66" s="321"/>
      <c r="C66" s="321"/>
      <c r="D66" s="321"/>
      <c r="E66" s="321"/>
      <c r="F66" s="321"/>
      <c r="G66" s="321"/>
      <c r="H66" s="321"/>
      <c r="I66" s="282"/>
      <c r="J66" s="282"/>
      <c r="K66" s="282"/>
      <c r="L66" s="282"/>
      <c r="M66" s="282"/>
      <c r="N66" s="282"/>
      <c r="O66" s="282"/>
      <c r="P66" s="282"/>
      <c r="Q66" s="282"/>
      <c r="R66" s="282"/>
      <c r="S66" s="282"/>
      <c r="T66" s="321"/>
      <c r="U66" s="321"/>
      <c r="V66" s="321"/>
      <c r="W66" s="321"/>
      <c r="X66" s="321"/>
      <c r="Y66" s="321"/>
      <c r="Z66" s="321"/>
      <c r="AA66" s="321"/>
      <c r="AB66" s="321"/>
      <c r="AC66" s="321"/>
      <c r="AD66" s="374"/>
      <c r="AE66" s="375"/>
      <c r="AF66" s="375"/>
    </row>
    <row r="67" spans="1:32" x14ac:dyDescent="0.3">
      <c r="A67" s="321"/>
      <c r="B67" s="321"/>
      <c r="C67" s="321"/>
      <c r="D67" s="321"/>
      <c r="E67" s="321"/>
      <c r="F67" s="321"/>
      <c r="G67" s="321"/>
      <c r="H67" s="321"/>
      <c r="I67" s="282"/>
      <c r="J67" s="282"/>
      <c r="K67" s="282"/>
      <c r="L67" s="282"/>
      <c r="M67" s="282"/>
      <c r="N67" s="282"/>
      <c r="O67" s="282"/>
      <c r="P67" s="282"/>
      <c r="Q67" s="282"/>
      <c r="R67" s="282"/>
      <c r="S67" s="282"/>
      <c r="T67" s="321"/>
      <c r="U67" s="321"/>
      <c r="V67" s="321"/>
      <c r="W67" s="321"/>
      <c r="X67" s="321"/>
      <c r="Y67" s="321"/>
      <c r="Z67" s="321"/>
      <c r="AA67" s="321"/>
      <c r="AB67" s="321"/>
      <c r="AC67" s="321"/>
      <c r="AD67" s="374"/>
      <c r="AE67" s="375"/>
      <c r="AF67" s="375"/>
    </row>
    <row r="68" spans="1:32" x14ac:dyDescent="0.3">
      <c r="A68" s="321"/>
      <c r="B68" s="321"/>
      <c r="C68" s="321"/>
      <c r="D68" s="321"/>
      <c r="E68" s="321"/>
      <c r="F68" s="321"/>
      <c r="G68" s="321"/>
      <c r="H68" s="321"/>
      <c r="I68" s="282"/>
      <c r="J68" s="282"/>
      <c r="K68" s="282"/>
      <c r="L68" s="282"/>
      <c r="M68" s="282"/>
      <c r="N68" s="282"/>
      <c r="O68" s="282"/>
      <c r="P68" s="282"/>
      <c r="Q68" s="282"/>
      <c r="R68" s="282"/>
      <c r="S68" s="282"/>
      <c r="T68" s="321"/>
      <c r="U68" s="321"/>
      <c r="V68" s="321"/>
      <c r="W68" s="321"/>
      <c r="X68" s="321"/>
      <c r="Y68" s="321"/>
      <c r="Z68" s="321"/>
      <c r="AA68" s="321"/>
      <c r="AB68" s="321"/>
      <c r="AC68" s="321"/>
      <c r="AD68" s="374"/>
      <c r="AE68" s="375"/>
      <c r="AF68" s="375"/>
    </row>
    <row r="69" spans="1:32" x14ac:dyDescent="0.3">
      <c r="A69" s="315"/>
      <c r="B69" s="315"/>
      <c r="C69" s="315"/>
      <c r="D69" s="315"/>
      <c r="E69" s="315"/>
      <c r="F69" s="321"/>
      <c r="G69" s="321"/>
      <c r="H69" s="321"/>
      <c r="I69" s="282"/>
      <c r="J69" s="282"/>
      <c r="K69" s="282"/>
      <c r="L69" s="282"/>
      <c r="M69" s="282"/>
      <c r="N69" s="282"/>
      <c r="O69" s="282"/>
      <c r="P69" s="282"/>
      <c r="Q69" s="282"/>
      <c r="R69" s="282"/>
      <c r="S69" s="282"/>
      <c r="T69" s="321"/>
      <c r="U69" s="321"/>
      <c r="V69" s="321"/>
      <c r="W69" s="321"/>
      <c r="X69" s="321"/>
      <c r="Y69" s="321"/>
      <c r="Z69" s="321"/>
      <c r="AA69" s="321"/>
      <c r="AB69" s="321"/>
      <c r="AC69" s="321"/>
      <c r="AD69" s="374"/>
      <c r="AE69" s="375"/>
      <c r="AF69" s="375"/>
    </row>
    <row r="70" spans="1:32" x14ac:dyDescent="0.3">
      <c r="A70" s="315"/>
      <c r="B70" s="315"/>
      <c r="C70" s="315"/>
      <c r="D70" s="315"/>
      <c r="E70" s="315"/>
      <c r="F70" s="321"/>
      <c r="G70" s="321"/>
      <c r="H70" s="321"/>
      <c r="I70" s="282"/>
      <c r="J70" s="282"/>
      <c r="K70" s="282"/>
      <c r="L70" s="282"/>
      <c r="M70" s="282"/>
      <c r="N70" s="282"/>
      <c r="O70" s="282"/>
      <c r="P70" s="282"/>
      <c r="Q70" s="282"/>
      <c r="R70" s="282"/>
      <c r="S70" s="282"/>
      <c r="T70" s="321"/>
      <c r="U70" s="321"/>
      <c r="V70" s="321"/>
      <c r="W70" s="321"/>
      <c r="X70" s="321"/>
      <c r="Y70" s="321"/>
      <c r="Z70" s="321"/>
      <c r="AA70" s="321"/>
      <c r="AB70" s="321"/>
      <c r="AC70" s="321"/>
      <c r="AD70" s="374"/>
      <c r="AE70" s="375"/>
      <c r="AF70" s="375"/>
    </row>
    <row r="71" spans="1:32" x14ac:dyDescent="0.3">
      <c r="A71" s="315"/>
      <c r="B71" s="315"/>
      <c r="C71" s="315"/>
      <c r="D71" s="315"/>
      <c r="E71" s="315"/>
      <c r="F71" s="321"/>
      <c r="G71" s="321"/>
      <c r="H71" s="321"/>
      <c r="I71" s="282"/>
      <c r="J71" s="282"/>
      <c r="K71" s="282"/>
      <c r="L71" s="282"/>
      <c r="M71" s="282"/>
      <c r="N71" s="282"/>
      <c r="O71" s="282"/>
      <c r="P71" s="282"/>
      <c r="Q71" s="282"/>
      <c r="R71" s="282"/>
      <c r="S71" s="282"/>
      <c r="T71" s="321"/>
      <c r="U71" s="321"/>
      <c r="V71" s="321"/>
      <c r="W71" s="321"/>
      <c r="X71" s="321"/>
      <c r="Y71" s="321"/>
      <c r="Z71" s="321"/>
      <c r="AA71" s="321"/>
      <c r="AB71" s="321"/>
      <c r="AC71" s="321"/>
      <c r="AD71" s="374"/>
      <c r="AE71" s="375"/>
      <c r="AF71" s="375"/>
    </row>
    <row r="72" spans="1:32" x14ac:dyDescent="0.3">
      <c r="A72" s="315"/>
      <c r="B72" s="315"/>
      <c r="C72" s="315"/>
      <c r="D72" s="315"/>
      <c r="E72" s="315"/>
      <c r="F72" s="321"/>
      <c r="G72" s="321"/>
      <c r="H72" s="321"/>
      <c r="I72" s="282"/>
      <c r="J72" s="282"/>
      <c r="K72" s="282"/>
      <c r="L72" s="282"/>
      <c r="M72" s="282"/>
      <c r="N72" s="282"/>
      <c r="O72" s="282"/>
      <c r="P72" s="282"/>
      <c r="Q72" s="282"/>
      <c r="R72" s="282"/>
      <c r="S72" s="282"/>
      <c r="T72" s="321"/>
      <c r="U72" s="321"/>
      <c r="V72" s="321"/>
      <c r="W72" s="321"/>
      <c r="X72" s="321"/>
      <c r="Y72" s="321"/>
      <c r="Z72" s="321"/>
      <c r="AA72" s="321"/>
      <c r="AB72" s="321"/>
      <c r="AC72" s="321"/>
      <c r="AD72" s="374"/>
      <c r="AE72" s="375"/>
      <c r="AF72" s="375"/>
    </row>
    <row r="73" spans="1:32" x14ac:dyDescent="0.3">
      <c r="A73" s="315"/>
      <c r="B73" s="315"/>
      <c r="C73" s="315"/>
      <c r="D73" s="315"/>
      <c r="E73" s="315"/>
      <c r="F73" s="321"/>
      <c r="G73" s="321"/>
      <c r="H73" s="321"/>
      <c r="I73" s="282"/>
      <c r="J73" s="282"/>
      <c r="K73" s="282"/>
      <c r="L73" s="282"/>
      <c r="M73" s="282"/>
      <c r="N73" s="282"/>
      <c r="O73" s="282"/>
      <c r="P73" s="282"/>
      <c r="Q73" s="282"/>
      <c r="R73" s="282"/>
      <c r="S73" s="282"/>
      <c r="T73" s="321"/>
      <c r="U73" s="321"/>
      <c r="V73" s="321"/>
      <c r="W73" s="321"/>
      <c r="X73" s="321"/>
      <c r="Y73" s="321"/>
      <c r="Z73" s="321"/>
      <c r="AA73" s="321"/>
      <c r="AB73" s="321"/>
      <c r="AC73" s="321"/>
      <c r="AD73" s="374"/>
      <c r="AE73" s="375"/>
      <c r="AF73" s="375"/>
    </row>
    <row r="74" spans="1:32" x14ac:dyDescent="0.3">
      <c r="A74" s="315"/>
      <c r="B74" s="315"/>
      <c r="C74" s="315"/>
      <c r="D74" s="315"/>
      <c r="E74" s="315"/>
      <c r="F74" s="321"/>
      <c r="G74" s="321"/>
      <c r="H74" s="321"/>
      <c r="I74" s="282"/>
      <c r="J74" s="282"/>
      <c r="K74" s="282"/>
      <c r="L74" s="282"/>
      <c r="M74" s="282"/>
      <c r="N74" s="282"/>
      <c r="O74" s="282"/>
      <c r="P74" s="282"/>
      <c r="Q74" s="282"/>
      <c r="R74" s="282"/>
      <c r="S74" s="282"/>
      <c r="T74" s="321"/>
      <c r="U74" s="321"/>
      <c r="V74" s="321"/>
      <c r="W74" s="321"/>
      <c r="X74" s="321"/>
      <c r="Y74" s="321"/>
      <c r="Z74" s="321"/>
      <c r="AA74" s="321"/>
      <c r="AB74" s="321"/>
      <c r="AC74" s="321"/>
      <c r="AD74" s="374"/>
      <c r="AE74" s="375"/>
      <c r="AF74" s="375"/>
    </row>
    <row r="75" spans="1:32" x14ac:dyDescent="0.3">
      <c r="A75" s="315"/>
      <c r="B75" s="315"/>
      <c r="C75" s="315"/>
      <c r="D75" s="315"/>
      <c r="E75" s="315"/>
      <c r="F75" s="321"/>
      <c r="G75" s="321"/>
      <c r="H75" s="321"/>
      <c r="I75" s="282"/>
      <c r="J75" s="282"/>
      <c r="K75" s="282"/>
      <c r="L75" s="282"/>
      <c r="M75" s="282"/>
      <c r="N75" s="282"/>
      <c r="O75" s="282"/>
      <c r="P75" s="282"/>
      <c r="Q75" s="282"/>
      <c r="R75" s="282"/>
      <c r="S75" s="282"/>
      <c r="T75" s="321"/>
      <c r="U75" s="321"/>
      <c r="V75" s="321"/>
      <c r="W75" s="321"/>
      <c r="X75" s="321"/>
      <c r="Y75" s="321"/>
      <c r="Z75" s="321"/>
      <c r="AA75" s="321"/>
      <c r="AB75" s="321"/>
      <c r="AC75" s="321"/>
      <c r="AD75" s="374"/>
      <c r="AE75" s="375"/>
      <c r="AF75" s="375"/>
    </row>
    <row r="76" spans="1:32" x14ac:dyDescent="0.3">
      <c r="A76" s="315"/>
      <c r="B76" s="315"/>
      <c r="C76" s="315"/>
      <c r="D76" s="315"/>
      <c r="E76" s="315"/>
      <c r="F76" s="321"/>
      <c r="G76" s="321"/>
      <c r="H76" s="321"/>
      <c r="I76" s="315"/>
      <c r="J76" s="315"/>
      <c r="K76" s="315"/>
      <c r="L76" s="282"/>
      <c r="M76" s="282"/>
      <c r="N76" s="282"/>
      <c r="O76" s="282"/>
      <c r="P76" s="282"/>
      <c r="Q76" s="282"/>
      <c r="R76" s="282"/>
      <c r="S76" s="282"/>
      <c r="T76" s="321"/>
      <c r="U76" s="321"/>
      <c r="V76" s="321"/>
      <c r="W76" s="321"/>
      <c r="X76" s="321"/>
      <c r="Y76" s="321"/>
      <c r="Z76" s="321"/>
      <c r="AA76" s="321"/>
      <c r="AB76" s="321"/>
      <c r="AC76" s="321"/>
      <c r="AD76" s="374"/>
      <c r="AE76" s="375"/>
      <c r="AF76" s="375"/>
    </row>
    <row r="77" spans="1:32" x14ac:dyDescent="0.3">
      <c r="A77" s="315"/>
      <c r="B77" s="315"/>
      <c r="C77" s="315"/>
      <c r="D77" s="315"/>
      <c r="E77" s="315"/>
      <c r="F77" s="321"/>
      <c r="G77" s="321"/>
      <c r="H77" s="321"/>
      <c r="I77" s="315"/>
      <c r="J77" s="315"/>
      <c r="K77" s="315"/>
      <c r="L77" s="282"/>
      <c r="M77" s="282"/>
      <c r="N77" s="282"/>
      <c r="O77" s="282"/>
      <c r="P77" s="282"/>
      <c r="Q77" s="282"/>
      <c r="R77" s="282"/>
      <c r="S77" s="282"/>
      <c r="T77" s="321"/>
      <c r="U77" s="321"/>
      <c r="V77" s="321"/>
      <c r="W77" s="321"/>
      <c r="X77" s="321"/>
      <c r="Y77" s="321"/>
      <c r="Z77" s="321"/>
      <c r="AA77" s="321"/>
      <c r="AB77" s="321"/>
      <c r="AC77" s="321"/>
      <c r="AD77" s="374"/>
      <c r="AE77" s="375"/>
      <c r="AF77" s="375"/>
    </row>
    <row r="78" spans="1:32" x14ac:dyDescent="0.3">
      <c r="A78" s="438"/>
      <c r="B78" s="315"/>
      <c r="C78" s="315"/>
      <c r="D78" s="315"/>
      <c r="E78" s="315"/>
      <c r="F78" s="321"/>
      <c r="G78" s="321"/>
      <c r="H78" s="321"/>
      <c r="I78" s="315"/>
      <c r="J78" s="315"/>
      <c r="K78" s="315"/>
      <c r="L78" s="282"/>
      <c r="M78" s="282"/>
      <c r="N78" s="282"/>
      <c r="O78" s="282"/>
      <c r="P78" s="282"/>
      <c r="Q78" s="282"/>
      <c r="R78" s="282"/>
      <c r="S78" s="282"/>
      <c r="T78" s="321"/>
      <c r="U78" s="321"/>
      <c r="V78" s="321"/>
      <c r="W78" s="321"/>
      <c r="X78" s="321"/>
      <c r="Y78" s="321"/>
      <c r="Z78" s="321"/>
      <c r="AA78" s="321"/>
      <c r="AB78" s="321"/>
      <c r="AC78" s="321"/>
      <c r="AD78" s="374"/>
      <c r="AE78" s="375"/>
      <c r="AF78" s="375"/>
    </row>
    <row r="79" spans="1:32" x14ac:dyDescent="0.3">
      <c r="A79" s="438"/>
      <c r="B79" s="315"/>
      <c r="C79" s="315"/>
      <c r="D79" s="315"/>
      <c r="E79" s="315"/>
      <c r="F79" s="321"/>
      <c r="G79" s="321"/>
      <c r="H79" s="321"/>
      <c r="I79" s="315"/>
      <c r="J79" s="315"/>
      <c r="K79" s="315"/>
      <c r="L79" s="282"/>
      <c r="M79" s="282"/>
      <c r="N79" s="282"/>
      <c r="O79" s="282"/>
      <c r="P79" s="282"/>
      <c r="Q79" s="282"/>
      <c r="R79" s="282"/>
      <c r="S79" s="282"/>
      <c r="T79" s="321"/>
      <c r="U79" s="321"/>
      <c r="V79" s="321"/>
      <c r="W79" s="321"/>
      <c r="X79" s="321"/>
      <c r="Y79" s="321"/>
      <c r="Z79" s="321"/>
      <c r="AA79" s="321"/>
      <c r="AB79" s="321"/>
      <c r="AC79" s="321"/>
      <c r="AD79" s="374"/>
      <c r="AE79" s="375"/>
      <c r="AF79" s="375"/>
    </row>
    <row r="80" spans="1:32" x14ac:dyDescent="0.3">
      <c r="A80" s="315"/>
      <c r="B80" s="315"/>
      <c r="C80" s="315"/>
      <c r="D80" s="315"/>
      <c r="E80" s="315"/>
      <c r="F80" s="321"/>
      <c r="G80" s="321"/>
      <c r="H80" s="321"/>
      <c r="I80" s="315"/>
      <c r="J80" s="315"/>
      <c r="K80" s="315"/>
      <c r="L80" s="282"/>
      <c r="M80" s="282"/>
      <c r="N80" s="282"/>
      <c r="O80" s="282"/>
      <c r="P80" s="282"/>
      <c r="Q80" s="282"/>
      <c r="R80" s="282"/>
      <c r="S80" s="282"/>
      <c r="T80" s="321"/>
      <c r="U80" s="321"/>
      <c r="V80" s="321"/>
      <c r="W80" s="321"/>
      <c r="X80" s="321"/>
      <c r="Y80" s="321"/>
      <c r="Z80" s="321"/>
      <c r="AA80" s="321"/>
      <c r="AB80" s="321"/>
      <c r="AC80" s="321"/>
      <c r="AD80" s="374"/>
      <c r="AE80" s="375"/>
      <c r="AF80" s="375"/>
    </row>
    <row r="81" spans="1:32" x14ac:dyDescent="0.3">
      <c r="A81" s="315"/>
      <c r="B81" s="315"/>
      <c r="C81" s="315"/>
      <c r="D81" s="315"/>
      <c r="E81" s="315"/>
      <c r="F81" s="321"/>
      <c r="G81" s="321"/>
      <c r="H81" s="321"/>
      <c r="I81" s="315"/>
      <c r="J81" s="315"/>
      <c r="K81" s="315"/>
      <c r="L81" s="282"/>
      <c r="M81" s="282"/>
      <c r="N81" s="282"/>
      <c r="O81" s="282"/>
      <c r="P81" s="282"/>
      <c r="Q81" s="282"/>
      <c r="R81" s="282"/>
      <c r="S81" s="282"/>
      <c r="T81" s="321"/>
      <c r="U81" s="321"/>
      <c r="V81" s="321"/>
      <c r="W81" s="321"/>
      <c r="X81" s="321"/>
      <c r="Y81" s="321"/>
      <c r="Z81" s="321"/>
      <c r="AA81" s="321"/>
      <c r="AB81" s="321"/>
      <c r="AC81" s="321"/>
      <c r="AD81" s="374"/>
      <c r="AE81" s="375"/>
      <c r="AF81" s="375"/>
    </row>
    <row r="82" spans="1:32" x14ac:dyDescent="0.3">
      <c r="A82" s="315"/>
      <c r="B82" s="315"/>
      <c r="C82" s="315"/>
      <c r="D82" s="315"/>
      <c r="E82" s="315"/>
      <c r="F82" s="321"/>
      <c r="G82" s="321"/>
      <c r="H82" s="321"/>
      <c r="I82" s="315"/>
      <c r="J82" s="315"/>
      <c r="K82" s="315"/>
      <c r="L82" s="282"/>
      <c r="M82" s="282"/>
      <c r="N82" s="282"/>
      <c r="O82" s="282"/>
      <c r="P82" s="282"/>
      <c r="Q82" s="282"/>
      <c r="R82" s="282"/>
      <c r="S82" s="282"/>
      <c r="T82" s="321"/>
      <c r="U82" s="321"/>
      <c r="V82" s="321"/>
      <c r="W82" s="321"/>
      <c r="X82" s="321"/>
      <c r="Y82" s="321"/>
      <c r="Z82" s="321"/>
      <c r="AA82" s="321"/>
      <c r="AB82" s="321"/>
      <c r="AC82" s="321"/>
      <c r="AD82" s="374"/>
      <c r="AE82" s="375"/>
      <c r="AF82" s="375"/>
    </row>
    <row r="83" spans="1:32" x14ac:dyDescent="0.3">
      <c r="A83" s="315"/>
      <c r="B83" s="315"/>
      <c r="C83" s="315"/>
      <c r="D83" s="315"/>
      <c r="E83" s="315"/>
      <c r="F83" s="321"/>
      <c r="G83" s="321"/>
      <c r="H83" s="321"/>
      <c r="I83" s="315"/>
      <c r="J83" s="315"/>
      <c r="K83" s="315"/>
      <c r="L83" s="282"/>
      <c r="M83" s="282"/>
      <c r="N83" s="282"/>
      <c r="O83" s="282"/>
      <c r="P83" s="282"/>
      <c r="Q83" s="282"/>
      <c r="R83" s="282"/>
      <c r="S83" s="282"/>
      <c r="T83" s="321"/>
      <c r="U83" s="321"/>
      <c r="V83" s="321"/>
      <c r="W83" s="321"/>
      <c r="X83" s="321"/>
      <c r="Y83" s="321"/>
      <c r="Z83" s="321"/>
      <c r="AA83" s="321"/>
      <c r="AB83" s="321"/>
      <c r="AC83" s="321"/>
      <c r="AD83" s="374"/>
      <c r="AE83" s="375"/>
      <c r="AF83" s="375"/>
    </row>
    <row r="84" spans="1:32" x14ac:dyDescent="0.3">
      <c r="A84" s="315"/>
      <c r="B84" s="315"/>
      <c r="C84" s="315"/>
      <c r="D84" s="315"/>
      <c r="E84" s="315"/>
      <c r="F84" s="321"/>
      <c r="G84" s="321"/>
      <c r="H84" s="321"/>
      <c r="I84" s="315"/>
      <c r="J84" s="315"/>
      <c r="K84" s="315"/>
      <c r="L84" s="282"/>
      <c r="M84" s="282"/>
      <c r="N84" s="282"/>
      <c r="O84" s="282"/>
      <c r="P84" s="282"/>
      <c r="Q84" s="282"/>
      <c r="R84" s="282"/>
      <c r="S84" s="282"/>
      <c r="T84" s="321"/>
      <c r="U84" s="321"/>
      <c r="V84" s="321"/>
      <c r="W84" s="321"/>
      <c r="X84" s="321"/>
      <c r="Y84" s="321"/>
      <c r="Z84" s="321"/>
      <c r="AA84" s="321"/>
      <c r="AB84" s="321"/>
      <c r="AC84" s="321"/>
      <c r="AD84" s="374"/>
      <c r="AE84" s="375"/>
      <c r="AF84" s="375"/>
    </row>
    <row r="85" spans="1:32" x14ac:dyDescent="0.3">
      <c r="A85" s="315"/>
      <c r="B85" s="315"/>
      <c r="C85" s="315"/>
      <c r="D85" s="315"/>
      <c r="E85" s="315"/>
      <c r="F85" s="321"/>
      <c r="G85" s="321"/>
      <c r="H85" s="321"/>
      <c r="I85" s="315"/>
      <c r="J85" s="315"/>
      <c r="K85" s="315"/>
      <c r="L85" s="282"/>
      <c r="M85" s="282"/>
      <c r="N85" s="282"/>
      <c r="O85" s="282"/>
      <c r="P85" s="282"/>
      <c r="Q85" s="282"/>
      <c r="R85" s="282"/>
      <c r="S85" s="282"/>
      <c r="T85" s="321"/>
      <c r="U85" s="321"/>
      <c r="V85" s="321"/>
      <c r="W85" s="321"/>
      <c r="X85" s="321"/>
      <c r="Y85" s="321"/>
      <c r="Z85" s="321"/>
      <c r="AA85" s="321"/>
      <c r="AB85" s="321"/>
      <c r="AC85" s="321"/>
      <c r="AD85" s="374"/>
      <c r="AE85" s="375"/>
      <c r="AF85" s="375"/>
    </row>
    <row r="86" spans="1:32" x14ac:dyDescent="0.3">
      <c r="A86" s="315"/>
      <c r="B86" s="315"/>
      <c r="C86" s="315"/>
      <c r="D86" s="315"/>
      <c r="E86" s="315"/>
      <c r="F86" s="321"/>
      <c r="G86" s="321"/>
      <c r="H86" s="321"/>
      <c r="I86" s="315"/>
      <c r="J86" s="315"/>
      <c r="K86" s="315"/>
      <c r="L86" s="282"/>
      <c r="M86" s="282"/>
      <c r="N86" s="282"/>
      <c r="O86" s="282"/>
      <c r="P86" s="282"/>
      <c r="Q86" s="282"/>
      <c r="R86" s="282"/>
      <c r="S86" s="282"/>
      <c r="T86" s="321"/>
      <c r="U86" s="321"/>
      <c r="V86" s="321"/>
      <c r="W86" s="321"/>
      <c r="X86" s="321"/>
      <c r="Y86" s="321"/>
      <c r="Z86" s="321"/>
      <c r="AA86" s="321"/>
      <c r="AB86" s="321"/>
      <c r="AC86" s="321"/>
      <c r="AD86" s="374"/>
      <c r="AE86" s="375"/>
      <c r="AF86" s="375"/>
    </row>
    <row r="87" spans="1:32" x14ac:dyDescent="0.3">
      <c r="A87" s="315"/>
      <c r="B87" s="315"/>
      <c r="C87" s="315"/>
      <c r="D87" s="315"/>
      <c r="E87" s="315"/>
      <c r="F87" s="321"/>
      <c r="G87" s="321"/>
      <c r="H87" s="321"/>
      <c r="I87" s="315"/>
      <c r="J87" s="315"/>
      <c r="K87" s="315"/>
      <c r="L87" s="282"/>
      <c r="M87" s="282"/>
      <c r="N87" s="282"/>
      <c r="O87" s="282"/>
      <c r="P87" s="282"/>
      <c r="Q87" s="282"/>
      <c r="R87" s="282"/>
      <c r="S87" s="282"/>
      <c r="T87" s="321"/>
      <c r="U87" s="321"/>
      <c r="V87" s="321"/>
      <c r="W87" s="321"/>
      <c r="X87" s="321"/>
      <c r="Y87" s="321"/>
      <c r="Z87" s="321"/>
      <c r="AA87" s="321"/>
      <c r="AB87" s="321"/>
      <c r="AC87" s="321"/>
      <c r="AD87" s="282"/>
    </row>
    <row r="88" spans="1:32" x14ac:dyDescent="0.3">
      <c r="A88" s="315"/>
      <c r="B88" s="315"/>
      <c r="C88" s="315"/>
      <c r="D88" s="315"/>
      <c r="E88" s="315"/>
      <c r="F88" s="321"/>
      <c r="G88" s="321"/>
      <c r="H88" s="321"/>
      <c r="I88" s="315"/>
      <c r="J88" s="315"/>
      <c r="K88" s="315"/>
      <c r="L88" s="282"/>
      <c r="M88" s="282"/>
      <c r="N88" s="282"/>
      <c r="O88" s="282"/>
      <c r="P88" s="282"/>
      <c r="Q88" s="282"/>
      <c r="R88" s="282"/>
      <c r="S88" s="282"/>
      <c r="T88" s="321"/>
      <c r="U88" s="321"/>
      <c r="V88" s="321"/>
      <c r="W88" s="321"/>
      <c r="X88" s="321"/>
      <c r="Y88" s="321"/>
      <c r="Z88" s="321"/>
      <c r="AA88" s="321"/>
      <c r="AB88" s="321"/>
      <c r="AC88" s="321"/>
      <c r="AD88" s="282"/>
    </row>
    <row r="89" spans="1:32" x14ac:dyDescent="0.3">
      <c r="A89" s="321"/>
      <c r="B89" s="321"/>
      <c r="C89" s="321"/>
      <c r="D89" s="321"/>
      <c r="E89" s="321"/>
      <c r="F89" s="321"/>
      <c r="G89" s="321"/>
      <c r="H89" s="321"/>
      <c r="I89" s="315"/>
      <c r="J89" s="315"/>
      <c r="K89" s="315"/>
      <c r="L89" s="282"/>
      <c r="M89" s="282"/>
      <c r="N89" s="282"/>
      <c r="O89" s="282"/>
      <c r="P89" s="282"/>
      <c r="Q89" s="282"/>
      <c r="R89" s="282"/>
      <c r="S89" s="282"/>
      <c r="T89" s="321"/>
      <c r="U89" s="321"/>
      <c r="V89" s="321"/>
      <c r="W89" s="321"/>
      <c r="X89" s="321"/>
      <c r="Y89" s="321"/>
      <c r="Z89" s="321"/>
      <c r="AA89" s="321"/>
      <c r="AB89" s="321"/>
      <c r="AC89" s="321"/>
      <c r="AD89" s="282"/>
    </row>
    <row r="90" spans="1:32" x14ac:dyDescent="0.3">
      <c r="A90" s="321"/>
      <c r="B90" s="321"/>
      <c r="C90" s="321"/>
      <c r="D90" s="321"/>
      <c r="E90" s="321"/>
      <c r="F90" s="321"/>
      <c r="G90" s="321"/>
      <c r="H90" s="321"/>
      <c r="I90" s="315"/>
      <c r="J90" s="315"/>
      <c r="K90" s="315"/>
      <c r="L90" s="282"/>
      <c r="M90" s="282"/>
      <c r="N90" s="282"/>
      <c r="O90" s="282"/>
      <c r="P90" s="282"/>
      <c r="Q90" s="282"/>
      <c r="R90" s="282"/>
      <c r="S90" s="282"/>
      <c r="T90" s="321"/>
      <c r="U90" s="321"/>
      <c r="V90" s="321"/>
      <c r="W90" s="321"/>
      <c r="X90" s="321"/>
      <c r="Y90" s="321"/>
      <c r="Z90" s="321"/>
      <c r="AA90" s="321"/>
      <c r="AB90" s="321"/>
      <c r="AC90" s="321"/>
      <c r="AD90" s="282"/>
    </row>
    <row r="91" spans="1:32" x14ac:dyDescent="0.3">
      <c r="A91" s="321"/>
      <c r="B91" s="321"/>
      <c r="C91" s="431" t="s">
        <v>94</v>
      </c>
      <c r="D91" s="431"/>
      <c r="E91" s="431"/>
      <c r="F91" s="431"/>
      <c r="G91" s="321"/>
      <c r="H91" s="321"/>
      <c r="I91" s="315"/>
      <c r="J91" s="315"/>
      <c r="K91" s="315"/>
      <c r="L91" s="282"/>
      <c r="M91" s="282"/>
      <c r="N91" s="282"/>
      <c r="O91" s="282"/>
      <c r="P91" s="282"/>
      <c r="Q91" s="282"/>
      <c r="R91" s="282"/>
      <c r="S91" s="282"/>
      <c r="T91" s="321"/>
      <c r="U91" s="321"/>
      <c r="V91" s="321"/>
      <c r="W91" s="321"/>
      <c r="X91" s="321"/>
      <c r="Y91" s="321"/>
      <c r="Z91" s="321"/>
      <c r="AA91" s="321"/>
      <c r="AB91" s="321"/>
      <c r="AC91" s="321"/>
      <c r="AD91" s="282"/>
    </row>
    <row r="92" spans="1:32" x14ac:dyDescent="0.3">
      <c r="A92" s="321"/>
      <c r="B92" s="321"/>
      <c r="C92" s="321" t="s">
        <v>95</v>
      </c>
      <c r="D92" s="321"/>
      <c r="E92" s="321"/>
      <c r="F92" s="321"/>
      <c r="G92" s="321"/>
      <c r="H92" s="321"/>
      <c r="I92" s="315"/>
      <c r="J92" s="315"/>
      <c r="K92" s="315"/>
      <c r="L92" s="282"/>
      <c r="M92" s="282"/>
      <c r="N92" s="282"/>
      <c r="O92" s="282"/>
      <c r="P92" s="282"/>
      <c r="Q92" s="282"/>
      <c r="R92" s="282"/>
      <c r="S92" s="282"/>
      <c r="T92" s="321"/>
      <c r="U92" s="321"/>
      <c r="V92" s="321"/>
      <c r="W92" s="321"/>
      <c r="X92" s="321"/>
      <c r="Y92" s="321"/>
      <c r="Z92" s="321"/>
      <c r="AA92" s="321"/>
      <c r="AB92" s="321"/>
      <c r="AC92" s="321"/>
      <c r="AD92" s="282"/>
    </row>
    <row r="93" spans="1:32" x14ac:dyDescent="0.3">
      <c r="A93" s="321" t="s">
        <v>109</v>
      </c>
      <c r="B93" s="321"/>
      <c r="C93" s="321">
        <v>0.93</v>
      </c>
      <c r="D93" s="321"/>
      <c r="E93" s="321"/>
      <c r="F93" s="321"/>
      <c r="G93" s="321"/>
      <c r="H93" s="321"/>
      <c r="I93" s="315"/>
      <c r="J93" s="315"/>
      <c r="K93" s="315"/>
      <c r="L93" s="282"/>
      <c r="M93" s="282"/>
      <c r="N93" s="282"/>
      <c r="O93" s="282"/>
      <c r="P93" s="282"/>
      <c r="Q93" s="282"/>
      <c r="R93" s="282"/>
      <c r="S93" s="282"/>
      <c r="T93" s="321"/>
      <c r="U93" s="321"/>
      <c r="V93" s="321"/>
      <c r="W93" s="321"/>
      <c r="X93" s="321"/>
      <c r="Y93" s="321"/>
      <c r="Z93" s="321"/>
      <c r="AA93" s="321"/>
      <c r="AB93" s="321"/>
      <c r="AC93" s="321"/>
      <c r="AD93" s="282"/>
    </row>
    <row r="94" spans="1:32" x14ac:dyDescent="0.3">
      <c r="A94" s="321" t="s">
        <v>119</v>
      </c>
      <c r="B94" s="321"/>
      <c r="C94" s="321">
        <v>1.2</v>
      </c>
      <c r="D94" s="321"/>
      <c r="E94" s="321"/>
      <c r="F94" s="321"/>
      <c r="G94" s="321"/>
      <c r="H94" s="321"/>
      <c r="I94" s="315"/>
      <c r="J94" s="315"/>
      <c r="K94" s="315"/>
      <c r="L94" s="282"/>
      <c r="M94" s="282"/>
      <c r="N94" s="282"/>
      <c r="O94" s="282"/>
      <c r="P94" s="282"/>
      <c r="Q94" s="282"/>
      <c r="R94" s="282"/>
      <c r="S94" s="282"/>
      <c r="T94" s="321"/>
      <c r="U94" s="321"/>
      <c r="V94" s="321"/>
      <c r="W94" s="321"/>
      <c r="X94" s="321"/>
      <c r="Y94" s="321"/>
      <c r="Z94" s="321"/>
      <c r="AA94" s="321"/>
      <c r="AB94" s="321"/>
      <c r="AC94" s="321"/>
      <c r="AD94" s="282"/>
    </row>
    <row r="95" spans="1:32" x14ac:dyDescent="0.3">
      <c r="A95" s="331" t="s">
        <v>115</v>
      </c>
      <c r="B95" s="321"/>
      <c r="C95" s="321">
        <v>1.3</v>
      </c>
      <c r="D95" s="321"/>
      <c r="E95" s="321"/>
      <c r="F95" s="321"/>
      <c r="G95" s="321"/>
      <c r="H95" s="321"/>
      <c r="I95" s="315"/>
      <c r="J95" s="315"/>
      <c r="K95" s="315"/>
      <c r="L95" s="282"/>
      <c r="M95" s="282"/>
      <c r="N95" s="282"/>
      <c r="O95" s="282"/>
      <c r="P95" s="282"/>
      <c r="Q95" s="282"/>
      <c r="R95" s="282"/>
      <c r="S95" s="282"/>
      <c r="T95" s="321"/>
      <c r="U95" s="321"/>
      <c r="V95" s="321"/>
      <c r="W95" s="321"/>
      <c r="X95" s="321"/>
      <c r="Y95" s="321"/>
      <c r="Z95" s="321"/>
      <c r="AA95" s="321"/>
      <c r="AB95" s="321"/>
      <c r="AC95" s="321"/>
      <c r="AD95" s="282"/>
    </row>
    <row r="96" spans="1:32" x14ac:dyDescent="0.3">
      <c r="A96" s="321" t="s">
        <v>412</v>
      </c>
      <c r="B96" s="321"/>
      <c r="C96" s="321">
        <v>1.57</v>
      </c>
      <c r="D96" s="321"/>
      <c r="E96" s="321"/>
      <c r="F96" s="321"/>
      <c r="G96" s="321"/>
      <c r="H96" s="321"/>
      <c r="I96" s="315"/>
      <c r="J96" s="315"/>
      <c r="K96" s="315"/>
      <c r="L96" s="282"/>
      <c r="M96" s="282"/>
      <c r="N96" s="282"/>
      <c r="O96" s="282"/>
      <c r="P96" s="282"/>
      <c r="Q96" s="282"/>
      <c r="R96" s="282"/>
      <c r="S96" s="282"/>
      <c r="T96" s="321"/>
      <c r="U96" s="321"/>
      <c r="V96" s="321"/>
      <c r="W96" s="321"/>
      <c r="X96" s="321"/>
      <c r="Y96" s="321"/>
      <c r="Z96" s="321"/>
      <c r="AA96" s="321"/>
      <c r="AB96" s="321"/>
      <c r="AC96" s="321"/>
      <c r="AD96" s="282"/>
    </row>
    <row r="97" spans="1:30" x14ac:dyDescent="0.3">
      <c r="A97" s="321" t="s">
        <v>114</v>
      </c>
      <c r="B97" s="321"/>
      <c r="C97" s="321">
        <v>1.6</v>
      </c>
      <c r="D97" s="321"/>
      <c r="E97" s="321"/>
      <c r="F97" s="321"/>
      <c r="G97" s="321"/>
      <c r="H97" s="321"/>
      <c r="I97" s="315"/>
      <c r="J97" s="315"/>
      <c r="K97" s="315"/>
      <c r="L97" s="282"/>
      <c r="M97" s="282"/>
      <c r="N97" s="282"/>
      <c r="O97" s="282"/>
      <c r="P97" s="282"/>
      <c r="Q97" s="282"/>
      <c r="R97" s="282"/>
      <c r="S97" s="282"/>
      <c r="T97" s="321"/>
      <c r="U97" s="321"/>
      <c r="V97" s="321"/>
      <c r="W97" s="321"/>
      <c r="X97" s="321"/>
      <c r="Y97" s="321"/>
      <c r="Z97" s="321"/>
      <c r="AA97" s="321"/>
      <c r="AB97" s="321"/>
      <c r="AC97" s="321"/>
      <c r="AD97" s="282"/>
    </row>
    <row r="98" spans="1:30" x14ac:dyDescent="0.3">
      <c r="A98" s="321" t="s">
        <v>409</v>
      </c>
      <c r="B98" s="321"/>
      <c r="C98" s="321">
        <v>1.72</v>
      </c>
      <c r="D98" s="321"/>
      <c r="E98" s="321"/>
      <c r="F98" s="321"/>
      <c r="G98" s="321"/>
      <c r="H98" s="321"/>
      <c r="I98" s="315"/>
      <c r="J98" s="315"/>
      <c r="K98" s="315"/>
      <c r="L98" s="282"/>
      <c r="M98" s="282"/>
      <c r="N98" s="282"/>
      <c r="O98" s="282"/>
      <c r="P98" s="282"/>
      <c r="Q98" s="282"/>
      <c r="R98" s="282"/>
      <c r="S98" s="282"/>
      <c r="T98" s="321"/>
      <c r="U98" s="321"/>
      <c r="V98" s="321"/>
      <c r="W98" s="321"/>
      <c r="X98" s="321"/>
      <c r="Y98" s="321"/>
      <c r="Z98" s="321"/>
      <c r="AA98" s="321"/>
      <c r="AB98" s="321"/>
      <c r="AC98" s="321"/>
      <c r="AD98" s="282"/>
    </row>
    <row r="99" spans="1:30" x14ac:dyDescent="0.3">
      <c r="A99" s="321" t="s">
        <v>410</v>
      </c>
      <c r="B99" s="321"/>
      <c r="C99" s="321">
        <v>2</v>
      </c>
      <c r="D99" s="321"/>
      <c r="E99" s="321"/>
      <c r="F99" s="321"/>
      <c r="G99" s="321"/>
      <c r="H99" s="321"/>
      <c r="I99" s="315"/>
      <c r="J99" s="315"/>
      <c r="K99" s="315"/>
      <c r="L99" s="282"/>
      <c r="M99" s="282"/>
      <c r="N99" s="282"/>
      <c r="O99" s="282"/>
      <c r="P99" s="282"/>
      <c r="Q99" s="282"/>
      <c r="R99" s="282"/>
      <c r="S99" s="282"/>
      <c r="T99" s="321"/>
      <c r="U99" s="321"/>
      <c r="V99" s="321"/>
      <c r="W99" s="321"/>
      <c r="X99" s="321"/>
      <c r="Y99" s="321"/>
      <c r="Z99" s="321"/>
      <c r="AA99" s="321"/>
      <c r="AB99" s="321"/>
      <c r="AC99" s="321"/>
      <c r="AD99" s="282"/>
    </row>
    <row r="100" spans="1:30" x14ac:dyDescent="0.3">
      <c r="A100" s="321" t="s">
        <v>110</v>
      </c>
      <c r="B100" s="321"/>
      <c r="C100" s="321">
        <v>1.4</v>
      </c>
      <c r="D100" s="321"/>
      <c r="E100" s="321"/>
      <c r="F100" s="321"/>
      <c r="G100" s="321"/>
      <c r="H100" s="321"/>
      <c r="I100" s="315"/>
      <c r="J100" s="315"/>
      <c r="K100" s="315"/>
      <c r="L100" s="282"/>
      <c r="M100" s="282"/>
      <c r="N100" s="282"/>
      <c r="O100" s="282"/>
      <c r="P100" s="282"/>
      <c r="Q100" s="282"/>
      <c r="R100" s="282"/>
      <c r="S100" s="282"/>
      <c r="T100" s="321"/>
      <c r="U100" s="321"/>
      <c r="V100" s="321"/>
      <c r="W100" s="321"/>
      <c r="X100" s="321"/>
      <c r="Y100" s="321"/>
      <c r="Z100" s="321"/>
      <c r="AA100" s="321"/>
      <c r="AB100" s="321"/>
      <c r="AC100" s="321"/>
      <c r="AD100" s="282"/>
    </row>
    <row r="101" spans="1:30" x14ac:dyDescent="0.3">
      <c r="A101" s="321" t="s">
        <v>122</v>
      </c>
      <c r="B101" s="321"/>
      <c r="C101" s="321">
        <v>2.5</v>
      </c>
      <c r="D101" s="321"/>
      <c r="E101" s="321"/>
      <c r="F101" s="321"/>
      <c r="G101" s="321"/>
      <c r="H101" s="321"/>
      <c r="I101" s="315"/>
      <c r="J101" s="315"/>
      <c r="K101" s="315"/>
      <c r="L101" s="282"/>
      <c r="M101" s="282"/>
      <c r="N101" s="282"/>
      <c r="O101" s="282"/>
      <c r="P101" s="282"/>
      <c r="Q101" s="282"/>
      <c r="R101" s="282"/>
      <c r="S101" s="282"/>
      <c r="T101" s="321"/>
      <c r="U101" s="321"/>
      <c r="V101" s="321"/>
      <c r="W101" s="321"/>
      <c r="X101" s="321"/>
      <c r="Y101" s="321"/>
      <c r="Z101" s="321"/>
      <c r="AA101" s="321"/>
      <c r="AB101" s="321"/>
      <c r="AC101" s="321"/>
      <c r="AD101" s="282"/>
    </row>
    <row r="102" spans="1:30" x14ac:dyDescent="0.3">
      <c r="A102" s="321" t="s">
        <v>118</v>
      </c>
      <c r="B102" s="321"/>
      <c r="C102" s="321">
        <v>2.7</v>
      </c>
      <c r="D102" s="321"/>
      <c r="E102" s="321"/>
      <c r="F102" s="321"/>
      <c r="G102" s="321"/>
      <c r="H102" s="321"/>
      <c r="I102" s="315"/>
      <c r="J102" s="315"/>
      <c r="K102" s="315"/>
      <c r="L102" s="282"/>
      <c r="M102" s="282"/>
      <c r="N102" s="282"/>
      <c r="O102" s="282"/>
      <c r="P102" s="282"/>
      <c r="Q102" s="282"/>
      <c r="R102" s="282"/>
      <c r="S102" s="282"/>
      <c r="T102" s="321"/>
      <c r="U102" s="321"/>
      <c r="V102" s="321"/>
      <c r="W102" s="321"/>
      <c r="X102" s="321"/>
      <c r="Y102" s="321"/>
      <c r="Z102" s="321"/>
      <c r="AA102" s="321"/>
      <c r="AB102" s="321"/>
      <c r="AC102" s="321"/>
      <c r="AD102" s="282"/>
    </row>
    <row r="103" spans="1:30" x14ac:dyDescent="0.3">
      <c r="A103" s="321" t="s">
        <v>120</v>
      </c>
      <c r="B103" s="321"/>
      <c r="C103" s="321">
        <v>2.8</v>
      </c>
      <c r="D103" s="321"/>
      <c r="E103" s="321"/>
      <c r="F103" s="321"/>
      <c r="G103" s="321"/>
      <c r="H103" s="321"/>
      <c r="I103" s="315"/>
      <c r="J103" s="315"/>
      <c r="K103" s="315"/>
      <c r="L103" s="282"/>
      <c r="M103" s="282"/>
      <c r="N103" s="282"/>
      <c r="O103" s="282"/>
      <c r="P103" s="282"/>
      <c r="Q103" s="282"/>
      <c r="R103" s="282"/>
      <c r="S103" s="282"/>
      <c r="T103" s="321"/>
      <c r="U103" s="321"/>
      <c r="V103" s="321"/>
      <c r="W103" s="321"/>
      <c r="X103" s="321"/>
      <c r="Y103" s="321"/>
      <c r="Z103" s="321"/>
      <c r="AA103" s="321"/>
      <c r="AB103" s="321"/>
      <c r="AC103" s="321"/>
      <c r="AD103" s="282"/>
    </row>
    <row r="104" spans="1:30" x14ac:dyDescent="0.3">
      <c r="A104" s="321" t="s">
        <v>117</v>
      </c>
      <c r="B104" s="321"/>
      <c r="C104" s="321">
        <v>3.1</v>
      </c>
      <c r="D104" s="321"/>
      <c r="E104" s="321"/>
      <c r="F104" s="321"/>
      <c r="G104" s="321"/>
      <c r="H104" s="321"/>
      <c r="I104" s="315"/>
      <c r="J104" s="315"/>
      <c r="K104" s="315"/>
      <c r="L104" s="282"/>
      <c r="M104" s="282"/>
      <c r="N104" s="282"/>
      <c r="O104" s="282"/>
      <c r="P104" s="282"/>
      <c r="Q104" s="282"/>
      <c r="R104" s="282"/>
      <c r="S104" s="282"/>
      <c r="T104" s="321"/>
      <c r="U104" s="321"/>
      <c r="V104" s="321"/>
      <c r="W104" s="321"/>
      <c r="X104" s="321"/>
      <c r="Y104" s="321"/>
      <c r="Z104" s="321"/>
      <c r="AA104" s="321"/>
      <c r="AB104" s="321"/>
      <c r="AC104" s="321"/>
      <c r="AD104" s="282"/>
    </row>
    <row r="105" spans="1:30" x14ac:dyDescent="0.3">
      <c r="A105" s="321" t="s">
        <v>121</v>
      </c>
      <c r="B105" s="321"/>
      <c r="C105" s="321">
        <v>3.8</v>
      </c>
      <c r="D105" s="321"/>
      <c r="E105" s="321"/>
      <c r="F105" s="321"/>
      <c r="G105" s="321"/>
      <c r="H105" s="321"/>
      <c r="I105" s="315"/>
      <c r="J105" s="315"/>
      <c r="K105" s="315"/>
      <c r="L105" s="282"/>
      <c r="M105" s="282"/>
      <c r="N105" s="282"/>
      <c r="O105" s="282"/>
      <c r="P105" s="282"/>
      <c r="Q105" s="282"/>
      <c r="R105" s="282"/>
      <c r="S105" s="282"/>
      <c r="T105" s="321"/>
      <c r="U105" s="321"/>
      <c r="V105" s="321"/>
      <c r="W105" s="321"/>
      <c r="X105" s="321"/>
      <c r="Y105" s="321"/>
      <c r="Z105" s="321"/>
      <c r="AA105" s="321"/>
      <c r="AB105" s="321"/>
      <c r="AC105" s="321"/>
      <c r="AD105" s="282"/>
    </row>
    <row r="106" spans="1:30" x14ac:dyDescent="0.3">
      <c r="A106" s="321" t="s">
        <v>430</v>
      </c>
      <c r="B106" s="321"/>
      <c r="C106" s="321">
        <v>4</v>
      </c>
      <c r="D106" s="321"/>
      <c r="E106" s="321"/>
      <c r="F106" s="321"/>
      <c r="G106" s="321"/>
      <c r="H106" s="321"/>
      <c r="I106" s="315"/>
      <c r="J106" s="315"/>
      <c r="K106" s="315"/>
      <c r="L106" s="282"/>
      <c r="M106" s="282"/>
      <c r="N106" s="282"/>
      <c r="O106" s="282"/>
      <c r="P106" s="282"/>
      <c r="Q106" s="282"/>
      <c r="R106" s="282"/>
      <c r="S106" s="282"/>
      <c r="T106" s="321"/>
      <c r="U106" s="321"/>
      <c r="V106" s="321"/>
      <c r="W106" s="321"/>
      <c r="X106" s="321"/>
      <c r="Y106" s="321"/>
      <c r="Z106" s="321"/>
      <c r="AA106" s="321"/>
      <c r="AB106" s="321"/>
      <c r="AC106" s="321"/>
      <c r="AD106" s="282"/>
    </row>
    <row r="107" spans="1:30" x14ac:dyDescent="0.3">
      <c r="A107" s="321" t="s">
        <v>429</v>
      </c>
      <c r="B107" s="321"/>
      <c r="C107" s="321">
        <v>5</v>
      </c>
      <c r="D107" s="321"/>
      <c r="E107" s="321"/>
      <c r="F107" s="321"/>
      <c r="G107" s="321"/>
      <c r="H107" s="321"/>
      <c r="I107" s="315"/>
      <c r="J107" s="315"/>
      <c r="K107" s="315"/>
      <c r="L107" s="282"/>
      <c r="M107" s="282"/>
      <c r="N107" s="282"/>
      <c r="O107" s="282"/>
      <c r="P107" s="282"/>
      <c r="Q107" s="282"/>
      <c r="R107" s="282"/>
      <c r="S107" s="282"/>
      <c r="T107" s="321"/>
      <c r="U107" s="321"/>
      <c r="V107" s="321"/>
      <c r="W107" s="321"/>
      <c r="X107" s="321"/>
      <c r="Y107" s="321"/>
      <c r="Z107" s="321"/>
      <c r="AA107" s="321"/>
      <c r="AB107" s="321"/>
      <c r="AC107" s="321"/>
      <c r="AD107" s="282"/>
    </row>
    <row r="108" spans="1:30" x14ac:dyDescent="0.3">
      <c r="A108" s="321" t="s">
        <v>428</v>
      </c>
      <c r="B108" s="321"/>
      <c r="C108" s="321">
        <v>7</v>
      </c>
      <c r="D108" s="342"/>
      <c r="E108" s="389"/>
      <c r="F108" s="321"/>
      <c r="G108" s="321"/>
      <c r="H108" s="321"/>
      <c r="I108" s="315"/>
      <c r="J108" s="315"/>
      <c r="K108" s="315"/>
      <c r="L108" s="282"/>
      <c r="M108" s="282"/>
      <c r="N108" s="282"/>
      <c r="O108" s="282"/>
      <c r="P108" s="282"/>
      <c r="Q108" s="282"/>
      <c r="R108" s="282"/>
      <c r="S108" s="282"/>
      <c r="T108" s="321"/>
      <c r="U108" s="321"/>
      <c r="V108" s="321"/>
      <c r="W108" s="321"/>
      <c r="X108" s="321"/>
      <c r="Y108" s="321"/>
      <c r="Z108" s="321"/>
      <c r="AA108" s="321"/>
      <c r="AB108" s="321"/>
      <c r="AC108" s="321"/>
      <c r="AD108" s="282"/>
    </row>
    <row r="109" spans="1:30" x14ac:dyDescent="0.3">
      <c r="A109" s="321" t="s">
        <v>431</v>
      </c>
      <c r="B109" s="321"/>
      <c r="C109" s="321">
        <v>2</v>
      </c>
      <c r="D109" s="321"/>
      <c r="E109" s="321"/>
      <c r="F109" s="321"/>
      <c r="G109" s="321"/>
      <c r="H109" s="321"/>
      <c r="I109" s="315"/>
      <c r="J109" s="315"/>
      <c r="K109" s="315"/>
      <c r="L109" s="282"/>
      <c r="M109" s="282"/>
      <c r="N109" s="282"/>
      <c r="O109" s="282"/>
      <c r="P109" s="282"/>
      <c r="Q109" s="282"/>
      <c r="R109" s="282"/>
      <c r="S109" s="282"/>
      <c r="T109" s="321"/>
      <c r="U109" s="321"/>
      <c r="V109" s="321"/>
      <c r="W109" s="321"/>
      <c r="X109" s="321"/>
      <c r="Y109" s="321"/>
      <c r="Z109" s="321"/>
      <c r="AA109" s="321"/>
      <c r="AB109" s="321"/>
      <c r="AC109" s="321"/>
      <c r="AD109" s="282"/>
    </row>
    <row r="110" spans="1:30" x14ac:dyDescent="0.3">
      <c r="A110" s="321" t="s">
        <v>432</v>
      </c>
      <c r="B110" s="321"/>
      <c r="C110" s="321">
        <v>3</v>
      </c>
      <c r="D110" s="321"/>
      <c r="E110" s="321"/>
      <c r="F110" s="321"/>
      <c r="G110" s="321"/>
      <c r="H110" s="321"/>
      <c r="I110" s="315"/>
      <c r="J110" s="315"/>
      <c r="K110" s="315"/>
      <c r="L110" s="282"/>
      <c r="M110" s="282"/>
      <c r="N110" s="282"/>
      <c r="O110" s="282"/>
      <c r="P110" s="282"/>
      <c r="Q110" s="282"/>
      <c r="R110" s="282"/>
      <c r="S110" s="282"/>
      <c r="T110" s="321"/>
      <c r="U110" s="321"/>
      <c r="V110" s="321"/>
      <c r="W110" s="321"/>
      <c r="X110" s="321"/>
      <c r="Y110" s="321"/>
      <c r="Z110" s="321"/>
      <c r="AA110" s="321"/>
      <c r="AB110" s="321"/>
      <c r="AC110" s="321"/>
      <c r="AD110" s="282"/>
    </row>
    <row r="111" spans="1:30" x14ac:dyDescent="0.3">
      <c r="A111" s="321" t="s">
        <v>433</v>
      </c>
      <c r="B111" s="321"/>
      <c r="C111" s="321">
        <v>4.5</v>
      </c>
      <c r="D111" s="321"/>
      <c r="E111" s="321"/>
      <c r="F111" s="321"/>
      <c r="G111" s="321"/>
      <c r="H111" s="321"/>
      <c r="I111" s="315"/>
      <c r="J111" s="315"/>
      <c r="K111" s="315"/>
      <c r="L111" s="282"/>
      <c r="M111" s="282"/>
      <c r="N111" s="282"/>
      <c r="O111" s="282"/>
      <c r="P111" s="282"/>
      <c r="Q111" s="282"/>
      <c r="R111" s="282"/>
      <c r="S111" s="282"/>
      <c r="T111" s="321"/>
      <c r="U111" s="321"/>
      <c r="V111" s="321"/>
      <c r="W111" s="321"/>
      <c r="X111" s="321"/>
      <c r="Y111" s="321"/>
      <c r="Z111" s="321"/>
      <c r="AA111" s="321"/>
      <c r="AB111" s="321"/>
      <c r="AC111" s="321"/>
      <c r="AD111" s="282"/>
    </row>
    <row r="112" spans="1:30" x14ac:dyDescent="0.3">
      <c r="A112" s="321" t="str">
        <f>J26</f>
        <v>운동 1</v>
      </c>
      <c r="B112" s="321"/>
      <c r="C112" s="336">
        <f>M26</f>
        <v>4.3541666666666714</v>
      </c>
      <c r="D112" s="321"/>
      <c r="E112" s="321"/>
      <c r="F112" s="321"/>
      <c r="G112" s="321"/>
      <c r="H112" s="321"/>
      <c r="I112" s="315"/>
      <c r="J112" s="315"/>
      <c r="K112" s="315"/>
      <c r="L112" s="282"/>
      <c r="M112" s="282"/>
      <c r="N112" s="282"/>
      <c r="O112" s="282"/>
      <c r="P112" s="282"/>
      <c r="Q112" s="282"/>
      <c r="R112" s="282"/>
      <c r="S112" s="282"/>
      <c r="T112" s="321"/>
      <c r="U112" s="321"/>
      <c r="V112" s="321"/>
      <c r="W112" s="321"/>
      <c r="X112" s="321"/>
      <c r="Y112" s="321"/>
      <c r="Z112" s="321"/>
      <c r="AA112" s="321"/>
      <c r="AB112" s="321"/>
      <c r="AC112" s="321"/>
      <c r="AD112" s="282"/>
    </row>
    <row r="113" spans="1:30" x14ac:dyDescent="0.3">
      <c r="A113" s="321" t="str">
        <f>J27</f>
        <v>운동 2</v>
      </c>
      <c r="B113" s="321"/>
      <c r="C113" s="336">
        <f>M27</f>
        <v>2.5000000000000036</v>
      </c>
      <c r="D113" s="321"/>
      <c r="E113" s="321"/>
      <c r="F113" s="321"/>
      <c r="G113" s="321"/>
      <c r="H113" s="321"/>
      <c r="I113" s="315"/>
      <c r="J113" s="315"/>
      <c r="K113" s="315"/>
      <c r="L113" s="282"/>
      <c r="M113" s="282"/>
      <c r="N113" s="282"/>
      <c r="O113" s="282"/>
      <c r="P113" s="282"/>
      <c r="Q113" s="282"/>
      <c r="R113" s="282"/>
      <c r="S113" s="282"/>
      <c r="T113" s="321"/>
      <c r="U113" s="321"/>
      <c r="V113" s="321"/>
      <c r="W113" s="321"/>
      <c r="X113" s="321"/>
      <c r="Y113" s="321"/>
      <c r="Z113" s="321"/>
      <c r="AA113" s="321"/>
      <c r="AB113" s="321"/>
      <c r="AC113" s="321"/>
      <c r="AD113" s="282"/>
    </row>
    <row r="114" spans="1:30" x14ac:dyDescent="0.3">
      <c r="A114" s="321" t="str">
        <f>J28</f>
        <v>운동 3</v>
      </c>
      <c r="B114" s="321"/>
      <c r="C114" s="336">
        <f>M28</f>
        <v>2.1615740740740739</v>
      </c>
      <c r="D114" s="321"/>
      <c r="E114" s="321"/>
      <c r="F114" s="321"/>
      <c r="G114" s="321"/>
      <c r="H114" s="321"/>
      <c r="I114" s="315"/>
      <c r="J114" s="315"/>
      <c r="K114" s="315"/>
      <c r="L114" s="282"/>
      <c r="M114" s="282"/>
      <c r="N114" s="282"/>
      <c r="O114" s="282"/>
      <c r="P114" s="282"/>
      <c r="Q114" s="282"/>
      <c r="R114" s="282"/>
      <c r="S114" s="282"/>
      <c r="T114" s="321"/>
      <c r="U114" s="321"/>
      <c r="V114" s="321"/>
      <c r="W114" s="321"/>
      <c r="X114" s="321"/>
      <c r="Y114" s="321"/>
      <c r="Z114" s="321"/>
      <c r="AA114" s="321"/>
      <c r="AB114" s="321"/>
      <c r="AC114" s="321"/>
      <c r="AD114" s="282"/>
    </row>
    <row r="115" spans="1:30" x14ac:dyDescent="0.3">
      <c r="A115" s="321" t="str">
        <f>J29</f>
        <v>운동 4</v>
      </c>
      <c r="B115" s="321"/>
      <c r="C115" s="336">
        <f>M29</f>
        <v>2.018981481481481</v>
      </c>
      <c r="D115" s="321"/>
      <c r="E115" s="321"/>
      <c r="F115" s="321"/>
      <c r="G115" s="321"/>
      <c r="H115" s="321"/>
      <c r="I115" s="315"/>
      <c r="J115" s="315"/>
      <c r="K115" s="315"/>
      <c r="L115" s="282"/>
      <c r="M115" s="282"/>
      <c r="N115" s="282"/>
      <c r="O115" s="282"/>
      <c r="P115" s="282"/>
      <c r="Q115" s="282"/>
      <c r="R115" s="282"/>
      <c r="S115" s="282"/>
      <c r="T115" s="321"/>
      <c r="U115" s="321"/>
      <c r="V115" s="321"/>
      <c r="W115" s="321"/>
      <c r="X115" s="321"/>
      <c r="Y115" s="321"/>
      <c r="Z115" s="321"/>
      <c r="AA115" s="321"/>
      <c r="AB115" s="321"/>
      <c r="AC115" s="321"/>
      <c r="AD115" s="282"/>
    </row>
    <row r="116" spans="1:30" x14ac:dyDescent="0.3">
      <c r="A116" s="321" t="str">
        <f>J30</f>
        <v>운동 5</v>
      </c>
      <c r="B116" s="321"/>
      <c r="C116" s="336">
        <f>M30</f>
        <v>1.9124999999999999</v>
      </c>
      <c r="D116" s="321"/>
      <c r="E116" s="321"/>
      <c r="F116" s="321"/>
      <c r="G116" s="321"/>
      <c r="H116" s="321"/>
      <c r="I116" s="315"/>
      <c r="J116" s="315"/>
      <c r="K116" s="315"/>
      <c r="L116" s="282"/>
      <c r="M116" s="282"/>
      <c r="N116" s="282"/>
      <c r="O116" s="282"/>
      <c r="P116" s="282"/>
      <c r="Q116" s="282"/>
      <c r="R116" s="282"/>
      <c r="S116" s="282"/>
      <c r="T116" s="321"/>
      <c r="U116" s="321"/>
      <c r="V116" s="321"/>
      <c r="W116" s="321"/>
      <c r="X116" s="321"/>
      <c r="Y116" s="321"/>
      <c r="Z116" s="321"/>
      <c r="AA116" s="321"/>
      <c r="AB116" s="321"/>
      <c r="AC116" s="321"/>
      <c r="AD116" s="282"/>
    </row>
    <row r="117" spans="1:30" x14ac:dyDescent="0.3">
      <c r="A117" s="321"/>
      <c r="B117" s="321"/>
      <c r="C117" s="321"/>
      <c r="D117" s="321"/>
      <c r="E117" s="321"/>
      <c r="F117" s="321"/>
      <c r="G117" s="321"/>
      <c r="H117" s="321"/>
      <c r="I117" s="315"/>
      <c r="J117" s="315"/>
      <c r="K117" s="315"/>
      <c r="L117" s="282"/>
      <c r="M117" s="282"/>
      <c r="N117" s="282"/>
      <c r="O117" s="282"/>
      <c r="P117" s="282"/>
      <c r="Q117" s="282"/>
      <c r="R117" s="282"/>
      <c r="S117" s="282"/>
      <c r="T117" s="321"/>
      <c r="U117" s="321"/>
      <c r="V117" s="321"/>
      <c r="W117" s="321"/>
      <c r="X117" s="321"/>
      <c r="Y117" s="321"/>
      <c r="Z117" s="321"/>
      <c r="AA117" s="321"/>
      <c r="AB117" s="321"/>
      <c r="AC117" s="321"/>
      <c r="AD117" s="282"/>
    </row>
    <row r="118" spans="1:30" x14ac:dyDescent="0.3">
      <c r="A118" s="315"/>
      <c r="B118" s="315"/>
      <c r="C118" s="315"/>
      <c r="D118" s="315"/>
      <c r="E118" s="315"/>
      <c r="F118" s="321"/>
      <c r="G118" s="321"/>
      <c r="H118" s="321"/>
      <c r="I118" s="315"/>
      <c r="J118" s="315"/>
      <c r="K118" s="315"/>
      <c r="L118" s="282"/>
      <c r="M118" s="282"/>
      <c r="N118" s="282"/>
      <c r="O118" s="282"/>
      <c r="P118" s="282"/>
      <c r="Q118" s="282"/>
      <c r="R118" s="282"/>
      <c r="S118" s="282"/>
      <c r="T118" s="321"/>
      <c r="U118" s="321"/>
      <c r="V118" s="321"/>
      <c r="W118" s="321"/>
      <c r="X118" s="321"/>
      <c r="Y118" s="321"/>
      <c r="Z118" s="321"/>
      <c r="AA118" s="321"/>
      <c r="AB118" s="321"/>
      <c r="AC118" s="321"/>
      <c r="AD118" s="282"/>
    </row>
    <row r="119" spans="1:30" x14ac:dyDescent="0.3">
      <c r="A119" s="315"/>
      <c r="B119" s="315"/>
      <c r="C119" s="315"/>
      <c r="D119" s="315"/>
      <c r="E119" s="315"/>
      <c r="F119" s="321"/>
      <c r="G119" s="321"/>
      <c r="H119" s="321"/>
      <c r="I119" s="315"/>
      <c r="J119" s="315"/>
      <c r="K119" s="315"/>
      <c r="L119" s="282"/>
      <c r="M119" s="282"/>
      <c r="N119" s="282"/>
      <c r="O119" s="282"/>
      <c r="P119" s="282"/>
      <c r="Q119" s="282"/>
      <c r="R119" s="282"/>
      <c r="S119" s="282"/>
      <c r="T119" s="282"/>
      <c r="U119" s="282"/>
      <c r="V119" s="282"/>
      <c r="W119" s="282"/>
      <c r="X119" s="282"/>
      <c r="Y119" s="282"/>
      <c r="Z119" s="282"/>
      <c r="AA119" s="282"/>
      <c r="AB119" s="282"/>
      <c r="AC119" s="282"/>
      <c r="AD119" s="282"/>
    </row>
    <row r="120" spans="1:30" x14ac:dyDescent="0.3">
      <c r="A120" s="315"/>
      <c r="B120" s="315"/>
      <c r="C120" s="315"/>
      <c r="D120" s="315"/>
      <c r="E120" s="315"/>
      <c r="F120" s="321"/>
      <c r="G120" s="321"/>
      <c r="H120" s="321"/>
      <c r="I120" s="315"/>
      <c r="J120" s="315"/>
      <c r="K120" s="315"/>
      <c r="L120" s="282"/>
      <c r="M120" s="282"/>
      <c r="N120" s="282"/>
      <c r="O120" s="282"/>
      <c r="P120" s="282"/>
      <c r="Q120" s="282"/>
      <c r="R120" s="282"/>
      <c r="S120" s="282"/>
      <c r="T120" s="282"/>
      <c r="U120" s="282"/>
      <c r="V120" s="282"/>
      <c r="W120" s="282"/>
      <c r="X120" s="282"/>
      <c r="Y120" s="282"/>
      <c r="Z120" s="282"/>
      <c r="AA120" s="282"/>
      <c r="AB120" s="282"/>
      <c r="AC120" s="282"/>
      <c r="AD120" s="282"/>
    </row>
    <row r="121" spans="1:30" x14ac:dyDescent="0.3">
      <c r="A121" s="315"/>
      <c r="B121" s="315"/>
      <c r="C121" s="315"/>
      <c r="D121" s="315"/>
      <c r="E121" s="315"/>
      <c r="F121" s="321"/>
      <c r="G121" s="321"/>
      <c r="H121" s="321"/>
      <c r="I121" s="315"/>
      <c r="J121" s="315"/>
      <c r="K121" s="315"/>
      <c r="L121" s="282"/>
      <c r="M121" s="282"/>
      <c r="N121" s="282"/>
      <c r="O121" s="282"/>
      <c r="P121" s="282"/>
      <c r="Q121" s="282"/>
      <c r="R121" s="282"/>
      <c r="S121" s="282"/>
      <c r="T121" s="282"/>
      <c r="U121" s="282"/>
      <c r="V121" s="282"/>
      <c r="W121" s="282"/>
      <c r="X121" s="282"/>
      <c r="Y121" s="282"/>
      <c r="Z121" s="282"/>
      <c r="AA121" s="282"/>
      <c r="AB121" s="282"/>
      <c r="AC121" s="282"/>
      <c r="AD121" s="282"/>
    </row>
    <row r="122" spans="1:30" x14ac:dyDescent="0.3">
      <c r="A122" s="315"/>
      <c r="B122" s="315"/>
      <c r="C122" s="315"/>
      <c r="D122" s="315"/>
      <c r="E122" s="315"/>
      <c r="F122" s="321"/>
      <c r="G122" s="321"/>
      <c r="H122" s="321"/>
      <c r="I122" s="315"/>
      <c r="J122" s="315"/>
      <c r="K122" s="315"/>
      <c r="L122" s="282"/>
      <c r="M122" s="282"/>
      <c r="N122" s="282"/>
      <c r="O122" s="282"/>
      <c r="P122" s="282"/>
      <c r="Q122" s="282"/>
      <c r="R122" s="282"/>
      <c r="S122" s="282"/>
      <c r="T122" s="282"/>
      <c r="U122" s="282"/>
      <c r="V122" s="282"/>
      <c r="W122" s="282"/>
      <c r="X122" s="282"/>
      <c r="Y122" s="282"/>
      <c r="Z122" s="282"/>
      <c r="AA122" s="282"/>
      <c r="AB122" s="282"/>
      <c r="AC122" s="282"/>
      <c r="AD122" s="282"/>
    </row>
    <row r="123" spans="1:30" x14ac:dyDescent="0.3">
      <c r="A123" s="315"/>
      <c r="B123" s="315"/>
      <c r="C123" s="315"/>
      <c r="D123" s="315"/>
      <c r="E123" s="315"/>
      <c r="F123" s="321"/>
      <c r="G123" s="321"/>
      <c r="H123" s="321"/>
      <c r="I123" s="315"/>
      <c r="J123" s="315"/>
      <c r="K123" s="315"/>
      <c r="L123" s="282"/>
      <c r="M123" s="282"/>
      <c r="N123" s="282"/>
      <c r="O123" s="282"/>
      <c r="P123" s="282"/>
      <c r="Q123" s="282"/>
      <c r="R123" s="282"/>
      <c r="S123" s="282"/>
      <c r="T123" s="282"/>
      <c r="U123" s="282"/>
      <c r="V123" s="282"/>
      <c r="W123" s="282"/>
      <c r="X123" s="282"/>
      <c r="Y123" s="282"/>
      <c r="Z123" s="282"/>
      <c r="AA123" s="282"/>
      <c r="AB123" s="282"/>
      <c r="AC123" s="282"/>
      <c r="AD123" s="282"/>
    </row>
    <row r="124" spans="1:30" x14ac:dyDescent="0.3">
      <c r="A124" s="315"/>
      <c r="B124" s="315"/>
      <c r="C124" s="315"/>
      <c r="D124" s="315"/>
      <c r="E124" s="315"/>
      <c r="F124" s="321"/>
      <c r="G124" s="321"/>
      <c r="H124" s="321"/>
      <c r="I124" s="315"/>
      <c r="J124" s="315"/>
      <c r="K124" s="315"/>
      <c r="L124" s="282"/>
      <c r="M124" s="282"/>
      <c r="N124" s="282"/>
      <c r="O124" s="282"/>
      <c r="P124" s="282"/>
      <c r="Q124" s="282"/>
      <c r="R124" s="282"/>
      <c r="S124" s="282"/>
      <c r="T124" s="282"/>
      <c r="U124" s="282"/>
      <c r="V124" s="282"/>
      <c r="W124" s="282"/>
      <c r="X124" s="282"/>
      <c r="Y124" s="282"/>
      <c r="Z124" s="282"/>
      <c r="AA124" s="282"/>
      <c r="AB124" s="282"/>
      <c r="AC124" s="282"/>
      <c r="AD124" s="282"/>
    </row>
    <row r="125" spans="1:30" x14ac:dyDescent="0.3">
      <c r="A125" s="315"/>
      <c r="B125" s="315"/>
      <c r="C125" s="315"/>
      <c r="D125" s="315"/>
      <c r="E125" s="315"/>
      <c r="F125" s="321"/>
      <c r="G125" s="321"/>
      <c r="H125" s="321"/>
      <c r="I125" s="315"/>
      <c r="J125" s="315"/>
      <c r="K125" s="315"/>
      <c r="L125" s="282"/>
      <c r="M125" s="282"/>
      <c r="N125" s="282"/>
      <c r="O125" s="282"/>
      <c r="P125" s="282"/>
      <c r="Q125" s="282"/>
      <c r="R125" s="282"/>
      <c r="S125" s="282"/>
      <c r="T125" s="282"/>
      <c r="U125" s="282"/>
      <c r="V125" s="282"/>
      <c r="W125" s="282"/>
      <c r="X125" s="282"/>
      <c r="Y125" s="282"/>
      <c r="Z125" s="282"/>
      <c r="AA125" s="282"/>
      <c r="AB125" s="282"/>
      <c r="AC125" s="282"/>
      <c r="AD125" s="282"/>
    </row>
    <row r="126" spans="1:30" x14ac:dyDescent="0.3">
      <c r="A126" s="315"/>
      <c r="B126" s="315"/>
      <c r="C126" s="315"/>
      <c r="D126" s="315"/>
      <c r="E126" s="315"/>
      <c r="F126" s="321"/>
      <c r="G126" s="321"/>
      <c r="H126" s="321"/>
      <c r="I126" s="315"/>
      <c r="J126" s="315"/>
      <c r="K126" s="315"/>
      <c r="L126" s="282"/>
      <c r="M126" s="282"/>
      <c r="N126" s="282"/>
      <c r="O126" s="282"/>
      <c r="P126" s="282"/>
      <c r="Q126" s="282"/>
      <c r="R126" s="282"/>
      <c r="S126" s="282"/>
      <c r="T126" s="282"/>
      <c r="U126" s="282"/>
      <c r="V126" s="282"/>
      <c r="W126" s="282"/>
      <c r="X126" s="282"/>
      <c r="Y126" s="282"/>
      <c r="Z126" s="282"/>
      <c r="AA126" s="282"/>
      <c r="AB126" s="282"/>
      <c r="AC126" s="282"/>
      <c r="AD126" s="282"/>
    </row>
    <row r="127" spans="1:30" x14ac:dyDescent="0.3">
      <c r="A127" s="315"/>
      <c r="B127" s="315"/>
      <c r="C127" s="315"/>
      <c r="D127" s="315"/>
      <c r="E127" s="315"/>
      <c r="F127" s="321"/>
      <c r="G127" s="321"/>
      <c r="H127" s="321"/>
      <c r="I127" s="315"/>
      <c r="J127" s="315"/>
      <c r="K127" s="315"/>
      <c r="L127" s="282"/>
      <c r="M127" s="282"/>
      <c r="N127" s="282"/>
      <c r="O127" s="282"/>
      <c r="P127" s="282"/>
      <c r="Q127" s="282"/>
      <c r="R127" s="282"/>
      <c r="S127" s="282"/>
      <c r="T127" s="282"/>
      <c r="U127" s="282"/>
      <c r="V127" s="282"/>
      <c r="W127" s="282"/>
      <c r="X127" s="282"/>
      <c r="Y127" s="282"/>
      <c r="Z127" s="282"/>
      <c r="AA127" s="282"/>
      <c r="AB127" s="282"/>
      <c r="AC127" s="282"/>
      <c r="AD127" s="282"/>
    </row>
    <row r="128" spans="1:30" x14ac:dyDescent="0.3">
      <c r="A128" s="315"/>
      <c r="B128" s="315"/>
      <c r="C128" s="315"/>
      <c r="D128" s="315"/>
      <c r="E128" s="315"/>
      <c r="F128" s="321"/>
      <c r="G128" s="321"/>
      <c r="H128" s="321"/>
      <c r="I128" s="315"/>
      <c r="J128" s="315"/>
      <c r="K128" s="315"/>
      <c r="L128" s="282"/>
      <c r="M128" s="282"/>
      <c r="N128" s="282"/>
      <c r="O128" s="282"/>
      <c r="P128" s="282"/>
      <c r="Q128" s="282"/>
      <c r="R128" s="282"/>
      <c r="S128" s="282"/>
      <c r="T128" s="282"/>
      <c r="U128" s="282"/>
      <c r="V128" s="282"/>
      <c r="W128" s="282"/>
      <c r="X128" s="282"/>
      <c r="Y128" s="282"/>
      <c r="Z128" s="282"/>
      <c r="AA128" s="282"/>
      <c r="AB128" s="282"/>
      <c r="AC128" s="282"/>
      <c r="AD128" s="282"/>
    </row>
    <row r="129" spans="1:30" x14ac:dyDescent="0.3">
      <c r="A129" s="315"/>
      <c r="B129" s="315"/>
      <c r="C129" s="315"/>
      <c r="D129" s="315"/>
      <c r="E129" s="315"/>
      <c r="F129" s="321"/>
      <c r="G129" s="321"/>
      <c r="H129" s="321"/>
      <c r="I129" s="315"/>
      <c r="J129" s="315"/>
      <c r="K129" s="315"/>
      <c r="L129" s="282"/>
      <c r="M129" s="282"/>
      <c r="N129" s="282"/>
      <c r="O129" s="282"/>
      <c r="P129" s="282"/>
      <c r="Q129" s="282"/>
      <c r="R129" s="282"/>
      <c r="S129" s="282"/>
      <c r="T129" s="282"/>
      <c r="U129" s="282"/>
      <c r="V129" s="282"/>
      <c r="W129" s="282"/>
      <c r="X129" s="282"/>
      <c r="Y129" s="282"/>
      <c r="Z129" s="282"/>
      <c r="AA129" s="282"/>
      <c r="AB129" s="282"/>
      <c r="AC129" s="282"/>
      <c r="AD129" s="282"/>
    </row>
    <row r="130" spans="1:30" x14ac:dyDescent="0.3">
      <c r="A130" s="315"/>
      <c r="B130" s="315"/>
      <c r="C130" s="315"/>
      <c r="D130" s="315"/>
      <c r="E130" s="315"/>
      <c r="F130" s="321"/>
      <c r="G130" s="321"/>
      <c r="H130" s="321"/>
      <c r="I130" s="315"/>
      <c r="J130" s="315"/>
      <c r="K130" s="315"/>
      <c r="L130" s="282"/>
      <c r="M130" s="282"/>
      <c r="N130" s="282"/>
      <c r="O130" s="282"/>
      <c r="P130" s="282"/>
      <c r="Q130" s="282"/>
      <c r="R130" s="282"/>
      <c r="S130" s="282"/>
      <c r="T130" s="282"/>
      <c r="U130" s="282"/>
      <c r="V130" s="282"/>
      <c r="W130" s="282"/>
      <c r="X130" s="282"/>
      <c r="Y130" s="282"/>
      <c r="Z130" s="282"/>
      <c r="AA130" s="282"/>
      <c r="AB130" s="282"/>
      <c r="AC130" s="282"/>
      <c r="AD130" s="282"/>
    </row>
    <row r="131" spans="1:30" x14ac:dyDescent="0.3">
      <c r="A131" s="315"/>
      <c r="B131" s="315"/>
      <c r="C131" s="315"/>
      <c r="D131" s="315"/>
      <c r="E131" s="315"/>
      <c r="F131" s="321"/>
      <c r="G131" s="321"/>
      <c r="H131" s="321"/>
      <c r="I131" s="315"/>
      <c r="J131" s="315"/>
      <c r="K131" s="315"/>
      <c r="L131" s="282"/>
      <c r="M131" s="282"/>
      <c r="N131" s="282"/>
      <c r="O131" s="282"/>
      <c r="P131" s="282"/>
      <c r="Q131" s="282"/>
      <c r="R131" s="282"/>
      <c r="S131" s="282"/>
      <c r="T131" s="282"/>
      <c r="U131" s="282"/>
      <c r="V131" s="282"/>
      <c r="W131" s="282"/>
      <c r="X131" s="282"/>
      <c r="Y131" s="282"/>
      <c r="Z131" s="282"/>
      <c r="AA131" s="282"/>
      <c r="AB131" s="282"/>
      <c r="AC131" s="282"/>
      <c r="AD131" s="282"/>
    </row>
    <row r="132" spans="1:30" x14ac:dyDescent="0.3">
      <c r="A132" s="315"/>
      <c r="B132" s="315"/>
      <c r="C132" s="315"/>
      <c r="D132" s="315"/>
      <c r="E132" s="315"/>
      <c r="F132" s="321"/>
      <c r="G132" s="321"/>
      <c r="H132" s="321"/>
      <c r="I132" s="315"/>
      <c r="J132" s="315"/>
      <c r="K132" s="315"/>
      <c r="L132" s="282"/>
      <c r="M132" s="282"/>
      <c r="N132" s="282"/>
      <c r="O132" s="282"/>
      <c r="P132" s="282"/>
      <c r="Q132" s="282"/>
      <c r="R132" s="282"/>
      <c r="S132" s="282"/>
      <c r="T132" s="282"/>
      <c r="U132" s="282"/>
      <c r="V132" s="282"/>
      <c r="W132" s="282"/>
      <c r="X132" s="282"/>
      <c r="Y132" s="282"/>
      <c r="Z132" s="282"/>
      <c r="AA132" s="282"/>
      <c r="AB132" s="282"/>
      <c r="AC132" s="282"/>
      <c r="AD132" s="282"/>
    </row>
    <row r="133" spans="1:30" x14ac:dyDescent="0.3">
      <c r="A133" s="315"/>
      <c r="B133" s="315"/>
      <c r="C133" s="315"/>
      <c r="D133" s="315"/>
      <c r="E133" s="315"/>
      <c r="F133" s="321"/>
      <c r="G133" s="321"/>
      <c r="H133" s="321"/>
      <c r="I133" s="315"/>
      <c r="J133" s="315"/>
      <c r="K133" s="315"/>
      <c r="L133" s="282"/>
      <c r="M133" s="282"/>
      <c r="N133" s="282"/>
      <c r="O133" s="282"/>
      <c r="P133" s="282"/>
      <c r="Q133" s="282"/>
      <c r="R133" s="282"/>
      <c r="S133" s="282"/>
      <c r="T133" s="282"/>
      <c r="U133" s="282"/>
      <c r="V133" s="282"/>
      <c r="W133" s="282"/>
      <c r="X133" s="282"/>
      <c r="Y133" s="282"/>
      <c r="Z133" s="282"/>
      <c r="AA133" s="282"/>
      <c r="AB133" s="282"/>
      <c r="AC133" s="282"/>
      <c r="AD133" s="282"/>
    </row>
    <row r="134" spans="1:30" x14ac:dyDescent="0.3">
      <c r="A134" s="315"/>
      <c r="B134" s="315"/>
      <c r="C134" s="315"/>
      <c r="D134" s="315"/>
      <c r="E134" s="315"/>
      <c r="F134" s="321"/>
      <c r="G134" s="321"/>
      <c r="H134" s="321"/>
      <c r="I134" s="315"/>
      <c r="J134" s="315"/>
      <c r="K134" s="315"/>
      <c r="L134" s="282"/>
      <c r="M134" s="282"/>
      <c r="N134" s="282"/>
      <c r="O134" s="282"/>
      <c r="P134" s="282"/>
      <c r="Q134" s="282"/>
      <c r="R134" s="282"/>
      <c r="S134" s="282"/>
      <c r="T134" s="282"/>
      <c r="U134" s="282"/>
      <c r="V134" s="282"/>
      <c r="W134" s="282"/>
      <c r="X134" s="282"/>
      <c r="Y134" s="282"/>
      <c r="Z134" s="282"/>
      <c r="AA134" s="282"/>
      <c r="AB134" s="282"/>
      <c r="AC134" s="282"/>
      <c r="AD134" s="282"/>
    </row>
    <row r="135" spans="1:30" x14ac:dyDescent="0.3">
      <c r="A135" s="315"/>
      <c r="B135" s="315"/>
      <c r="C135" s="315"/>
      <c r="D135" s="315"/>
      <c r="E135" s="315"/>
      <c r="F135" s="321"/>
      <c r="G135" s="321"/>
      <c r="H135" s="321"/>
      <c r="I135" s="315"/>
      <c r="J135" s="315"/>
      <c r="K135" s="315"/>
      <c r="L135" s="282"/>
      <c r="M135" s="282"/>
      <c r="N135" s="282"/>
      <c r="O135" s="282"/>
      <c r="P135" s="282"/>
      <c r="Q135" s="282"/>
      <c r="R135" s="282"/>
      <c r="S135" s="282"/>
      <c r="T135" s="282"/>
      <c r="U135" s="282"/>
      <c r="V135" s="282"/>
      <c r="W135" s="282"/>
      <c r="X135" s="282"/>
      <c r="Y135" s="282"/>
      <c r="Z135" s="282"/>
      <c r="AA135" s="282"/>
      <c r="AB135" s="282"/>
      <c r="AC135" s="282"/>
      <c r="AD135" s="282"/>
    </row>
    <row r="136" spans="1:30" x14ac:dyDescent="0.3">
      <c r="A136" s="315"/>
      <c r="B136" s="315"/>
      <c r="C136" s="315"/>
      <c r="D136" s="315"/>
      <c r="E136" s="315"/>
      <c r="F136" s="321"/>
      <c r="G136" s="321"/>
      <c r="H136" s="321"/>
      <c r="I136" s="315"/>
      <c r="J136" s="315"/>
      <c r="K136" s="315"/>
      <c r="L136" s="282"/>
      <c r="M136" s="282"/>
      <c r="N136" s="282"/>
      <c r="O136" s="282"/>
      <c r="P136" s="282"/>
      <c r="Q136" s="282"/>
      <c r="R136" s="282"/>
      <c r="S136" s="282"/>
      <c r="T136" s="282"/>
      <c r="U136" s="282"/>
      <c r="V136" s="282"/>
      <c r="W136" s="282"/>
      <c r="X136" s="282"/>
      <c r="Y136" s="282"/>
      <c r="Z136" s="282"/>
      <c r="AA136" s="282"/>
      <c r="AB136" s="282"/>
      <c r="AC136" s="282"/>
      <c r="AD136" s="282"/>
    </row>
    <row r="137" spans="1:30" x14ac:dyDescent="0.3">
      <c r="A137" s="315"/>
      <c r="B137" s="315"/>
      <c r="C137" s="315"/>
      <c r="D137" s="315"/>
      <c r="E137" s="315"/>
      <c r="F137" s="321"/>
      <c r="G137" s="321"/>
      <c r="H137" s="321"/>
      <c r="I137" s="315"/>
      <c r="J137" s="315"/>
      <c r="K137" s="315"/>
      <c r="L137" s="282"/>
      <c r="M137" s="282"/>
      <c r="N137" s="282"/>
      <c r="O137" s="282"/>
      <c r="P137" s="282"/>
      <c r="Q137" s="282"/>
      <c r="R137" s="282"/>
      <c r="S137" s="282"/>
      <c r="T137" s="282"/>
      <c r="U137" s="282"/>
      <c r="V137" s="282"/>
      <c r="W137" s="282"/>
      <c r="X137" s="282"/>
      <c r="Y137" s="282"/>
      <c r="Z137" s="282"/>
      <c r="AA137" s="282"/>
      <c r="AB137" s="282"/>
      <c r="AC137" s="282"/>
      <c r="AD137" s="282"/>
    </row>
    <row r="138" spans="1:30" x14ac:dyDescent="0.3">
      <c r="A138" s="315"/>
      <c r="B138" s="315"/>
      <c r="C138" s="315"/>
      <c r="D138" s="315"/>
      <c r="E138" s="315"/>
      <c r="F138" s="321"/>
      <c r="G138" s="321"/>
      <c r="H138" s="321"/>
      <c r="I138" s="315"/>
      <c r="J138" s="315"/>
      <c r="K138" s="315"/>
      <c r="L138" s="282"/>
      <c r="M138" s="282"/>
      <c r="N138" s="282"/>
      <c r="O138" s="282"/>
      <c r="P138" s="282"/>
      <c r="Q138" s="282"/>
      <c r="R138" s="282"/>
      <c r="S138" s="282"/>
      <c r="T138" s="282"/>
      <c r="U138" s="282"/>
      <c r="V138" s="282"/>
      <c r="W138" s="282"/>
      <c r="X138" s="282"/>
      <c r="Y138" s="282"/>
      <c r="Z138" s="282"/>
      <c r="AA138" s="282"/>
      <c r="AB138" s="282"/>
      <c r="AC138" s="282"/>
      <c r="AD138" s="282"/>
    </row>
    <row r="139" spans="1:30" x14ac:dyDescent="0.3">
      <c r="A139" s="315"/>
      <c r="B139" s="315"/>
      <c r="C139" s="315"/>
      <c r="D139" s="315"/>
      <c r="E139" s="315"/>
      <c r="F139" s="321"/>
      <c r="G139" s="321"/>
      <c r="H139" s="321"/>
      <c r="I139" s="315"/>
      <c r="J139" s="315"/>
      <c r="K139" s="315"/>
      <c r="L139" s="282"/>
      <c r="M139" s="282"/>
      <c r="N139" s="282"/>
      <c r="O139" s="282"/>
      <c r="P139" s="282"/>
      <c r="Q139" s="282"/>
      <c r="R139" s="282"/>
      <c r="S139" s="282"/>
      <c r="T139" s="282"/>
      <c r="U139" s="282"/>
      <c r="V139" s="282"/>
      <c r="W139" s="282"/>
      <c r="X139" s="282"/>
      <c r="Y139" s="282"/>
      <c r="Z139" s="282"/>
      <c r="AA139" s="282"/>
      <c r="AB139" s="282"/>
      <c r="AC139" s="282"/>
      <c r="AD139" s="282"/>
    </row>
    <row r="140" spans="1:30" x14ac:dyDescent="0.3">
      <c r="A140" s="315"/>
      <c r="B140" s="315"/>
      <c r="C140" s="315"/>
      <c r="D140" s="315"/>
      <c r="E140" s="315"/>
      <c r="F140" s="321"/>
      <c r="G140" s="321"/>
      <c r="H140" s="321"/>
      <c r="I140" s="315"/>
      <c r="J140" s="315"/>
      <c r="K140" s="315"/>
      <c r="L140" s="282"/>
      <c r="M140" s="282"/>
      <c r="N140" s="282"/>
      <c r="O140" s="282"/>
      <c r="P140" s="282"/>
      <c r="Q140" s="282"/>
      <c r="R140" s="282"/>
      <c r="S140" s="282"/>
      <c r="T140" s="282"/>
      <c r="U140" s="282"/>
      <c r="V140" s="282"/>
      <c r="W140" s="282"/>
      <c r="X140" s="282"/>
      <c r="Y140" s="282"/>
      <c r="Z140" s="282"/>
      <c r="AA140" s="282"/>
      <c r="AB140" s="282"/>
      <c r="AC140" s="282"/>
      <c r="AD140" s="282"/>
    </row>
    <row r="141" spans="1:30" x14ac:dyDescent="0.3">
      <c r="A141" s="315"/>
      <c r="B141" s="315"/>
      <c r="C141" s="315"/>
      <c r="D141" s="315"/>
      <c r="E141" s="315"/>
      <c r="F141" s="321"/>
      <c r="G141" s="321"/>
      <c r="H141" s="321"/>
      <c r="I141" s="315"/>
      <c r="J141" s="315"/>
      <c r="K141" s="315"/>
      <c r="L141" s="282"/>
      <c r="M141" s="282"/>
      <c r="N141" s="282"/>
      <c r="O141" s="282"/>
      <c r="P141" s="282"/>
      <c r="Q141" s="282"/>
      <c r="R141" s="282"/>
      <c r="S141" s="282"/>
      <c r="T141" s="282"/>
      <c r="U141" s="282"/>
      <c r="V141" s="282"/>
      <c r="W141" s="282"/>
      <c r="X141" s="282"/>
      <c r="Y141" s="282"/>
      <c r="Z141" s="282"/>
      <c r="AA141" s="282"/>
      <c r="AB141" s="282"/>
      <c r="AC141" s="282"/>
      <c r="AD141" s="282"/>
    </row>
    <row r="142" spans="1:30" x14ac:dyDescent="0.3">
      <c r="A142" s="315"/>
      <c r="B142" s="315"/>
      <c r="C142" s="315"/>
      <c r="D142" s="315"/>
      <c r="E142" s="315"/>
      <c r="F142" s="321"/>
      <c r="G142" s="321"/>
      <c r="H142" s="321"/>
      <c r="I142" s="315"/>
      <c r="J142" s="315"/>
      <c r="K142" s="315"/>
      <c r="L142" s="282"/>
      <c r="M142" s="282"/>
      <c r="N142" s="282"/>
      <c r="O142" s="282"/>
      <c r="P142" s="282"/>
      <c r="Q142" s="282"/>
      <c r="R142" s="282"/>
      <c r="S142" s="282"/>
      <c r="T142" s="282"/>
      <c r="U142" s="282"/>
      <c r="V142" s="282"/>
      <c r="W142" s="282"/>
      <c r="X142" s="282"/>
      <c r="Y142" s="282"/>
      <c r="Z142" s="282"/>
      <c r="AA142" s="282"/>
      <c r="AB142" s="282"/>
      <c r="AC142" s="282"/>
      <c r="AD142" s="282"/>
    </row>
    <row r="143" spans="1:30" x14ac:dyDescent="0.3">
      <c r="A143" s="315"/>
      <c r="B143" s="315"/>
      <c r="C143" s="315"/>
      <c r="D143" s="315"/>
      <c r="E143" s="315"/>
      <c r="F143" s="321"/>
      <c r="G143" s="321"/>
      <c r="H143" s="321"/>
      <c r="I143" s="315"/>
      <c r="J143" s="315"/>
      <c r="K143" s="315"/>
      <c r="L143" s="282"/>
      <c r="M143" s="282"/>
      <c r="N143" s="282"/>
      <c r="O143" s="282"/>
      <c r="P143" s="282"/>
      <c r="Q143" s="282"/>
      <c r="R143" s="282"/>
      <c r="S143" s="282"/>
      <c r="T143" s="282"/>
      <c r="U143" s="282"/>
      <c r="V143" s="282"/>
      <c r="W143" s="282"/>
      <c r="X143" s="282"/>
      <c r="Y143" s="282"/>
      <c r="Z143" s="282"/>
      <c r="AA143" s="282"/>
      <c r="AB143" s="282"/>
      <c r="AC143" s="282"/>
      <c r="AD143" s="282"/>
    </row>
    <row r="144" spans="1:30" x14ac:dyDescent="0.3">
      <c r="A144" s="315"/>
      <c r="B144" s="315"/>
      <c r="C144" s="315"/>
      <c r="D144" s="315"/>
      <c r="E144" s="315"/>
      <c r="F144" s="321"/>
      <c r="G144" s="321"/>
      <c r="H144" s="321"/>
      <c r="I144" s="315"/>
      <c r="J144" s="315"/>
      <c r="K144" s="315"/>
      <c r="L144" s="282"/>
      <c r="M144" s="282"/>
      <c r="N144" s="282"/>
      <c r="O144" s="282"/>
      <c r="P144" s="282"/>
      <c r="Q144" s="282"/>
      <c r="R144" s="282"/>
      <c r="S144" s="282"/>
      <c r="T144" s="282"/>
      <c r="U144" s="282"/>
      <c r="V144" s="282"/>
      <c r="W144" s="282"/>
      <c r="X144" s="282"/>
      <c r="Y144" s="282"/>
      <c r="Z144" s="282"/>
      <c r="AA144" s="282"/>
      <c r="AB144" s="282"/>
      <c r="AC144" s="282"/>
      <c r="AD144" s="282"/>
    </row>
    <row r="145" spans="1:30" x14ac:dyDescent="0.3">
      <c r="A145" s="315"/>
      <c r="B145" s="315"/>
      <c r="C145" s="315"/>
      <c r="D145" s="315"/>
      <c r="E145" s="315"/>
      <c r="F145" s="321"/>
      <c r="G145" s="321"/>
      <c r="H145" s="321"/>
      <c r="I145" s="315"/>
      <c r="J145" s="315"/>
      <c r="K145" s="315"/>
      <c r="L145" s="282"/>
      <c r="M145" s="282"/>
      <c r="N145" s="282"/>
      <c r="O145" s="282"/>
      <c r="P145" s="282"/>
      <c r="Q145" s="282"/>
      <c r="R145" s="282"/>
      <c r="S145" s="282"/>
      <c r="T145" s="282"/>
      <c r="U145" s="282"/>
      <c r="V145" s="282"/>
      <c r="W145" s="282"/>
      <c r="X145" s="282"/>
      <c r="Y145" s="282"/>
      <c r="Z145" s="282"/>
      <c r="AA145" s="282"/>
      <c r="AB145" s="282"/>
      <c r="AC145" s="282"/>
      <c r="AD145" s="282"/>
    </row>
    <row r="146" spans="1:30" x14ac:dyDescent="0.3">
      <c r="A146" s="315"/>
      <c r="B146" s="315"/>
      <c r="C146" s="315"/>
      <c r="D146" s="315"/>
      <c r="E146" s="315"/>
      <c r="F146" s="321"/>
      <c r="G146" s="321"/>
      <c r="H146" s="321"/>
      <c r="I146" s="315"/>
      <c r="J146" s="315"/>
      <c r="K146" s="315"/>
      <c r="L146" s="282"/>
      <c r="M146" s="282"/>
      <c r="N146" s="282"/>
      <c r="O146" s="282"/>
      <c r="P146" s="282"/>
      <c r="Q146" s="282"/>
      <c r="R146" s="282"/>
      <c r="S146" s="282"/>
      <c r="T146" s="282"/>
      <c r="U146" s="282"/>
      <c r="V146" s="282"/>
      <c r="W146" s="282"/>
      <c r="X146" s="282"/>
      <c r="Y146" s="282"/>
      <c r="Z146" s="282"/>
      <c r="AA146" s="282"/>
      <c r="AB146" s="282"/>
      <c r="AC146" s="282"/>
      <c r="AD146" s="282"/>
    </row>
    <row r="147" spans="1:30" x14ac:dyDescent="0.3">
      <c r="A147" s="315"/>
      <c r="B147" s="315"/>
      <c r="C147" s="315"/>
      <c r="D147" s="315"/>
      <c r="E147" s="315"/>
      <c r="F147" s="321"/>
      <c r="G147" s="321"/>
      <c r="H147" s="321"/>
      <c r="I147" s="315"/>
      <c r="J147" s="315"/>
      <c r="K147" s="315"/>
      <c r="L147" s="282"/>
      <c r="M147" s="282"/>
      <c r="N147" s="282"/>
      <c r="O147" s="282"/>
      <c r="P147" s="282"/>
      <c r="Q147" s="282"/>
      <c r="R147" s="282"/>
      <c r="S147" s="282"/>
      <c r="T147" s="282"/>
      <c r="U147" s="282"/>
      <c r="V147" s="282"/>
      <c r="W147" s="282"/>
      <c r="X147" s="282"/>
      <c r="Y147" s="282"/>
      <c r="Z147" s="282"/>
      <c r="AA147" s="282"/>
      <c r="AB147" s="282"/>
      <c r="AC147" s="282"/>
      <c r="AD147" s="282"/>
    </row>
    <row r="148" spans="1:30" x14ac:dyDescent="0.3">
      <c r="A148" s="315"/>
      <c r="B148" s="315"/>
      <c r="C148" s="315"/>
      <c r="D148" s="315"/>
      <c r="E148" s="315"/>
      <c r="F148" s="321"/>
      <c r="G148" s="321"/>
      <c r="H148" s="321"/>
      <c r="I148" s="315"/>
      <c r="J148" s="315"/>
      <c r="K148" s="315"/>
      <c r="L148" s="282"/>
      <c r="M148" s="282"/>
      <c r="N148" s="282"/>
      <c r="O148" s="282"/>
      <c r="P148" s="282"/>
      <c r="Q148" s="282"/>
      <c r="R148" s="282"/>
      <c r="S148" s="282"/>
      <c r="T148" s="282"/>
      <c r="U148" s="282"/>
      <c r="V148" s="282"/>
      <c r="W148" s="282"/>
      <c r="X148" s="282"/>
      <c r="Y148" s="282"/>
      <c r="Z148" s="282"/>
      <c r="AA148" s="282"/>
      <c r="AB148" s="282"/>
      <c r="AC148" s="282"/>
      <c r="AD148" s="282"/>
    </row>
    <row r="149" spans="1:30" x14ac:dyDescent="0.3">
      <c r="A149" s="315"/>
      <c r="B149" s="315"/>
      <c r="C149" s="315"/>
      <c r="D149" s="315"/>
      <c r="E149" s="315"/>
      <c r="F149" s="321"/>
      <c r="G149" s="321"/>
      <c r="H149" s="321"/>
      <c r="I149" s="315"/>
      <c r="J149" s="315"/>
      <c r="K149" s="315"/>
      <c r="L149" s="282"/>
      <c r="M149" s="282"/>
      <c r="N149" s="282"/>
      <c r="O149" s="282"/>
      <c r="P149" s="282"/>
      <c r="Q149" s="282"/>
      <c r="R149" s="282"/>
      <c r="S149" s="282"/>
      <c r="T149" s="282"/>
      <c r="U149" s="282"/>
      <c r="V149" s="282"/>
      <c r="W149" s="282"/>
      <c r="X149" s="282"/>
      <c r="Y149" s="282"/>
      <c r="Z149" s="282"/>
      <c r="AA149" s="282"/>
      <c r="AB149" s="282"/>
      <c r="AC149" s="282"/>
      <c r="AD149" s="282"/>
    </row>
    <row r="150" spans="1:30" x14ac:dyDescent="0.3">
      <c r="A150" s="315"/>
      <c r="B150" s="315"/>
      <c r="C150" s="315"/>
      <c r="D150" s="315"/>
      <c r="E150" s="315"/>
      <c r="F150" s="321"/>
      <c r="G150" s="321"/>
      <c r="H150" s="321"/>
      <c r="I150" s="315"/>
      <c r="J150" s="315"/>
      <c r="K150" s="315"/>
      <c r="L150" s="282"/>
      <c r="M150" s="282"/>
      <c r="N150" s="282"/>
      <c r="O150" s="282"/>
      <c r="P150" s="282"/>
      <c r="Q150" s="282"/>
      <c r="R150" s="282"/>
      <c r="S150" s="282"/>
      <c r="T150" s="282"/>
      <c r="U150" s="282"/>
      <c r="V150" s="282"/>
      <c r="W150" s="282"/>
      <c r="X150" s="282"/>
      <c r="Y150" s="282"/>
      <c r="Z150" s="282"/>
      <c r="AA150" s="282"/>
      <c r="AB150" s="282"/>
      <c r="AC150" s="282"/>
      <c r="AD150" s="282"/>
    </row>
    <row r="151" spans="1:30" x14ac:dyDescent="0.3">
      <c r="A151" s="315"/>
      <c r="B151" s="315"/>
      <c r="C151" s="315"/>
      <c r="D151" s="315"/>
      <c r="E151" s="315"/>
      <c r="F151" s="321"/>
      <c r="G151" s="321"/>
      <c r="H151" s="321"/>
      <c r="I151" s="315"/>
      <c r="J151" s="315"/>
      <c r="K151" s="315"/>
      <c r="L151" s="282"/>
      <c r="M151" s="282"/>
      <c r="N151" s="282"/>
      <c r="O151" s="282"/>
      <c r="P151" s="282"/>
      <c r="Q151" s="282"/>
      <c r="R151" s="282"/>
      <c r="S151" s="282"/>
      <c r="T151" s="282"/>
      <c r="U151" s="282"/>
      <c r="V151" s="282"/>
      <c r="W151" s="282"/>
      <c r="X151" s="282"/>
      <c r="Y151" s="282"/>
      <c r="Z151" s="282"/>
      <c r="AA151" s="282"/>
      <c r="AB151" s="282"/>
      <c r="AC151" s="282"/>
      <c r="AD151" s="282"/>
    </row>
    <row r="152" spans="1:30" x14ac:dyDescent="0.3">
      <c r="A152" s="315"/>
      <c r="B152" s="315"/>
      <c r="C152" s="315"/>
      <c r="D152" s="315"/>
      <c r="E152" s="315"/>
      <c r="F152" s="321"/>
      <c r="G152" s="321"/>
      <c r="H152" s="321"/>
      <c r="I152" s="315"/>
      <c r="J152" s="315"/>
      <c r="K152" s="315"/>
      <c r="L152" s="282"/>
      <c r="M152" s="282"/>
      <c r="N152" s="282"/>
      <c r="O152" s="282"/>
      <c r="P152" s="282"/>
      <c r="Q152" s="282"/>
      <c r="R152" s="282"/>
      <c r="S152" s="282"/>
      <c r="T152" s="282"/>
      <c r="U152" s="282"/>
      <c r="V152" s="282"/>
      <c r="W152" s="282"/>
      <c r="X152" s="282"/>
      <c r="Y152" s="282"/>
      <c r="Z152" s="282"/>
      <c r="AA152" s="282"/>
      <c r="AB152" s="282"/>
      <c r="AC152" s="282"/>
      <c r="AD152" s="282"/>
    </row>
    <row r="153" spans="1:30" x14ac:dyDescent="0.3">
      <c r="A153" s="315"/>
      <c r="B153" s="315"/>
      <c r="C153" s="315"/>
      <c r="D153" s="315"/>
      <c r="E153" s="315"/>
      <c r="F153" s="321"/>
      <c r="G153" s="321"/>
      <c r="H153" s="321"/>
      <c r="I153" s="315"/>
      <c r="J153" s="315"/>
      <c r="K153" s="315"/>
      <c r="L153" s="282"/>
      <c r="M153" s="282"/>
      <c r="N153" s="282"/>
      <c r="O153" s="282"/>
      <c r="P153" s="282"/>
      <c r="Q153" s="282"/>
      <c r="R153" s="282"/>
      <c r="S153" s="282"/>
      <c r="T153" s="282"/>
      <c r="U153" s="282"/>
      <c r="V153" s="282"/>
      <c r="W153" s="282"/>
      <c r="X153" s="282"/>
      <c r="Y153" s="282"/>
      <c r="Z153" s="282"/>
      <c r="AA153" s="282"/>
      <c r="AB153" s="282"/>
      <c r="AC153" s="282"/>
      <c r="AD153" s="282"/>
    </row>
    <row r="154" spans="1:30" x14ac:dyDescent="0.3">
      <c r="A154" s="315"/>
      <c r="B154" s="315"/>
      <c r="C154" s="315"/>
      <c r="D154" s="315"/>
      <c r="E154" s="315"/>
      <c r="F154" s="321"/>
      <c r="G154" s="321"/>
      <c r="H154" s="321"/>
      <c r="I154" s="315"/>
      <c r="J154" s="315"/>
      <c r="K154" s="315"/>
      <c r="L154" s="282"/>
      <c r="M154" s="282"/>
      <c r="N154" s="282"/>
      <c r="O154" s="282"/>
      <c r="P154" s="282"/>
      <c r="Q154" s="282"/>
      <c r="R154" s="282"/>
      <c r="S154" s="282"/>
      <c r="T154" s="282"/>
      <c r="U154" s="282"/>
      <c r="V154" s="282"/>
      <c r="W154" s="282"/>
      <c r="X154" s="282"/>
      <c r="Y154" s="282"/>
      <c r="Z154" s="282"/>
      <c r="AA154" s="282"/>
      <c r="AB154" s="282"/>
      <c r="AC154" s="282"/>
      <c r="AD154" s="282"/>
    </row>
    <row r="155" spans="1:30" x14ac:dyDescent="0.3">
      <c r="A155" s="315"/>
      <c r="B155" s="315"/>
      <c r="C155" s="315"/>
      <c r="D155" s="315"/>
      <c r="E155" s="315"/>
      <c r="F155" s="321"/>
      <c r="G155" s="321"/>
      <c r="H155" s="321"/>
      <c r="I155" s="315"/>
      <c r="J155" s="315"/>
      <c r="K155" s="315"/>
      <c r="L155" s="282"/>
      <c r="M155" s="282"/>
      <c r="N155" s="282"/>
      <c r="O155" s="282"/>
      <c r="P155" s="282"/>
      <c r="Q155" s="282"/>
      <c r="R155" s="282"/>
      <c r="S155" s="282"/>
      <c r="T155" s="282"/>
      <c r="U155" s="282"/>
      <c r="V155" s="282"/>
      <c r="W155" s="282"/>
      <c r="X155" s="282"/>
      <c r="Y155" s="282"/>
      <c r="Z155" s="282"/>
      <c r="AA155" s="282"/>
      <c r="AB155" s="282"/>
      <c r="AC155" s="282"/>
      <c r="AD155" s="282"/>
    </row>
    <row r="156" spans="1:30" x14ac:dyDescent="0.3">
      <c r="A156" s="315"/>
      <c r="B156" s="315"/>
      <c r="C156" s="315"/>
      <c r="D156" s="315"/>
      <c r="E156" s="315"/>
      <c r="F156" s="321"/>
      <c r="G156" s="321"/>
      <c r="H156" s="321"/>
      <c r="I156" s="315"/>
      <c r="J156" s="315"/>
      <c r="K156" s="315"/>
      <c r="L156" s="282"/>
      <c r="M156" s="282"/>
      <c r="N156" s="282"/>
      <c r="O156" s="282"/>
      <c r="P156" s="282"/>
      <c r="Q156" s="282"/>
      <c r="R156" s="282"/>
      <c r="S156" s="282"/>
      <c r="T156" s="282"/>
      <c r="U156" s="282"/>
      <c r="V156" s="282"/>
      <c r="W156" s="282"/>
      <c r="X156" s="282"/>
      <c r="Y156" s="282"/>
      <c r="Z156" s="282"/>
      <c r="AA156" s="282"/>
      <c r="AB156" s="282"/>
      <c r="AC156" s="282"/>
      <c r="AD156" s="282"/>
    </row>
    <row r="157" spans="1:30" x14ac:dyDescent="0.3">
      <c r="A157" s="315"/>
      <c r="B157" s="315"/>
      <c r="C157" s="315"/>
      <c r="D157" s="315"/>
      <c r="E157" s="315"/>
      <c r="F157" s="321"/>
      <c r="G157" s="321"/>
      <c r="H157" s="321"/>
      <c r="I157" s="315"/>
      <c r="J157" s="315"/>
      <c r="K157" s="315"/>
      <c r="L157" s="282"/>
      <c r="M157" s="282"/>
      <c r="N157" s="282"/>
      <c r="O157" s="282"/>
      <c r="P157" s="282"/>
      <c r="Q157" s="282"/>
      <c r="R157" s="282"/>
      <c r="S157" s="282"/>
      <c r="T157" s="282"/>
      <c r="U157" s="282"/>
      <c r="V157" s="282"/>
      <c r="W157" s="282"/>
      <c r="X157" s="282"/>
      <c r="Y157" s="282"/>
      <c r="Z157" s="282"/>
      <c r="AA157" s="282"/>
      <c r="AB157" s="282"/>
      <c r="AC157" s="282"/>
      <c r="AD157" s="282"/>
    </row>
    <row r="158" spans="1:30" x14ac:dyDescent="0.3">
      <c r="A158" s="315"/>
      <c r="B158" s="315"/>
      <c r="C158" s="315"/>
      <c r="D158" s="315"/>
      <c r="E158" s="315"/>
      <c r="F158" s="321"/>
      <c r="G158" s="321"/>
      <c r="H158" s="321"/>
      <c r="I158" s="315"/>
      <c r="J158" s="315"/>
      <c r="K158" s="315"/>
      <c r="L158" s="282"/>
      <c r="M158" s="282"/>
      <c r="N158" s="282"/>
      <c r="O158" s="282"/>
      <c r="P158" s="282"/>
      <c r="Q158" s="282"/>
      <c r="R158" s="282"/>
      <c r="S158" s="282"/>
      <c r="T158" s="282"/>
      <c r="U158" s="282"/>
      <c r="V158" s="282"/>
      <c r="W158" s="282"/>
      <c r="X158" s="282"/>
      <c r="Y158" s="282"/>
      <c r="Z158" s="282"/>
      <c r="AA158" s="282"/>
      <c r="AB158" s="282"/>
      <c r="AC158" s="282"/>
      <c r="AD158" s="282"/>
    </row>
    <row r="159" spans="1:30" x14ac:dyDescent="0.3">
      <c r="A159" s="315"/>
      <c r="B159" s="315"/>
      <c r="C159" s="315"/>
      <c r="D159" s="315"/>
      <c r="E159" s="315"/>
      <c r="F159" s="321"/>
      <c r="G159" s="321"/>
      <c r="H159" s="321"/>
      <c r="I159" s="315"/>
      <c r="J159" s="315"/>
      <c r="K159" s="315"/>
      <c r="L159" s="282"/>
      <c r="M159" s="282"/>
      <c r="N159" s="282"/>
      <c r="O159" s="282"/>
      <c r="P159" s="282"/>
      <c r="Q159" s="282"/>
      <c r="R159" s="282"/>
      <c r="S159" s="282"/>
      <c r="T159" s="282"/>
      <c r="U159" s="282"/>
      <c r="V159" s="282"/>
      <c r="W159" s="282"/>
      <c r="X159" s="282"/>
      <c r="Y159" s="282"/>
      <c r="Z159" s="282"/>
      <c r="AA159" s="282"/>
      <c r="AB159" s="282"/>
      <c r="AC159" s="282"/>
      <c r="AD159" s="282"/>
    </row>
    <row r="160" spans="1:30" x14ac:dyDescent="0.3">
      <c r="A160" s="315"/>
      <c r="B160" s="315"/>
      <c r="C160" s="315"/>
      <c r="D160" s="315"/>
      <c r="E160" s="315"/>
      <c r="F160" s="321"/>
      <c r="G160" s="321"/>
      <c r="H160" s="321"/>
      <c r="I160" s="315"/>
      <c r="J160" s="315"/>
      <c r="K160" s="315"/>
      <c r="L160" s="282"/>
      <c r="M160" s="282"/>
      <c r="N160" s="282"/>
      <c r="O160" s="282"/>
      <c r="P160" s="282"/>
      <c r="Q160" s="282"/>
      <c r="R160" s="282"/>
      <c r="S160" s="282"/>
      <c r="T160" s="282"/>
      <c r="U160" s="282"/>
      <c r="V160" s="282"/>
      <c r="W160" s="282"/>
      <c r="X160" s="282"/>
      <c r="Y160" s="282"/>
      <c r="Z160" s="282"/>
      <c r="AA160" s="282"/>
      <c r="AB160" s="282"/>
      <c r="AC160" s="282"/>
      <c r="AD160" s="282"/>
    </row>
    <row r="161" spans="1:30" x14ac:dyDescent="0.3">
      <c r="A161" s="315"/>
      <c r="B161" s="315"/>
      <c r="C161" s="315"/>
      <c r="D161" s="315"/>
      <c r="E161" s="315"/>
      <c r="F161" s="321"/>
      <c r="G161" s="321"/>
      <c r="H161" s="321"/>
      <c r="I161" s="315"/>
      <c r="J161" s="315"/>
      <c r="K161" s="315"/>
      <c r="L161" s="282"/>
      <c r="M161" s="282"/>
      <c r="N161" s="282"/>
      <c r="O161" s="282"/>
      <c r="P161" s="282"/>
      <c r="Q161" s="282"/>
      <c r="R161" s="282"/>
      <c r="S161" s="282"/>
      <c r="T161" s="282"/>
      <c r="U161" s="282"/>
      <c r="V161" s="282"/>
      <c r="W161" s="282"/>
      <c r="X161" s="282"/>
      <c r="Y161" s="282"/>
      <c r="Z161" s="282"/>
      <c r="AA161" s="282"/>
      <c r="AB161" s="282"/>
      <c r="AC161" s="282"/>
      <c r="AD161" s="282"/>
    </row>
    <row r="162" spans="1:30" x14ac:dyDescent="0.3">
      <c r="A162" s="315"/>
      <c r="B162" s="315"/>
      <c r="C162" s="315"/>
      <c r="D162" s="315"/>
      <c r="E162" s="315"/>
      <c r="F162" s="321"/>
      <c r="G162" s="321"/>
      <c r="H162" s="321"/>
      <c r="I162" s="315"/>
      <c r="J162" s="315"/>
      <c r="K162" s="315"/>
      <c r="L162" s="282"/>
      <c r="M162" s="282"/>
      <c r="N162" s="282"/>
      <c r="O162" s="282"/>
      <c r="P162" s="282"/>
      <c r="Q162" s="282"/>
      <c r="R162" s="282"/>
      <c r="S162" s="282"/>
      <c r="T162" s="282"/>
      <c r="U162" s="282"/>
      <c r="V162" s="282"/>
      <c r="W162" s="282"/>
      <c r="X162" s="282"/>
      <c r="Y162" s="282"/>
      <c r="Z162" s="282"/>
      <c r="AA162" s="282"/>
      <c r="AB162" s="282"/>
      <c r="AC162" s="282"/>
      <c r="AD162" s="282"/>
    </row>
    <row r="163" spans="1:30" x14ac:dyDescent="0.3">
      <c r="A163" s="315"/>
      <c r="B163" s="315"/>
      <c r="C163" s="315"/>
      <c r="D163" s="315"/>
      <c r="E163" s="315"/>
      <c r="F163" s="321"/>
      <c r="G163" s="321"/>
      <c r="H163" s="321"/>
      <c r="I163" s="315"/>
      <c r="J163" s="315"/>
      <c r="K163" s="315"/>
      <c r="L163" s="282"/>
      <c r="M163" s="282"/>
      <c r="N163" s="282"/>
      <c r="O163" s="282"/>
      <c r="P163" s="282"/>
      <c r="Q163" s="282"/>
      <c r="R163" s="282"/>
      <c r="S163" s="282"/>
      <c r="T163" s="282"/>
      <c r="U163" s="282"/>
      <c r="V163" s="282"/>
      <c r="W163" s="282"/>
      <c r="X163" s="282"/>
      <c r="Y163" s="282"/>
      <c r="Z163" s="282"/>
      <c r="AA163" s="282"/>
      <c r="AB163" s="282"/>
      <c r="AC163" s="282"/>
      <c r="AD163" s="282"/>
    </row>
    <row r="164" spans="1:30" x14ac:dyDescent="0.3">
      <c r="A164" s="315"/>
      <c r="B164" s="315"/>
      <c r="C164" s="315"/>
      <c r="D164" s="315"/>
      <c r="E164" s="315"/>
      <c r="F164" s="321"/>
      <c r="G164" s="321"/>
      <c r="H164" s="321"/>
      <c r="I164" s="315"/>
      <c r="J164" s="315"/>
      <c r="K164" s="315"/>
      <c r="L164" s="282"/>
      <c r="M164" s="282"/>
      <c r="N164" s="282"/>
      <c r="O164" s="282"/>
      <c r="P164" s="282"/>
      <c r="Q164" s="282"/>
      <c r="R164" s="282"/>
      <c r="S164" s="282"/>
      <c r="T164" s="282"/>
      <c r="U164" s="282"/>
      <c r="V164" s="282"/>
      <c r="W164" s="282"/>
      <c r="X164" s="282"/>
      <c r="Y164" s="282"/>
      <c r="Z164" s="282"/>
      <c r="AA164" s="282"/>
      <c r="AB164" s="282"/>
      <c r="AC164" s="282"/>
      <c r="AD164" s="282"/>
    </row>
    <row r="165" spans="1:30" x14ac:dyDescent="0.3">
      <c r="A165" s="315"/>
      <c r="B165" s="315"/>
      <c r="C165" s="315"/>
      <c r="D165" s="315"/>
      <c r="E165" s="315"/>
      <c r="F165" s="321"/>
      <c r="G165" s="321"/>
      <c r="H165" s="321"/>
      <c r="I165" s="315"/>
      <c r="J165" s="315"/>
      <c r="K165" s="315"/>
      <c r="L165" s="282"/>
      <c r="M165" s="282"/>
      <c r="N165" s="282"/>
      <c r="O165" s="282"/>
      <c r="P165" s="282"/>
      <c r="Q165" s="282"/>
      <c r="R165" s="282"/>
      <c r="S165" s="282"/>
      <c r="T165" s="282"/>
      <c r="U165" s="282"/>
      <c r="V165" s="282"/>
      <c r="W165" s="282"/>
      <c r="X165" s="282"/>
      <c r="Y165" s="282"/>
      <c r="Z165" s="282"/>
      <c r="AA165" s="282"/>
      <c r="AB165" s="282"/>
      <c r="AC165" s="282"/>
      <c r="AD165" s="282"/>
    </row>
    <row r="166" spans="1:30" x14ac:dyDescent="0.3">
      <c r="A166" s="315"/>
      <c r="B166" s="315"/>
      <c r="C166" s="315"/>
      <c r="D166" s="315"/>
      <c r="E166" s="315"/>
      <c r="F166" s="321"/>
      <c r="G166" s="321"/>
      <c r="H166" s="321"/>
      <c r="I166" s="315"/>
      <c r="J166" s="315"/>
      <c r="K166" s="315"/>
      <c r="L166" s="282"/>
      <c r="M166" s="282"/>
      <c r="N166" s="282"/>
      <c r="O166" s="282"/>
      <c r="P166" s="282"/>
      <c r="Q166" s="282"/>
      <c r="R166" s="282"/>
      <c r="S166" s="282"/>
      <c r="T166" s="282"/>
      <c r="U166" s="282"/>
      <c r="V166" s="282"/>
      <c r="W166" s="282"/>
      <c r="X166" s="282"/>
      <c r="Y166" s="282"/>
      <c r="Z166" s="282"/>
      <c r="AA166" s="282"/>
      <c r="AB166" s="282"/>
      <c r="AC166" s="282"/>
      <c r="AD166" s="282"/>
    </row>
    <row r="167" spans="1:30" x14ac:dyDescent="0.3">
      <c r="A167" s="315"/>
      <c r="B167" s="315"/>
      <c r="C167" s="315"/>
      <c r="D167" s="315"/>
      <c r="E167" s="315"/>
      <c r="F167" s="321"/>
      <c r="G167" s="321"/>
      <c r="H167" s="321"/>
      <c r="I167" s="315"/>
      <c r="J167" s="315"/>
      <c r="K167" s="315"/>
      <c r="L167" s="282"/>
      <c r="M167" s="282"/>
      <c r="N167" s="282"/>
      <c r="O167" s="282"/>
      <c r="P167" s="282"/>
      <c r="Q167" s="282"/>
      <c r="R167" s="282"/>
      <c r="S167" s="282"/>
      <c r="T167" s="282"/>
      <c r="U167" s="282"/>
      <c r="V167" s="282"/>
      <c r="W167" s="282"/>
      <c r="X167" s="282"/>
      <c r="Y167" s="282"/>
      <c r="Z167" s="282"/>
      <c r="AA167" s="282"/>
      <c r="AB167" s="282"/>
      <c r="AC167" s="282"/>
      <c r="AD167" s="282"/>
    </row>
    <row r="168" spans="1:30" x14ac:dyDescent="0.3">
      <c r="A168" s="315"/>
      <c r="B168" s="315"/>
      <c r="C168" s="315"/>
      <c r="D168" s="315"/>
      <c r="E168" s="315"/>
      <c r="F168" s="321"/>
      <c r="G168" s="321"/>
      <c r="H168" s="321"/>
      <c r="I168" s="315"/>
      <c r="J168" s="315"/>
      <c r="K168" s="315"/>
      <c r="L168" s="282"/>
      <c r="M168" s="282"/>
      <c r="N168" s="282"/>
      <c r="O168" s="282"/>
      <c r="P168" s="282"/>
      <c r="Q168" s="282"/>
      <c r="R168" s="282"/>
      <c r="S168" s="282"/>
      <c r="T168" s="282"/>
      <c r="U168" s="282"/>
      <c r="V168" s="282"/>
      <c r="W168" s="282"/>
      <c r="X168" s="282"/>
      <c r="Y168" s="282"/>
      <c r="Z168" s="282"/>
      <c r="AA168" s="282"/>
      <c r="AB168" s="282"/>
      <c r="AC168" s="282"/>
      <c r="AD168" s="282"/>
    </row>
    <row r="169" spans="1:30" x14ac:dyDescent="0.3">
      <c r="A169" s="315"/>
      <c r="B169" s="315"/>
      <c r="C169" s="315"/>
      <c r="D169" s="315"/>
      <c r="E169" s="315"/>
      <c r="F169" s="321"/>
      <c r="G169" s="321"/>
      <c r="H169" s="321"/>
      <c r="I169" s="315"/>
      <c r="J169" s="315"/>
      <c r="K169" s="315"/>
      <c r="L169" s="282"/>
      <c r="M169" s="282"/>
      <c r="N169" s="282"/>
      <c r="O169" s="282"/>
      <c r="P169" s="282"/>
      <c r="Q169" s="282"/>
      <c r="R169" s="282"/>
      <c r="S169" s="282"/>
      <c r="T169" s="282"/>
      <c r="U169" s="282"/>
      <c r="V169" s="282"/>
      <c r="W169" s="282"/>
      <c r="X169" s="282"/>
      <c r="Y169" s="282"/>
      <c r="Z169" s="282"/>
      <c r="AA169" s="282"/>
      <c r="AB169" s="282"/>
      <c r="AC169" s="282"/>
      <c r="AD169" s="282"/>
    </row>
    <row r="170" spans="1:30" x14ac:dyDescent="0.3">
      <c r="A170" s="315"/>
      <c r="B170" s="315"/>
      <c r="C170" s="315"/>
      <c r="D170" s="315"/>
      <c r="E170" s="315"/>
      <c r="F170" s="321"/>
      <c r="G170" s="321"/>
      <c r="H170" s="321"/>
      <c r="I170" s="315"/>
      <c r="J170" s="315"/>
      <c r="K170" s="315"/>
      <c r="L170" s="282"/>
      <c r="M170" s="282"/>
      <c r="N170" s="282"/>
      <c r="O170" s="282"/>
      <c r="P170" s="282"/>
      <c r="Q170" s="282"/>
      <c r="R170" s="282"/>
      <c r="S170" s="282"/>
      <c r="T170" s="282"/>
      <c r="U170" s="282"/>
      <c r="V170" s="282"/>
      <c r="W170" s="282"/>
      <c r="X170" s="282"/>
      <c r="Y170" s="282"/>
      <c r="Z170" s="282"/>
      <c r="AA170" s="282"/>
      <c r="AB170" s="282"/>
      <c r="AC170" s="282"/>
      <c r="AD170" s="282"/>
    </row>
    <row r="171" spans="1:30" x14ac:dyDescent="0.3">
      <c r="A171" s="315"/>
      <c r="B171" s="315"/>
      <c r="C171" s="315"/>
      <c r="D171" s="315"/>
      <c r="E171" s="315"/>
      <c r="F171" s="321"/>
      <c r="G171" s="321"/>
      <c r="H171" s="321"/>
      <c r="I171" s="315"/>
      <c r="J171" s="315"/>
      <c r="K171" s="315"/>
      <c r="L171" s="282"/>
      <c r="M171" s="282"/>
      <c r="N171" s="282"/>
      <c r="O171" s="282"/>
      <c r="P171" s="282"/>
      <c r="Q171" s="282"/>
      <c r="R171" s="282"/>
      <c r="S171" s="282"/>
      <c r="T171" s="282"/>
      <c r="U171" s="282"/>
      <c r="V171" s="282"/>
      <c r="W171" s="282"/>
      <c r="X171" s="282"/>
      <c r="Y171" s="282"/>
      <c r="Z171" s="282"/>
      <c r="AA171" s="282"/>
      <c r="AB171" s="282"/>
      <c r="AC171" s="282"/>
      <c r="AD171" s="282"/>
    </row>
    <row r="172" spans="1:30" x14ac:dyDescent="0.3">
      <c r="A172" s="315"/>
      <c r="B172" s="315"/>
      <c r="C172" s="315"/>
      <c r="D172" s="315"/>
      <c r="E172" s="315"/>
      <c r="F172" s="321"/>
      <c r="G172" s="321"/>
      <c r="H172" s="321"/>
      <c r="I172" s="315"/>
      <c r="J172" s="315"/>
      <c r="K172" s="315"/>
      <c r="L172" s="282"/>
      <c r="M172" s="282"/>
      <c r="N172" s="282"/>
      <c r="O172" s="282"/>
      <c r="P172" s="282"/>
      <c r="Q172" s="282"/>
      <c r="R172" s="282"/>
      <c r="S172" s="282"/>
      <c r="T172" s="282"/>
      <c r="U172" s="282"/>
      <c r="V172" s="282"/>
      <c r="W172" s="282"/>
      <c r="X172" s="282"/>
      <c r="Y172" s="282"/>
      <c r="Z172" s="282"/>
      <c r="AA172" s="282"/>
      <c r="AB172" s="282"/>
      <c r="AC172" s="282"/>
      <c r="AD172" s="282"/>
    </row>
    <row r="173" spans="1:30" x14ac:dyDescent="0.3">
      <c r="A173" s="315"/>
      <c r="B173" s="315"/>
      <c r="C173" s="315"/>
      <c r="D173" s="315"/>
      <c r="E173" s="315"/>
      <c r="F173" s="321"/>
      <c r="G173" s="321"/>
      <c r="H173" s="321"/>
      <c r="I173" s="315"/>
      <c r="J173" s="315"/>
      <c r="K173" s="315"/>
      <c r="L173" s="282"/>
      <c r="M173" s="282"/>
      <c r="N173" s="282"/>
      <c r="O173" s="282"/>
      <c r="P173" s="282"/>
      <c r="Q173" s="282"/>
      <c r="R173" s="282"/>
      <c r="S173" s="282"/>
      <c r="T173" s="282"/>
      <c r="U173" s="282"/>
      <c r="V173" s="282"/>
      <c r="W173" s="282"/>
      <c r="X173" s="282"/>
      <c r="Y173" s="282"/>
      <c r="Z173" s="282"/>
      <c r="AA173" s="282"/>
      <c r="AB173" s="282"/>
      <c r="AC173" s="282"/>
      <c r="AD173" s="282"/>
    </row>
    <row r="174" spans="1:30" x14ac:dyDescent="0.3">
      <c r="A174" s="315"/>
      <c r="B174" s="315"/>
      <c r="C174" s="315"/>
      <c r="D174" s="315"/>
      <c r="E174" s="315"/>
      <c r="F174" s="321"/>
      <c r="G174" s="321"/>
      <c r="H174" s="321"/>
      <c r="I174" s="315"/>
      <c r="J174" s="315"/>
      <c r="K174" s="315"/>
      <c r="L174" s="282"/>
      <c r="M174" s="282"/>
      <c r="N174" s="282"/>
      <c r="O174" s="282"/>
      <c r="P174" s="282"/>
      <c r="Q174" s="282"/>
      <c r="R174" s="282"/>
      <c r="S174" s="282"/>
      <c r="T174" s="282"/>
      <c r="U174" s="282"/>
      <c r="V174" s="282"/>
      <c r="W174" s="282"/>
      <c r="X174" s="282"/>
      <c r="Y174" s="282"/>
      <c r="Z174" s="282"/>
      <c r="AA174" s="282"/>
      <c r="AB174" s="282"/>
      <c r="AC174" s="282"/>
      <c r="AD174" s="282"/>
    </row>
    <row r="175" spans="1:30" x14ac:dyDescent="0.3">
      <c r="A175" s="315"/>
      <c r="B175" s="315"/>
      <c r="C175" s="315"/>
      <c r="D175" s="315"/>
      <c r="E175" s="315"/>
      <c r="F175" s="321"/>
      <c r="G175" s="321"/>
      <c r="H175" s="321"/>
      <c r="I175" s="315"/>
      <c r="J175" s="315"/>
      <c r="K175" s="315"/>
      <c r="L175" s="282"/>
      <c r="M175" s="282"/>
      <c r="N175" s="282"/>
      <c r="O175" s="282"/>
      <c r="P175" s="282"/>
      <c r="Q175" s="282"/>
      <c r="R175" s="282"/>
      <c r="S175" s="282"/>
      <c r="T175" s="282"/>
      <c r="U175" s="282"/>
      <c r="V175" s="282"/>
      <c r="W175" s="282"/>
      <c r="X175" s="282"/>
      <c r="Y175" s="282"/>
      <c r="Z175" s="282"/>
      <c r="AA175" s="282"/>
      <c r="AB175" s="282"/>
      <c r="AC175" s="282"/>
      <c r="AD175" s="282"/>
    </row>
    <row r="176" spans="1:30" x14ac:dyDescent="0.3">
      <c r="A176" s="315"/>
      <c r="B176" s="315"/>
      <c r="C176" s="315"/>
      <c r="D176" s="315"/>
      <c r="E176" s="315"/>
      <c r="F176" s="321"/>
      <c r="G176" s="321"/>
      <c r="H176" s="321"/>
      <c r="I176" s="315"/>
      <c r="J176" s="315"/>
      <c r="K176" s="315"/>
      <c r="L176" s="282"/>
      <c r="M176" s="282"/>
      <c r="N176" s="282"/>
      <c r="O176" s="282"/>
      <c r="P176" s="282"/>
      <c r="Q176" s="282"/>
      <c r="R176" s="282"/>
      <c r="S176" s="282"/>
      <c r="T176" s="282"/>
      <c r="U176" s="282"/>
      <c r="V176" s="282"/>
      <c r="W176" s="282"/>
      <c r="X176" s="282"/>
      <c r="Y176" s="282"/>
      <c r="Z176" s="282"/>
      <c r="AA176" s="282"/>
      <c r="AB176" s="282"/>
      <c r="AC176" s="282"/>
      <c r="AD176" s="282"/>
    </row>
    <row r="177" spans="1:30" x14ac:dyDescent="0.3">
      <c r="A177" s="315"/>
      <c r="B177" s="315"/>
      <c r="C177" s="315"/>
      <c r="D177" s="315"/>
      <c r="E177" s="315"/>
      <c r="F177" s="321"/>
      <c r="G177" s="321"/>
      <c r="H177" s="321"/>
      <c r="I177" s="315"/>
      <c r="J177" s="315"/>
      <c r="K177" s="315"/>
      <c r="L177" s="282"/>
      <c r="M177" s="282"/>
      <c r="N177" s="282"/>
      <c r="O177" s="282"/>
      <c r="P177" s="282"/>
      <c r="Q177" s="282"/>
      <c r="R177" s="282"/>
      <c r="S177" s="282"/>
      <c r="T177" s="282"/>
      <c r="U177" s="282"/>
      <c r="V177" s="282"/>
      <c r="W177" s="282"/>
      <c r="X177" s="282"/>
      <c r="Y177" s="282"/>
      <c r="Z177" s="282"/>
      <c r="AA177" s="282"/>
      <c r="AB177" s="282"/>
      <c r="AC177" s="282"/>
      <c r="AD177" s="282"/>
    </row>
    <row r="178" spans="1:30" x14ac:dyDescent="0.3">
      <c r="A178" s="315"/>
      <c r="B178" s="315"/>
      <c r="C178" s="315"/>
      <c r="D178" s="315"/>
      <c r="E178" s="315"/>
      <c r="F178" s="321"/>
      <c r="G178" s="321"/>
      <c r="H178" s="321"/>
      <c r="I178" s="315"/>
      <c r="J178" s="315"/>
      <c r="K178" s="315"/>
      <c r="L178" s="282"/>
      <c r="M178" s="282"/>
      <c r="N178" s="282"/>
      <c r="O178" s="282"/>
      <c r="P178" s="282"/>
      <c r="Q178" s="282"/>
      <c r="R178" s="282"/>
      <c r="S178" s="282"/>
      <c r="T178" s="282"/>
      <c r="U178" s="282"/>
      <c r="V178" s="282"/>
      <c r="W178" s="282"/>
      <c r="X178" s="282"/>
      <c r="Y178" s="282"/>
      <c r="Z178" s="282"/>
      <c r="AA178" s="282"/>
      <c r="AB178" s="282"/>
      <c r="AC178" s="282"/>
      <c r="AD178" s="282"/>
    </row>
    <row r="179" spans="1:30" x14ac:dyDescent="0.3">
      <c r="A179" s="315"/>
      <c r="B179" s="315"/>
      <c r="C179" s="315"/>
      <c r="D179" s="315"/>
      <c r="E179" s="315"/>
      <c r="F179" s="321"/>
      <c r="G179" s="321"/>
      <c r="H179" s="321"/>
      <c r="I179" s="315"/>
      <c r="J179" s="315"/>
      <c r="K179" s="315"/>
      <c r="L179" s="282"/>
      <c r="M179" s="282"/>
      <c r="N179" s="282"/>
      <c r="O179" s="282"/>
      <c r="P179" s="282"/>
      <c r="Q179" s="282"/>
      <c r="R179" s="282"/>
      <c r="S179" s="282"/>
      <c r="T179" s="282"/>
      <c r="U179" s="282"/>
      <c r="V179" s="282"/>
      <c r="W179" s="282"/>
      <c r="X179" s="282"/>
      <c r="Y179" s="282"/>
      <c r="Z179" s="282"/>
      <c r="AA179" s="282"/>
      <c r="AB179" s="282"/>
      <c r="AC179" s="282"/>
      <c r="AD179" s="282"/>
    </row>
    <row r="180" spans="1:30" x14ac:dyDescent="0.3">
      <c r="A180" s="315"/>
      <c r="B180" s="315"/>
      <c r="C180" s="315"/>
      <c r="D180" s="315"/>
      <c r="E180" s="315"/>
      <c r="F180" s="321"/>
      <c r="G180" s="321"/>
      <c r="H180" s="321"/>
      <c r="I180" s="315"/>
      <c r="J180" s="315"/>
      <c r="K180" s="315"/>
      <c r="L180" s="282"/>
      <c r="M180" s="282"/>
      <c r="N180" s="282"/>
      <c r="O180" s="282"/>
      <c r="P180" s="282"/>
      <c r="Q180" s="282"/>
      <c r="R180" s="282"/>
      <c r="S180" s="282"/>
      <c r="T180" s="282"/>
      <c r="U180" s="282"/>
      <c r="V180" s="282"/>
      <c r="W180" s="282"/>
      <c r="X180" s="282"/>
      <c r="Y180" s="282"/>
      <c r="Z180" s="282"/>
      <c r="AA180" s="282"/>
      <c r="AB180" s="282"/>
      <c r="AC180" s="282"/>
      <c r="AD180" s="282"/>
    </row>
    <row r="181" spans="1:30" x14ac:dyDescent="0.3">
      <c r="A181" s="315"/>
      <c r="B181" s="315"/>
      <c r="C181" s="315"/>
      <c r="D181" s="315"/>
      <c r="E181" s="315"/>
      <c r="F181" s="321"/>
      <c r="G181" s="321"/>
      <c r="H181" s="321"/>
      <c r="I181" s="315"/>
      <c r="J181" s="315"/>
      <c r="K181" s="315"/>
      <c r="L181" s="282"/>
      <c r="M181" s="282"/>
      <c r="N181" s="282"/>
      <c r="O181" s="282"/>
      <c r="P181" s="282"/>
      <c r="Q181" s="282"/>
      <c r="R181" s="282"/>
      <c r="S181" s="282"/>
      <c r="T181" s="282"/>
      <c r="U181" s="282"/>
      <c r="V181" s="282"/>
      <c r="W181" s="282"/>
      <c r="X181" s="282"/>
      <c r="Y181" s="282"/>
      <c r="Z181" s="282"/>
      <c r="AA181" s="282"/>
      <c r="AB181" s="282"/>
      <c r="AC181" s="282"/>
      <c r="AD181" s="282"/>
    </row>
    <row r="182" spans="1:30" x14ac:dyDescent="0.3">
      <c r="A182" s="315"/>
      <c r="B182" s="315"/>
      <c r="C182" s="315"/>
      <c r="D182" s="315"/>
      <c r="E182" s="315"/>
      <c r="F182" s="321"/>
      <c r="G182" s="321"/>
      <c r="H182" s="321"/>
      <c r="I182" s="315"/>
      <c r="J182" s="315"/>
      <c r="K182" s="315"/>
      <c r="L182" s="282"/>
      <c r="M182" s="282"/>
      <c r="N182" s="282"/>
      <c r="O182" s="282"/>
      <c r="P182" s="282"/>
      <c r="Q182" s="282"/>
      <c r="R182" s="282"/>
      <c r="S182" s="282"/>
      <c r="T182" s="282"/>
      <c r="U182" s="282"/>
      <c r="V182" s="282"/>
      <c r="W182" s="282"/>
      <c r="X182" s="282"/>
      <c r="Y182" s="282"/>
      <c r="Z182" s="282"/>
      <c r="AA182" s="282"/>
      <c r="AB182" s="282"/>
      <c r="AC182" s="282"/>
      <c r="AD182" s="282"/>
    </row>
    <row r="183" spans="1:30" x14ac:dyDescent="0.3">
      <c r="A183" s="315"/>
      <c r="B183" s="315"/>
      <c r="C183" s="315"/>
      <c r="D183" s="315"/>
      <c r="E183" s="315"/>
      <c r="F183" s="321"/>
      <c r="G183" s="321"/>
      <c r="H183" s="321"/>
      <c r="I183" s="315"/>
      <c r="J183" s="315"/>
      <c r="K183" s="315"/>
      <c r="L183" s="282"/>
      <c r="M183" s="282"/>
      <c r="N183" s="282"/>
      <c r="O183" s="282"/>
      <c r="P183" s="282"/>
      <c r="Q183" s="282"/>
      <c r="R183" s="282"/>
      <c r="S183" s="282"/>
      <c r="T183" s="282"/>
      <c r="U183" s="282"/>
      <c r="V183" s="282"/>
      <c r="W183" s="282"/>
      <c r="X183" s="282"/>
      <c r="Y183" s="282"/>
      <c r="Z183" s="282"/>
      <c r="AA183" s="282"/>
      <c r="AB183" s="282"/>
      <c r="AC183" s="282"/>
      <c r="AD183" s="282"/>
    </row>
    <row r="184" spans="1:30" x14ac:dyDescent="0.3">
      <c r="A184" s="315"/>
      <c r="B184" s="315"/>
      <c r="C184" s="315"/>
      <c r="D184" s="315"/>
      <c r="E184" s="315"/>
      <c r="F184" s="321"/>
      <c r="G184" s="321"/>
      <c r="H184" s="321"/>
      <c r="I184" s="315"/>
      <c r="J184" s="315"/>
      <c r="K184" s="315"/>
      <c r="L184" s="282"/>
      <c r="M184" s="282"/>
      <c r="N184" s="282"/>
      <c r="O184" s="282"/>
      <c r="P184" s="282"/>
      <c r="Q184" s="282"/>
      <c r="R184" s="282"/>
      <c r="S184" s="282"/>
      <c r="T184" s="282"/>
      <c r="U184" s="282"/>
      <c r="V184" s="282"/>
      <c r="W184" s="282"/>
      <c r="X184" s="282"/>
      <c r="Y184" s="282"/>
      <c r="Z184" s="282"/>
      <c r="AA184" s="282"/>
      <c r="AB184" s="282"/>
      <c r="AC184" s="282"/>
      <c r="AD184" s="282"/>
    </row>
    <row r="185" spans="1:30" x14ac:dyDescent="0.3">
      <c r="A185" s="315"/>
      <c r="B185" s="315"/>
      <c r="C185" s="315"/>
      <c r="D185" s="315"/>
      <c r="E185" s="315"/>
      <c r="F185" s="321"/>
      <c r="G185" s="321"/>
      <c r="H185" s="321"/>
      <c r="I185" s="315"/>
      <c r="J185" s="315"/>
      <c r="K185" s="315"/>
      <c r="L185" s="282"/>
      <c r="M185" s="282"/>
      <c r="N185" s="282"/>
      <c r="O185" s="282"/>
      <c r="P185" s="282"/>
      <c r="Q185" s="282"/>
      <c r="R185" s="282"/>
      <c r="S185" s="282"/>
      <c r="T185" s="282"/>
      <c r="U185" s="282"/>
      <c r="V185" s="282"/>
      <c r="W185" s="282"/>
      <c r="X185" s="282"/>
      <c r="Y185" s="282"/>
      <c r="Z185" s="282"/>
      <c r="AA185" s="282"/>
      <c r="AB185" s="282"/>
      <c r="AC185" s="282"/>
      <c r="AD185" s="282"/>
    </row>
    <row r="186" spans="1:30" x14ac:dyDescent="0.3">
      <c r="A186" s="315"/>
      <c r="B186" s="315"/>
      <c r="C186" s="315"/>
      <c r="D186" s="315"/>
      <c r="E186" s="315"/>
      <c r="F186" s="321"/>
      <c r="G186" s="321"/>
      <c r="H186" s="321"/>
      <c r="I186" s="315"/>
      <c r="J186" s="315"/>
      <c r="K186" s="315"/>
      <c r="L186" s="282"/>
      <c r="M186" s="282"/>
      <c r="N186" s="282"/>
      <c r="O186" s="282"/>
      <c r="P186" s="282"/>
      <c r="Q186" s="282"/>
      <c r="R186" s="282"/>
      <c r="S186" s="282"/>
      <c r="T186" s="282"/>
      <c r="U186" s="282"/>
      <c r="V186" s="282"/>
      <c r="W186" s="282"/>
      <c r="X186" s="282"/>
      <c r="Y186" s="282"/>
      <c r="Z186" s="282"/>
      <c r="AA186" s="282"/>
      <c r="AB186" s="282"/>
      <c r="AC186" s="282"/>
      <c r="AD186" s="282"/>
    </row>
    <row r="187" spans="1:30" x14ac:dyDescent="0.3">
      <c r="A187" s="315"/>
      <c r="B187" s="315"/>
      <c r="C187" s="315"/>
      <c r="D187" s="315"/>
      <c r="E187" s="315"/>
      <c r="F187" s="321"/>
      <c r="G187" s="321"/>
      <c r="H187" s="321"/>
      <c r="I187" s="315"/>
      <c r="J187" s="315"/>
      <c r="K187" s="315"/>
      <c r="L187" s="282"/>
      <c r="M187" s="282"/>
      <c r="N187" s="282"/>
      <c r="O187" s="282"/>
      <c r="P187" s="282"/>
      <c r="Q187" s="282"/>
      <c r="R187" s="282"/>
      <c r="S187" s="282"/>
      <c r="T187" s="282"/>
      <c r="U187" s="282"/>
      <c r="V187" s="282"/>
      <c r="W187" s="282"/>
      <c r="X187" s="282"/>
      <c r="Y187" s="282"/>
      <c r="Z187" s="282"/>
      <c r="AA187" s="282"/>
      <c r="AB187" s="282"/>
      <c r="AC187" s="282"/>
      <c r="AD187" s="282"/>
    </row>
    <row r="188" spans="1:30" x14ac:dyDescent="0.3">
      <c r="A188" s="315"/>
      <c r="B188" s="315"/>
      <c r="C188" s="315"/>
      <c r="D188" s="315"/>
      <c r="E188" s="315"/>
      <c r="F188" s="321"/>
      <c r="G188" s="321"/>
      <c r="H188" s="321"/>
      <c r="I188" s="315"/>
      <c r="J188" s="315"/>
      <c r="K188" s="315"/>
      <c r="L188" s="282"/>
      <c r="M188" s="282"/>
      <c r="N188" s="282"/>
      <c r="O188" s="282"/>
      <c r="P188" s="282"/>
      <c r="Q188" s="282"/>
      <c r="R188" s="282"/>
      <c r="S188" s="282"/>
      <c r="T188" s="282"/>
      <c r="U188" s="282"/>
      <c r="V188" s="282"/>
      <c r="W188" s="282"/>
      <c r="X188" s="282"/>
      <c r="Y188" s="282"/>
      <c r="Z188" s="282"/>
      <c r="AA188" s="282"/>
      <c r="AB188" s="282"/>
      <c r="AC188" s="282"/>
      <c r="AD188" s="282"/>
    </row>
    <row r="189" spans="1:30" x14ac:dyDescent="0.3">
      <c r="A189" s="315"/>
      <c r="B189" s="315"/>
      <c r="C189" s="315"/>
      <c r="D189" s="315"/>
      <c r="E189" s="315"/>
      <c r="F189" s="321"/>
      <c r="G189" s="321"/>
      <c r="H189" s="321"/>
      <c r="I189" s="315"/>
      <c r="J189" s="315"/>
      <c r="K189" s="315"/>
      <c r="L189" s="282"/>
      <c r="M189" s="282"/>
      <c r="N189" s="282"/>
      <c r="O189" s="282"/>
      <c r="P189" s="282"/>
      <c r="Q189" s="282"/>
      <c r="R189" s="282"/>
      <c r="S189" s="282"/>
      <c r="T189" s="282"/>
      <c r="U189" s="282"/>
      <c r="V189" s="282"/>
      <c r="W189" s="282"/>
      <c r="X189" s="282"/>
      <c r="Y189" s="282"/>
      <c r="Z189" s="282"/>
      <c r="AA189" s="282"/>
      <c r="AB189" s="282"/>
      <c r="AC189" s="282"/>
      <c r="AD189" s="282"/>
    </row>
    <row r="190" spans="1:30" x14ac:dyDescent="0.3">
      <c r="A190" s="315"/>
      <c r="B190" s="315"/>
      <c r="C190" s="315"/>
      <c r="D190" s="315"/>
      <c r="E190" s="315"/>
      <c r="F190" s="321"/>
      <c r="G190" s="321"/>
      <c r="H190" s="321"/>
      <c r="I190" s="315"/>
      <c r="J190" s="315"/>
      <c r="K190" s="315"/>
      <c r="L190" s="282"/>
      <c r="M190" s="282"/>
      <c r="N190" s="282"/>
      <c r="O190" s="282"/>
      <c r="P190" s="282"/>
      <c r="Q190" s="282"/>
      <c r="R190" s="282"/>
      <c r="S190" s="282"/>
      <c r="T190" s="282"/>
      <c r="U190" s="282"/>
      <c r="V190" s="282"/>
      <c r="W190" s="282"/>
      <c r="X190" s="282"/>
      <c r="Y190" s="282"/>
      <c r="Z190" s="282"/>
      <c r="AA190" s="282"/>
      <c r="AB190" s="282"/>
      <c r="AC190" s="282"/>
      <c r="AD190" s="282"/>
    </row>
    <row r="191" spans="1:30" x14ac:dyDescent="0.3">
      <c r="A191" s="315"/>
      <c r="B191" s="315"/>
      <c r="C191" s="315"/>
      <c r="D191" s="315"/>
      <c r="E191" s="315"/>
      <c r="F191" s="321"/>
      <c r="G191" s="321"/>
      <c r="H191" s="321"/>
      <c r="I191" s="315"/>
      <c r="J191" s="315"/>
      <c r="K191" s="315"/>
      <c r="L191" s="282"/>
      <c r="M191" s="282"/>
      <c r="N191" s="282"/>
      <c r="O191" s="282"/>
      <c r="P191" s="282"/>
      <c r="Q191" s="282"/>
      <c r="R191" s="282"/>
      <c r="S191" s="282"/>
      <c r="T191" s="282"/>
      <c r="U191" s="282"/>
      <c r="V191" s="282"/>
      <c r="W191" s="282"/>
      <c r="X191" s="282"/>
      <c r="Y191" s="282"/>
      <c r="Z191" s="282"/>
      <c r="AA191" s="282"/>
      <c r="AB191" s="282"/>
      <c r="AC191" s="282"/>
      <c r="AD191" s="282"/>
    </row>
    <row r="192" spans="1:30" x14ac:dyDescent="0.3">
      <c r="A192" s="315"/>
      <c r="B192" s="315"/>
      <c r="C192" s="315"/>
      <c r="D192" s="315"/>
      <c r="E192" s="315"/>
      <c r="F192" s="321"/>
      <c r="G192" s="321"/>
      <c r="H192" s="321"/>
      <c r="I192" s="315"/>
      <c r="J192" s="315"/>
      <c r="K192" s="315"/>
      <c r="L192" s="282"/>
      <c r="M192" s="282"/>
      <c r="N192" s="282"/>
      <c r="O192" s="282"/>
      <c r="P192" s="282"/>
      <c r="Q192" s="282"/>
      <c r="R192" s="282"/>
      <c r="S192" s="282"/>
      <c r="T192" s="282"/>
      <c r="U192" s="282"/>
      <c r="V192" s="282"/>
      <c r="W192" s="282"/>
      <c r="X192" s="282"/>
      <c r="Y192" s="282"/>
      <c r="Z192" s="282"/>
      <c r="AA192" s="282"/>
      <c r="AB192" s="282"/>
      <c r="AC192" s="282"/>
      <c r="AD192" s="282"/>
    </row>
    <row r="193" spans="1:30" x14ac:dyDescent="0.3">
      <c r="A193" s="315"/>
      <c r="B193" s="315"/>
      <c r="C193" s="315"/>
      <c r="D193" s="315"/>
      <c r="E193" s="315"/>
      <c r="F193" s="321"/>
      <c r="G193" s="321"/>
      <c r="H193" s="321"/>
      <c r="I193" s="315"/>
      <c r="J193" s="315"/>
      <c r="K193" s="315"/>
      <c r="L193" s="282"/>
      <c r="M193" s="282"/>
      <c r="N193" s="282"/>
      <c r="O193" s="282"/>
      <c r="P193" s="282"/>
      <c r="Q193" s="282"/>
      <c r="R193" s="282"/>
      <c r="S193" s="282"/>
      <c r="T193" s="282"/>
      <c r="U193" s="282"/>
      <c r="V193" s="282"/>
      <c r="W193" s="282"/>
      <c r="X193" s="282"/>
      <c r="Y193" s="282"/>
      <c r="Z193" s="282"/>
      <c r="AA193" s="282"/>
      <c r="AB193" s="282"/>
      <c r="AC193" s="282"/>
      <c r="AD193" s="282"/>
    </row>
    <row r="194" spans="1:30" x14ac:dyDescent="0.3">
      <c r="A194" s="315"/>
      <c r="B194" s="315"/>
      <c r="C194" s="315"/>
      <c r="D194" s="315"/>
      <c r="E194" s="315"/>
      <c r="F194" s="321"/>
      <c r="G194" s="321"/>
      <c r="H194" s="321"/>
      <c r="I194" s="315"/>
      <c r="J194" s="315"/>
      <c r="K194" s="315"/>
      <c r="L194" s="282"/>
      <c r="M194" s="282"/>
      <c r="N194" s="282"/>
      <c r="O194" s="282"/>
      <c r="P194" s="282"/>
      <c r="Q194" s="282"/>
      <c r="R194" s="282"/>
      <c r="S194" s="282"/>
      <c r="T194" s="282"/>
      <c r="U194" s="282"/>
      <c r="V194" s="282"/>
      <c r="W194" s="282"/>
      <c r="X194" s="282"/>
      <c r="Y194" s="282"/>
      <c r="Z194" s="282"/>
      <c r="AA194" s="282"/>
      <c r="AB194" s="282"/>
      <c r="AC194" s="282"/>
      <c r="AD194" s="282"/>
    </row>
    <row r="195" spans="1:30" x14ac:dyDescent="0.3">
      <c r="A195" s="315"/>
      <c r="B195" s="315"/>
      <c r="C195" s="315"/>
      <c r="D195" s="315"/>
      <c r="E195" s="315"/>
      <c r="F195" s="321"/>
      <c r="G195" s="321"/>
      <c r="H195" s="321"/>
      <c r="I195" s="315"/>
      <c r="J195" s="315"/>
      <c r="K195" s="315"/>
      <c r="L195" s="282"/>
      <c r="M195" s="282"/>
      <c r="N195" s="282"/>
      <c r="O195" s="282"/>
      <c r="P195" s="282"/>
      <c r="Q195" s="282"/>
      <c r="R195" s="282"/>
      <c r="S195" s="282"/>
      <c r="T195" s="282"/>
      <c r="U195" s="282"/>
      <c r="V195" s="282"/>
      <c r="W195" s="282"/>
      <c r="X195" s="282"/>
      <c r="Y195" s="282"/>
      <c r="Z195" s="282"/>
      <c r="AA195" s="282"/>
      <c r="AB195" s="282"/>
      <c r="AC195" s="282"/>
      <c r="AD195" s="282"/>
    </row>
    <row r="196" spans="1:30" x14ac:dyDescent="0.3">
      <c r="A196" s="315"/>
      <c r="B196" s="315"/>
      <c r="C196" s="315"/>
      <c r="D196" s="315"/>
      <c r="E196" s="315"/>
      <c r="F196" s="321"/>
      <c r="G196" s="321"/>
      <c r="H196" s="321"/>
      <c r="I196" s="315"/>
      <c r="J196" s="315"/>
      <c r="K196" s="315"/>
      <c r="L196" s="282"/>
      <c r="M196" s="282"/>
      <c r="N196" s="282"/>
      <c r="O196" s="282"/>
      <c r="P196" s="282"/>
      <c r="Q196" s="282"/>
      <c r="R196" s="282"/>
      <c r="S196" s="282"/>
      <c r="T196" s="282"/>
      <c r="U196" s="282"/>
      <c r="V196" s="282"/>
      <c r="W196" s="282"/>
      <c r="X196" s="282"/>
      <c r="Y196" s="282"/>
      <c r="Z196" s="282"/>
      <c r="AA196" s="282"/>
      <c r="AB196" s="282"/>
      <c r="AC196" s="282"/>
      <c r="AD196" s="282"/>
    </row>
    <row r="197" spans="1:30" x14ac:dyDescent="0.3">
      <c r="A197" s="315"/>
      <c r="B197" s="315"/>
      <c r="C197" s="315"/>
      <c r="D197" s="315"/>
      <c r="E197" s="315"/>
      <c r="F197" s="321"/>
      <c r="G197" s="321"/>
      <c r="H197" s="321"/>
      <c r="I197" s="315"/>
      <c r="J197" s="315"/>
      <c r="K197" s="315"/>
      <c r="L197" s="282"/>
      <c r="M197" s="282"/>
      <c r="N197" s="282"/>
      <c r="O197" s="282"/>
      <c r="P197" s="282"/>
      <c r="Q197" s="282"/>
      <c r="R197" s="282"/>
      <c r="S197" s="282"/>
      <c r="T197" s="282"/>
      <c r="U197" s="282"/>
      <c r="V197" s="282"/>
      <c r="W197" s="282"/>
      <c r="X197" s="282"/>
      <c r="Y197" s="282"/>
      <c r="Z197" s="282"/>
      <c r="AA197" s="282"/>
      <c r="AB197" s="282"/>
      <c r="AC197" s="282"/>
      <c r="AD197" s="282"/>
    </row>
    <row r="198" spans="1:30" x14ac:dyDescent="0.3">
      <c r="A198" s="315"/>
      <c r="B198" s="315"/>
      <c r="C198" s="315"/>
      <c r="D198" s="315"/>
      <c r="E198" s="315"/>
      <c r="F198" s="321"/>
      <c r="G198" s="321"/>
      <c r="H198" s="321"/>
      <c r="I198" s="315"/>
      <c r="J198" s="315"/>
      <c r="K198" s="315"/>
      <c r="L198" s="282"/>
      <c r="M198" s="282"/>
      <c r="N198" s="282"/>
      <c r="O198" s="282"/>
      <c r="P198" s="282"/>
      <c r="Q198" s="282"/>
      <c r="R198" s="282"/>
      <c r="S198" s="282"/>
      <c r="T198" s="282"/>
      <c r="U198" s="282"/>
      <c r="V198" s="282"/>
      <c r="W198" s="282"/>
      <c r="X198" s="282"/>
      <c r="Y198" s="282"/>
      <c r="Z198" s="282"/>
      <c r="AA198" s="282"/>
      <c r="AB198" s="282"/>
      <c r="AC198" s="282"/>
      <c r="AD198" s="282"/>
    </row>
    <row r="199" spans="1:30" x14ac:dyDescent="0.3">
      <c r="A199" s="315"/>
      <c r="B199" s="315"/>
      <c r="C199" s="315"/>
      <c r="D199" s="315"/>
      <c r="E199" s="315"/>
      <c r="F199" s="321"/>
      <c r="G199" s="321"/>
      <c r="H199" s="321"/>
      <c r="I199" s="315"/>
      <c r="J199" s="315"/>
      <c r="K199" s="315"/>
      <c r="L199" s="282"/>
      <c r="M199" s="282"/>
      <c r="N199" s="282"/>
    </row>
    <row r="200" spans="1:30" x14ac:dyDescent="0.3">
      <c r="A200" s="315"/>
      <c r="B200" s="315"/>
      <c r="C200" s="315"/>
      <c r="D200" s="315"/>
      <c r="E200" s="315"/>
      <c r="F200" s="321"/>
      <c r="G200" s="321"/>
      <c r="H200" s="321"/>
      <c r="I200" s="315"/>
      <c r="J200" s="315"/>
      <c r="K200" s="315"/>
      <c r="L200" s="282"/>
      <c r="M200" s="282"/>
      <c r="N200" s="282"/>
    </row>
    <row r="201" spans="1:30" x14ac:dyDescent="0.3">
      <c r="A201" s="315"/>
      <c r="B201" s="315"/>
      <c r="C201" s="315"/>
      <c r="D201" s="315"/>
      <c r="E201" s="315"/>
      <c r="F201" s="321"/>
      <c r="G201" s="321"/>
      <c r="H201" s="321"/>
      <c r="I201" s="315"/>
      <c r="J201" s="315"/>
      <c r="K201" s="315"/>
      <c r="L201" s="282"/>
      <c r="M201" s="282"/>
      <c r="N201" s="282"/>
    </row>
    <row r="202" spans="1:30" x14ac:dyDescent="0.3">
      <c r="A202" s="315"/>
      <c r="B202" s="315"/>
      <c r="C202" s="315"/>
      <c r="D202" s="315"/>
      <c r="E202" s="315"/>
      <c r="F202" s="321"/>
      <c r="G202" s="321"/>
      <c r="H202" s="321"/>
      <c r="I202" s="315"/>
      <c r="J202" s="315"/>
      <c r="K202" s="315"/>
      <c r="L202" s="282"/>
      <c r="M202" s="282"/>
      <c r="N202" s="282"/>
    </row>
    <row r="203" spans="1:30" x14ac:dyDescent="0.3">
      <c r="A203" s="315"/>
      <c r="B203" s="315"/>
      <c r="C203" s="315"/>
      <c r="D203" s="315"/>
      <c r="E203" s="315"/>
      <c r="F203" s="321"/>
      <c r="G203" s="321"/>
      <c r="H203" s="321"/>
      <c r="I203" s="315"/>
      <c r="J203" s="315"/>
      <c r="K203" s="315"/>
      <c r="L203" s="282"/>
      <c r="M203" s="282"/>
      <c r="N203" s="282"/>
    </row>
    <row r="204" spans="1:30" x14ac:dyDescent="0.3">
      <c r="A204" s="315"/>
      <c r="B204" s="315"/>
      <c r="C204" s="315"/>
      <c r="D204" s="315"/>
      <c r="E204" s="315"/>
      <c r="F204" s="321"/>
      <c r="G204" s="321"/>
      <c r="H204" s="321"/>
      <c r="I204" s="315"/>
      <c r="J204" s="315"/>
      <c r="K204" s="315"/>
      <c r="L204" s="282"/>
      <c r="M204" s="282"/>
      <c r="N204" s="282"/>
    </row>
    <row r="205" spans="1:30" x14ac:dyDescent="0.3">
      <c r="A205" s="315"/>
      <c r="B205" s="315"/>
      <c r="C205" s="315"/>
      <c r="D205" s="315"/>
      <c r="E205" s="315"/>
      <c r="F205" s="321"/>
      <c r="G205" s="321"/>
      <c r="H205" s="321"/>
      <c r="I205" s="315"/>
      <c r="J205" s="315"/>
      <c r="K205" s="315"/>
      <c r="L205" s="282"/>
      <c r="M205" s="282"/>
      <c r="N205" s="282"/>
    </row>
    <row r="206" spans="1:30" x14ac:dyDescent="0.3">
      <c r="A206" s="315"/>
      <c r="B206" s="315"/>
      <c r="C206" s="315"/>
      <c r="D206" s="315"/>
      <c r="E206" s="315"/>
      <c r="F206" s="321"/>
      <c r="G206" s="321"/>
      <c r="H206" s="321"/>
      <c r="I206" s="315"/>
      <c r="J206" s="315"/>
      <c r="K206" s="315"/>
      <c r="L206" s="282"/>
      <c r="M206" s="282"/>
      <c r="N206" s="282"/>
    </row>
    <row r="207" spans="1:30" x14ac:dyDescent="0.3">
      <c r="A207" s="315"/>
      <c r="B207" s="315"/>
      <c r="C207" s="315"/>
      <c r="D207" s="315"/>
      <c r="E207" s="315"/>
      <c r="F207" s="321"/>
      <c r="G207" s="321"/>
      <c r="H207" s="321"/>
      <c r="I207" s="315"/>
      <c r="J207" s="315"/>
      <c r="K207" s="315"/>
      <c r="L207" s="282"/>
      <c r="M207" s="282"/>
      <c r="N207" s="282"/>
    </row>
    <row r="208" spans="1:30" x14ac:dyDescent="0.3">
      <c r="A208" s="315"/>
      <c r="B208" s="315"/>
      <c r="C208" s="315"/>
      <c r="D208" s="315"/>
      <c r="E208" s="315"/>
      <c r="F208" s="321"/>
      <c r="G208" s="321"/>
      <c r="H208" s="321"/>
      <c r="I208" s="315"/>
      <c r="J208" s="315"/>
      <c r="K208" s="315"/>
      <c r="L208" s="282"/>
      <c r="M208" s="282"/>
      <c r="N208" s="282"/>
    </row>
    <row r="209" spans="1:14" x14ac:dyDescent="0.3">
      <c r="A209" s="315"/>
      <c r="B209" s="315"/>
      <c r="C209" s="315"/>
      <c r="D209" s="315"/>
      <c r="E209" s="315"/>
      <c r="F209" s="321"/>
      <c r="G209" s="321"/>
      <c r="H209" s="321"/>
      <c r="I209" s="315"/>
      <c r="J209" s="315"/>
      <c r="K209" s="315"/>
      <c r="L209" s="282"/>
      <c r="M209" s="282"/>
      <c r="N209" s="282"/>
    </row>
    <row r="210" spans="1:14" x14ac:dyDescent="0.3">
      <c r="A210" s="315"/>
      <c r="B210" s="315"/>
      <c r="C210" s="315"/>
      <c r="D210" s="315"/>
      <c r="E210" s="315"/>
      <c r="F210" s="321"/>
      <c r="G210" s="321"/>
      <c r="H210" s="321"/>
      <c r="I210" s="315"/>
      <c r="J210" s="315"/>
      <c r="K210" s="315"/>
      <c r="L210" s="282"/>
      <c r="M210" s="282"/>
      <c r="N210" s="282"/>
    </row>
    <row r="211" spans="1:14" x14ac:dyDescent="0.3">
      <c r="A211" s="315"/>
      <c r="B211" s="315"/>
      <c r="C211" s="315"/>
      <c r="D211" s="315"/>
      <c r="E211" s="315"/>
      <c r="F211" s="321"/>
      <c r="G211" s="321"/>
      <c r="H211" s="321"/>
      <c r="I211" s="315"/>
      <c r="J211" s="315"/>
      <c r="K211" s="315"/>
      <c r="L211" s="282"/>
      <c r="M211" s="282"/>
      <c r="N211" s="282"/>
    </row>
    <row r="212" spans="1:14" x14ac:dyDescent="0.3">
      <c r="A212" s="315"/>
      <c r="B212" s="315"/>
      <c r="C212" s="315"/>
      <c r="D212" s="315"/>
      <c r="E212" s="315"/>
      <c r="F212" s="321"/>
      <c r="G212" s="321"/>
      <c r="H212" s="321"/>
      <c r="I212" s="315"/>
      <c r="J212" s="315"/>
      <c r="K212" s="315"/>
      <c r="L212" s="282"/>
      <c r="M212" s="282"/>
      <c r="N212" s="282"/>
    </row>
    <row r="213" spans="1:14" x14ac:dyDescent="0.3">
      <c r="A213" s="315"/>
      <c r="B213" s="315"/>
      <c r="C213" s="315"/>
      <c r="D213" s="315"/>
      <c r="E213" s="315"/>
      <c r="F213" s="321"/>
      <c r="G213" s="321"/>
      <c r="H213" s="321"/>
      <c r="I213" s="315"/>
      <c r="J213" s="315"/>
      <c r="K213" s="315"/>
      <c r="L213" s="282"/>
      <c r="M213" s="282"/>
      <c r="N213" s="282"/>
    </row>
    <row r="214" spans="1:14" x14ac:dyDescent="0.3">
      <c r="A214" s="315"/>
      <c r="B214" s="315"/>
      <c r="C214" s="315"/>
      <c r="D214" s="315"/>
      <c r="E214" s="315"/>
      <c r="F214" s="321"/>
      <c r="G214" s="321"/>
      <c r="H214" s="321"/>
      <c r="I214" s="315"/>
      <c r="J214" s="315"/>
      <c r="K214" s="315"/>
      <c r="L214" s="282"/>
      <c r="M214" s="282"/>
      <c r="N214" s="282"/>
    </row>
    <row r="215" spans="1:14" x14ac:dyDescent="0.3">
      <c r="A215" s="315"/>
      <c r="B215" s="315"/>
      <c r="C215" s="315"/>
      <c r="D215" s="315"/>
      <c r="E215" s="315"/>
      <c r="F215" s="321"/>
      <c r="G215" s="321"/>
      <c r="H215" s="321"/>
      <c r="I215" s="315"/>
      <c r="J215" s="315"/>
      <c r="K215" s="315"/>
      <c r="L215" s="282"/>
      <c r="M215" s="282"/>
      <c r="N215" s="282"/>
    </row>
    <row r="216" spans="1:14" x14ac:dyDescent="0.3">
      <c r="A216" s="315"/>
      <c r="B216" s="315"/>
      <c r="C216" s="315"/>
      <c r="D216" s="315"/>
      <c r="E216" s="315"/>
      <c r="F216" s="321"/>
      <c r="G216" s="321"/>
      <c r="H216" s="321"/>
      <c r="I216" s="315"/>
      <c r="J216" s="315"/>
      <c r="K216" s="315"/>
      <c r="L216" s="282"/>
      <c r="M216" s="282"/>
      <c r="N216" s="282"/>
    </row>
    <row r="217" spans="1:14" x14ac:dyDescent="0.3">
      <c r="A217" s="315"/>
      <c r="B217" s="315"/>
      <c r="C217" s="315"/>
      <c r="D217" s="315"/>
      <c r="E217" s="315"/>
      <c r="F217" s="321"/>
      <c r="G217" s="321"/>
      <c r="H217" s="321"/>
      <c r="I217" s="315"/>
      <c r="J217" s="315"/>
      <c r="K217" s="315"/>
      <c r="L217" s="282"/>
      <c r="M217" s="282"/>
      <c r="N217" s="282"/>
    </row>
    <row r="218" spans="1:14" x14ac:dyDescent="0.3">
      <c r="A218" s="315"/>
      <c r="B218" s="315"/>
      <c r="C218" s="315"/>
      <c r="D218" s="315"/>
      <c r="E218" s="315"/>
      <c r="F218" s="321"/>
      <c r="G218" s="321"/>
      <c r="H218" s="321"/>
      <c r="I218" s="315"/>
      <c r="J218" s="315"/>
      <c r="K218" s="315"/>
      <c r="L218" s="282"/>
      <c r="M218" s="282"/>
      <c r="N218" s="282"/>
    </row>
    <row r="219" spans="1:14" x14ac:dyDescent="0.3">
      <c r="A219" s="315"/>
      <c r="B219" s="315"/>
      <c r="C219" s="315"/>
      <c r="D219" s="315"/>
      <c r="E219" s="315"/>
      <c r="F219" s="321"/>
      <c r="G219" s="321"/>
      <c r="H219" s="321"/>
      <c r="I219" s="315"/>
      <c r="J219" s="315"/>
      <c r="K219" s="315"/>
      <c r="L219" s="282"/>
      <c r="M219" s="282"/>
      <c r="N219" s="282"/>
    </row>
    <row r="220" spans="1:14" x14ac:dyDescent="0.3">
      <c r="A220" s="315"/>
      <c r="B220" s="315"/>
      <c r="C220" s="315"/>
      <c r="D220" s="315"/>
      <c r="E220" s="315"/>
      <c r="F220" s="321"/>
      <c r="G220" s="321"/>
      <c r="H220" s="321"/>
      <c r="I220" s="315"/>
      <c r="J220" s="315"/>
      <c r="K220" s="315"/>
      <c r="L220" s="282"/>
      <c r="M220" s="282"/>
      <c r="N220" s="282"/>
    </row>
    <row r="221" spans="1:14" x14ac:dyDescent="0.3">
      <c r="A221" s="315"/>
      <c r="B221" s="315"/>
      <c r="C221" s="315"/>
      <c r="D221" s="315"/>
      <c r="E221" s="315"/>
      <c r="F221" s="321"/>
      <c r="G221" s="321"/>
      <c r="H221" s="321"/>
      <c r="I221" s="315"/>
      <c r="J221" s="315"/>
      <c r="K221" s="315"/>
      <c r="L221" s="282"/>
      <c r="M221" s="282"/>
      <c r="N221" s="282"/>
    </row>
    <row r="222" spans="1:14" x14ac:dyDescent="0.3">
      <c r="A222" s="315"/>
      <c r="B222" s="315"/>
      <c r="C222" s="315"/>
      <c r="D222" s="315"/>
      <c r="E222" s="315"/>
      <c r="F222" s="321"/>
      <c r="G222" s="321"/>
      <c r="H222" s="321"/>
      <c r="I222" s="315"/>
      <c r="J222" s="315"/>
      <c r="K222" s="315"/>
      <c r="L222" s="282"/>
      <c r="M222" s="282"/>
      <c r="N222" s="282"/>
    </row>
    <row r="223" spans="1:14" x14ac:dyDescent="0.3">
      <c r="A223" s="315"/>
      <c r="B223" s="315"/>
      <c r="C223" s="315"/>
      <c r="D223" s="315"/>
      <c r="E223" s="315"/>
      <c r="F223" s="321"/>
      <c r="G223" s="321"/>
      <c r="H223" s="321"/>
      <c r="I223" s="315"/>
      <c r="J223" s="315"/>
      <c r="K223" s="315"/>
      <c r="L223" s="282"/>
      <c r="M223" s="282"/>
      <c r="N223" s="282"/>
    </row>
    <row r="224" spans="1:14" x14ac:dyDescent="0.3">
      <c r="A224" s="315"/>
      <c r="B224" s="315"/>
      <c r="C224" s="315"/>
      <c r="D224" s="315"/>
      <c r="E224" s="315"/>
      <c r="F224" s="321"/>
      <c r="G224" s="321"/>
      <c r="H224" s="321"/>
      <c r="I224" s="315"/>
      <c r="J224" s="315"/>
      <c r="K224" s="315"/>
      <c r="L224" s="282"/>
      <c r="M224" s="282"/>
      <c r="N224" s="282"/>
    </row>
    <row r="225" spans="1:14" x14ac:dyDescent="0.3">
      <c r="A225" s="315"/>
      <c r="B225" s="315"/>
      <c r="C225" s="315"/>
      <c r="D225" s="315"/>
      <c r="E225" s="315"/>
      <c r="F225" s="321"/>
      <c r="G225" s="321"/>
      <c r="H225" s="321"/>
      <c r="I225" s="315"/>
      <c r="J225" s="315"/>
      <c r="K225" s="315"/>
      <c r="L225" s="282"/>
      <c r="M225" s="282"/>
      <c r="N225" s="282"/>
    </row>
    <row r="226" spans="1:14" x14ac:dyDescent="0.3">
      <c r="A226" s="315"/>
      <c r="B226" s="315"/>
      <c r="C226" s="315"/>
      <c r="D226" s="315"/>
      <c r="E226" s="315"/>
      <c r="F226" s="321"/>
      <c r="G226" s="321"/>
      <c r="H226" s="321"/>
      <c r="I226" s="315"/>
      <c r="J226" s="315"/>
      <c r="K226" s="315"/>
      <c r="L226" s="282"/>
      <c r="M226" s="282"/>
      <c r="N226" s="282"/>
    </row>
    <row r="227" spans="1:14" x14ac:dyDescent="0.3">
      <c r="A227" s="315"/>
      <c r="B227" s="315"/>
      <c r="C227" s="315"/>
      <c r="D227" s="315"/>
      <c r="E227" s="315"/>
      <c r="F227" s="321"/>
      <c r="G227" s="321"/>
      <c r="H227" s="321"/>
      <c r="I227" s="315"/>
      <c r="J227" s="315"/>
      <c r="K227" s="315"/>
      <c r="L227" s="282"/>
      <c r="M227" s="282"/>
      <c r="N227" s="282"/>
    </row>
    <row r="228" spans="1:14" x14ac:dyDescent="0.3">
      <c r="A228" s="315"/>
      <c r="B228" s="315"/>
      <c r="C228" s="315"/>
      <c r="D228" s="315"/>
      <c r="E228" s="315"/>
      <c r="F228" s="321"/>
      <c r="G228" s="321"/>
      <c r="H228" s="321"/>
      <c r="I228" s="315"/>
      <c r="J228" s="315"/>
      <c r="K228" s="315"/>
      <c r="L228" s="282"/>
      <c r="M228" s="282"/>
      <c r="N228" s="282"/>
    </row>
    <row r="229" spans="1:14" x14ac:dyDescent="0.3">
      <c r="A229" s="315"/>
      <c r="B229" s="315"/>
      <c r="C229" s="315"/>
      <c r="D229" s="315"/>
      <c r="E229" s="315"/>
      <c r="F229" s="321"/>
      <c r="G229" s="321"/>
      <c r="H229" s="321"/>
      <c r="I229" s="315"/>
      <c r="J229" s="315"/>
      <c r="K229" s="315"/>
      <c r="L229" s="282"/>
      <c r="M229" s="282"/>
      <c r="N229" s="282"/>
    </row>
    <row r="230" spans="1:14" x14ac:dyDescent="0.3">
      <c r="A230" s="315"/>
      <c r="B230" s="315"/>
      <c r="C230" s="315"/>
      <c r="D230" s="315"/>
      <c r="E230" s="315"/>
      <c r="F230" s="321"/>
      <c r="G230" s="321"/>
      <c r="H230" s="321"/>
      <c r="I230" s="315"/>
      <c r="J230" s="315"/>
      <c r="K230" s="315"/>
      <c r="L230" s="282"/>
      <c r="M230" s="282"/>
      <c r="N230" s="282"/>
    </row>
    <row r="231" spans="1:14" x14ac:dyDescent="0.3">
      <c r="A231" s="315"/>
      <c r="B231" s="315"/>
      <c r="C231" s="315"/>
      <c r="D231" s="315"/>
      <c r="E231" s="315"/>
      <c r="F231" s="321"/>
      <c r="G231" s="321"/>
      <c r="H231" s="321"/>
      <c r="I231" s="315"/>
      <c r="J231" s="315"/>
      <c r="K231" s="315"/>
      <c r="L231" s="282"/>
      <c r="M231" s="282"/>
      <c r="N231" s="282"/>
    </row>
    <row r="232" spans="1:14" x14ac:dyDescent="0.3">
      <c r="A232" s="315"/>
      <c r="B232" s="315"/>
      <c r="C232" s="315"/>
      <c r="D232" s="315"/>
      <c r="E232" s="315"/>
      <c r="F232" s="321"/>
      <c r="G232" s="321"/>
      <c r="H232" s="321"/>
      <c r="I232" s="315"/>
      <c r="J232" s="315"/>
      <c r="K232" s="315"/>
      <c r="L232" s="282"/>
      <c r="M232" s="282"/>
      <c r="N232" s="282"/>
    </row>
    <row r="233" spans="1:14" x14ac:dyDescent="0.3">
      <c r="A233" s="315"/>
      <c r="B233" s="315"/>
      <c r="C233" s="315"/>
      <c r="D233" s="315"/>
      <c r="E233" s="315"/>
      <c r="F233" s="321"/>
      <c r="G233" s="321"/>
      <c r="H233" s="321"/>
      <c r="I233" s="315"/>
      <c r="J233" s="315"/>
      <c r="K233" s="315"/>
      <c r="L233" s="282"/>
      <c r="M233" s="282"/>
      <c r="N233" s="282"/>
    </row>
    <row r="234" spans="1:14" x14ac:dyDescent="0.3">
      <c r="A234" s="315"/>
      <c r="B234" s="315"/>
      <c r="C234" s="315"/>
      <c r="D234" s="315"/>
      <c r="E234" s="315"/>
      <c r="F234" s="321"/>
      <c r="G234" s="321"/>
      <c r="H234" s="321"/>
      <c r="I234" s="315"/>
      <c r="J234" s="315"/>
      <c r="K234" s="315"/>
      <c r="L234" s="282"/>
      <c r="M234" s="282"/>
      <c r="N234" s="282"/>
    </row>
    <row r="235" spans="1:14" x14ac:dyDescent="0.3">
      <c r="A235" s="315"/>
      <c r="B235" s="315"/>
      <c r="C235" s="315"/>
      <c r="D235" s="315"/>
      <c r="E235" s="315"/>
      <c r="F235" s="321"/>
      <c r="G235" s="321"/>
      <c r="H235" s="321"/>
      <c r="I235" s="315"/>
      <c r="J235" s="315"/>
      <c r="K235" s="315"/>
      <c r="L235" s="282"/>
      <c r="M235" s="282"/>
      <c r="N235" s="282"/>
    </row>
    <row r="236" spans="1:14" x14ac:dyDescent="0.3">
      <c r="A236" s="315"/>
      <c r="B236" s="315"/>
      <c r="C236" s="315"/>
      <c r="D236" s="315"/>
      <c r="E236" s="315"/>
      <c r="F236" s="321"/>
      <c r="G236" s="321"/>
      <c r="H236" s="321"/>
      <c r="I236" s="315"/>
      <c r="J236" s="315"/>
      <c r="K236" s="315"/>
      <c r="L236" s="282"/>
      <c r="M236" s="282"/>
      <c r="N236" s="282"/>
    </row>
    <row r="237" spans="1:14" x14ac:dyDescent="0.3">
      <c r="A237" s="315"/>
      <c r="B237" s="315"/>
      <c r="C237" s="315"/>
      <c r="D237" s="315"/>
      <c r="E237" s="315"/>
      <c r="F237" s="321"/>
      <c r="G237" s="321"/>
      <c r="H237" s="321"/>
      <c r="I237" s="315"/>
      <c r="J237" s="315"/>
      <c r="K237" s="315"/>
      <c r="L237" s="282"/>
      <c r="M237" s="282"/>
      <c r="N237" s="282"/>
    </row>
    <row r="238" spans="1:14" x14ac:dyDescent="0.3">
      <c r="A238" s="315"/>
      <c r="B238" s="315"/>
      <c r="C238" s="315"/>
      <c r="D238" s="315"/>
      <c r="E238" s="315"/>
      <c r="F238" s="321"/>
      <c r="G238" s="321"/>
      <c r="H238" s="321"/>
      <c r="I238" s="315"/>
      <c r="J238" s="315"/>
      <c r="K238" s="315"/>
      <c r="L238" s="282"/>
      <c r="M238" s="282"/>
      <c r="N238" s="282"/>
    </row>
    <row r="239" spans="1:14" x14ac:dyDescent="0.3">
      <c r="A239" s="315"/>
      <c r="B239" s="315"/>
      <c r="C239" s="315"/>
      <c r="D239" s="315"/>
      <c r="E239" s="315"/>
      <c r="F239" s="321"/>
      <c r="G239" s="321"/>
      <c r="H239" s="321"/>
      <c r="I239" s="315"/>
      <c r="J239" s="315"/>
      <c r="K239" s="315"/>
      <c r="L239" s="282"/>
      <c r="M239" s="282"/>
      <c r="N239" s="282"/>
    </row>
    <row r="240" spans="1:14" x14ac:dyDescent="0.3">
      <c r="A240" s="315"/>
      <c r="B240" s="315"/>
      <c r="C240" s="315"/>
      <c r="D240" s="315"/>
      <c r="E240" s="315"/>
      <c r="F240" s="321"/>
      <c r="G240" s="321"/>
      <c r="H240" s="321"/>
      <c r="I240" s="315"/>
      <c r="J240" s="315"/>
      <c r="K240" s="315"/>
      <c r="L240" s="282"/>
      <c r="M240" s="282"/>
      <c r="N240" s="282"/>
    </row>
    <row r="241" spans="1:14" x14ac:dyDescent="0.3">
      <c r="A241" s="315"/>
      <c r="B241" s="315"/>
      <c r="C241" s="315"/>
      <c r="D241" s="315"/>
      <c r="E241" s="315"/>
      <c r="F241" s="321"/>
      <c r="G241" s="321"/>
      <c r="H241" s="321"/>
      <c r="I241" s="315"/>
      <c r="J241" s="315"/>
      <c r="K241" s="315"/>
      <c r="L241" s="282"/>
      <c r="M241" s="282"/>
      <c r="N241" s="282"/>
    </row>
    <row r="242" spans="1:14" x14ac:dyDescent="0.3">
      <c r="A242" s="315"/>
      <c r="B242" s="315"/>
      <c r="C242" s="315"/>
      <c r="D242" s="315"/>
      <c r="E242" s="315"/>
      <c r="F242" s="321"/>
      <c r="G242" s="321"/>
      <c r="H242" s="321"/>
      <c r="I242" s="315"/>
      <c r="J242" s="315"/>
      <c r="K242" s="315"/>
      <c r="L242" s="282"/>
      <c r="M242" s="282"/>
      <c r="N242" s="282"/>
    </row>
    <row r="243" spans="1:14" x14ac:dyDescent="0.3">
      <c r="A243" s="315"/>
      <c r="B243" s="315"/>
      <c r="C243" s="315"/>
      <c r="D243" s="315"/>
      <c r="E243" s="315"/>
      <c r="F243" s="321"/>
      <c r="G243" s="321"/>
      <c r="H243" s="321"/>
      <c r="I243" s="315"/>
      <c r="J243" s="315"/>
      <c r="K243" s="315"/>
      <c r="L243" s="282"/>
      <c r="M243" s="282"/>
      <c r="N243" s="282"/>
    </row>
    <row r="244" spans="1:14" x14ac:dyDescent="0.3">
      <c r="A244" s="315"/>
      <c r="B244" s="315"/>
      <c r="C244" s="315"/>
      <c r="D244" s="315"/>
      <c r="E244" s="315"/>
      <c r="F244" s="321"/>
      <c r="G244" s="321"/>
      <c r="H244" s="321"/>
      <c r="I244" s="315"/>
      <c r="J244" s="315"/>
      <c r="K244" s="315"/>
      <c r="L244" s="282"/>
      <c r="M244" s="282"/>
      <c r="N244" s="282"/>
    </row>
    <row r="245" spans="1:14" x14ac:dyDescent="0.3">
      <c r="A245" s="315"/>
      <c r="B245" s="315"/>
      <c r="C245" s="315"/>
      <c r="D245" s="315"/>
      <c r="E245" s="315"/>
      <c r="F245" s="321"/>
      <c r="G245" s="321"/>
      <c r="H245" s="321"/>
      <c r="I245" s="315"/>
      <c r="J245" s="315"/>
      <c r="K245" s="315"/>
      <c r="L245" s="282"/>
      <c r="M245" s="282"/>
      <c r="N245" s="282"/>
    </row>
    <row r="246" spans="1:14" x14ac:dyDescent="0.3">
      <c r="A246" s="315"/>
      <c r="B246" s="315"/>
      <c r="C246" s="315"/>
      <c r="D246" s="315"/>
      <c r="E246" s="315"/>
      <c r="F246" s="321"/>
      <c r="G246" s="321"/>
      <c r="H246" s="321"/>
      <c r="I246" s="315"/>
      <c r="J246" s="315"/>
      <c r="K246" s="315"/>
      <c r="L246" s="282"/>
      <c r="M246" s="282"/>
      <c r="N246" s="282"/>
    </row>
    <row r="247" spans="1:14" x14ac:dyDescent="0.3">
      <c r="A247" s="315"/>
      <c r="B247" s="315"/>
      <c r="C247" s="315"/>
      <c r="D247" s="315"/>
      <c r="E247" s="315"/>
      <c r="F247" s="321"/>
      <c r="G247" s="321"/>
      <c r="H247" s="321"/>
      <c r="I247" s="315"/>
      <c r="J247" s="315"/>
      <c r="K247" s="315"/>
      <c r="L247" s="282"/>
      <c r="M247" s="282"/>
      <c r="N247" s="282"/>
    </row>
    <row r="248" spans="1:14" x14ac:dyDescent="0.3">
      <c r="A248" s="315"/>
      <c r="B248" s="315"/>
      <c r="C248" s="315"/>
      <c r="D248" s="315"/>
      <c r="E248" s="315"/>
      <c r="F248" s="321"/>
      <c r="G248" s="321"/>
      <c r="H248" s="321"/>
      <c r="I248" s="315"/>
      <c r="J248" s="315"/>
      <c r="K248" s="315"/>
      <c r="L248" s="282"/>
      <c r="M248" s="282"/>
      <c r="N248" s="282"/>
    </row>
    <row r="249" spans="1:14" x14ac:dyDescent="0.3">
      <c r="A249" s="315"/>
      <c r="B249" s="315"/>
      <c r="C249" s="315"/>
      <c r="D249" s="315"/>
      <c r="E249" s="315"/>
      <c r="F249" s="321"/>
      <c r="G249" s="321"/>
      <c r="H249" s="321"/>
      <c r="I249" s="315"/>
      <c r="J249" s="315"/>
      <c r="K249" s="315"/>
      <c r="L249" s="282"/>
      <c r="M249" s="282"/>
      <c r="N249" s="282"/>
    </row>
    <row r="250" spans="1:14" x14ac:dyDescent="0.3">
      <c r="A250" s="315"/>
      <c r="B250" s="315"/>
      <c r="C250" s="315"/>
      <c r="D250" s="315"/>
      <c r="E250" s="315"/>
      <c r="F250" s="321"/>
      <c r="G250" s="321"/>
      <c r="H250" s="321"/>
      <c r="I250" s="315"/>
      <c r="J250" s="315"/>
      <c r="K250" s="315"/>
      <c r="L250" s="282"/>
      <c r="M250" s="282"/>
      <c r="N250" s="282"/>
    </row>
    <row r="251" spans="1:14" x14ac:dyDescent="0.3">
      <c r="A251" s="315"/>
      <c r="B251" s="315"/>
      <c r="C251" s="315"/>
      <c r="D251" s="315"/>
      <c r="E251" s="315"/>
      <c r="F251" s="321"/>
      <c r="G251" s="321"/>
      <c r="H251" s="321"/>
      <c r="I251" s="315"/>
      <c r="J251" s="315"/>
      <c r="K251" s="315"/>
      <c r="L251" s="282"/>
      <c r="M251" s="282"/>
      <c r="N251" s="282"/>
    </row>
    <row r="252" spans="1:14" x14ac:dyDescent="0.3">
      <c r="A252" s="315"/>
      <c r="B252" s="315"/>
      <c r="C252" s="315"/>
      <c r="D252" s="315"/>
      <c r="E252" s="315"/>
      <c r="F252" s="321"/>
      <c r="G252" s="321"/>
      <c r="H252" s="321"/>
      <c r="I252" s="315"/>
      <c r="J252" s="315"/>
      <c r="K252" s="315"/>
      <c r="L252" s="282"/>
      <c r="M252" s="282"/>
      <c r="N252" s="282"/>
    </row>
    <row r="253" spans="1:14" x14ac:dyDescent="0.3">
      <c r="A253" s="315"/>
      <c r="B253" s="315"/>
      <c r="C253" s="315"/>
      <c r="D253" s="315"/>
      <c r="E253" s="315"/>
      <c r="F253" s="321"/>
      <c r="G253" s="321"/>
      <c r="H253" s="321"/>
      <c r="I253" s="315"/>
      <c r="J253" s="315"/>
      <c r="K253" s="315"/>
      <c r="L253" s="282"/>
      <c r="M253" s="282"/>
      <c r="N253" s="282"/>
    </row>
    <row r="254" spans="1:14" x14ac:dyDescent="0.3">
      <c r="A254" s="315"/>
      <c r="B254" s="315"/>
      <c r="C254" s="315"/>
      <c r="D254" s="315"/>
      <c r="E254" s="315"/>
      <c r="F254" s="321"/>
      <c r="G254" s="321"/>
      <c r="H254" s="321"/>
      <c r="I254" s="315"/>
      <c r="J254" s="315"/>
      <c r="K254" s="315"/>
      <c r="L254" s="282"/>
      <c r="M254" s="282"/>
      <c r="N254" s="282"/>
    </row>
    <row r="255" spans="1:14" x14ac:dyDescent="0.3">
      <c r="A255" s="315"/>
      <c r="B255" s="315"/>
      <c r="C255" s="315"/>
      <c r="D255" s="315"/>
      <c r="E255" s="315"/>
      <c r="F255" s="321"/>
      <c r="G255" s="321"/>
      <c r="H255" s="321"/>
      <c r="I255" s="315"/>
      <c r="J255" s="315"/>
      <c r="K255" s="315"/>
      <c r="L255" s="282"/>
      <c r="M255" s="282"/>
      <c r="N255" s="282"/>
    </row>
    <row r="256" spans="1:14" x14ac:dyDescent="0.3">
      <c r="A256" s="315"/>
      <c r="B256" s="315"/>
      <c r="C256" s="315"/>
      <c r="D256" s="315"/>
      <c r="E256" s="315"/>
      <c r="F256" s="321"/>
      <c r="G256" s="321"/>
      <c r="H256" s="321"/>
      <c r="I256" s="315"/>
      <c r="J256" s="315"/>
      <c r="K256" s="315"/>
      <c r="L256" s="282"/>
      <c r="M256" s="282"/>
      <c r="N256" s="282"/>
    </row>
    <row r="257" spans="1:14" x14ac:dyDescent="0.3">
      <c r="A257" s="315"/>
      <c r="B257" s="315"/>
      <c r="C257" s="315"/>
      <c r="D257" s="315"/>
      <c r="E257" s="315"/>
      <c r="F257" s="321"/>
      <c r="G257" s="321"/>
      <c r="H257" s="321"/>
      <c r="I257" s="315"/>
      <c r="J257" s="315"/>
      <c r="K257" s="315"/>
      <c r="L257" s="282"/>
      <c r="M257" s="282"/>
      <c r="N257" s="282"/>
    </row>
    <row r="258" spans="1:14" x14ac:dyDescent="0.3">
      <c r="A258" s="315"/>
      <c r="B258" s="315"/>
      <c r="C258" s="315"/>
      <c r="D258" s="315"/>
      <c r="E258" s="315"/>
      <c r="F258" s="321"/>
      <c r="G258" s="321"/>
      <c r="H258" s="321"/>
      <c r="I258" s="315"/>
      <c r="J258" s="315"/>
      <c r="K258" s="315"/>
      <c r="L258" s="282"/>
      <c r="M258" s="282"/>
      <c r="N258" s="282"/>
    </row>
    <row r="259" spans="1:14" x14ac:dyDescent="0.3">
      <c r="A259" s="315"/>
      <c r="B259" s="315"/>
      <c r="C259" s="315"/>
      <c r="D259" s="315"/>
      <c r="E259" s="315"/>
      <c r="F259" s="321"/>
      <c r="G259" s="321"/>
      <c r="H259" s="321"/>
      <c r="I259" s="315"/>
      <c r="J259" s="315"/>
      <c r="K259" s="315"/>
      <c r="L259" s="282"/>
      <c r="M259" s="282"/>
      <c r="N259" s="282"/>
    </row>
    <row r="260" spans="1:14" x14ac:dyDescent="0.3">
      <c r="A260" s="315"/>
      <c r="B260" s="315"/>
      <c r="C260" s="315"/>
      <c r="D260" s="315"/>
      <c r="E260" s="315"/>
      <c r="F260" s="321"/>
      <c r="G260" s="321"/>
      <c r="H260" s="321"/>
      <c r="I260" s="315"/>
      <c r="J260" s="315"/>
      <c r="K260" s="315"/>
      <c r="L260" s="282"/>
      <c r="M260" s="282"/>
      <c r="N260" s="282"/>
    </row>
    <row r="261" spans="1:14" x14ac:dyDescent="0.3">
      <c r="A261" s="315"/>
      <c r="B261" s="315"/>
      <c r="C261" s="315"/>
      <c r="D261" s="315"/>
      <c r="E261" s="315"/>
      <c r="F261" s="321"/>
      <c r="G261" s="321"/>
      <c r="H261" s="321"/>
      <c r="I261" s="315"/>
      <c r="J261" s="315"/>
      <c r="K261" s="315"/>
      <c r="L261" s="282"/>
      <c r="M261" s="282"/>
      <c r="N261" s="282"/>
    </row>
    <row r="262" spans="1:14" x14ac:dyDescent="0.3">
      <c r="A262" s="315"/>
      <c r="B262" s="315"/>
      <c r="C262" s="315"/>
      <c r="D262" s="315"/>
      <c r="E262" s="315"/>
      <c r="F262" s="321"/>
      <c r="G262" s="321"/>
      <c r="H262" s="321"/>
      <c r="I262" s="315"/>
      <c r="J262" s="315"/>
      <c r="K262" s="315"/>
      <c r="L262" s="282"/>
      <c r="M262" s="282"/>
      <c r="N262" s="282"/>
    </row>
    <row r="263" spans="1:14" x14ac:dyDescent="0.3">
      <c r="A263" s="315"/>
      <c r="B263" s="315"/>
      <c r="C263" s="315"/>
      <c r="D263" s="315"/>
      <c r="E263" s="315"/>
      <c r="F263" s="321"/>
      <c r="G263" s="321"/>
      <c r="H263" s="321"/>
      <c r="I263" s="315"/>
      <c r="J263" s="315"/>
      <c r="K263" s="315"/>
      <c r="L263" s="282"/>
      <c r="M263" s="282"/>
      <c r="N263" s="282"/>
    </row>
    <row r="264" spans="1:14" x14ac:dyDescent="0.3">
      <c r="A264" s="315"/>
      <c r="B264" s="315"/>
      <c r="C264" s="315"/>
      <c r="D264" s="315"/>
      <c r="E264" s="315"/>
      <c r="F264" s="321"/>
      <c r="G264" s="321"/>
      <c r="H264" s="321"/>
      <c r="I264" s="315"/>
      <c r="J264" s="315"/>
      <c r="K264" s="315"/>
      <c r="L264" s="282"/>
      <c r="M264" s="282"/>
      <c r="N264" s="282"/>
    </row>
    <row r="265" spans="1:14" x14ac:dyDescent="0.3">
      <c r="A265" s="315"/>
      <c r="B265" s="315"/>
      <c r="C265" s="315"/>
      <c r="D265" s="315"/>
      <c r="E265" s="315"/>
      <c r="F265" s="321"/>
      <c r="G265" s="321"/>
      <c r="H265" s="321"/>
      <c r="I265" s="315"/>
      <c r="J265" s="315"/>
      <c r="K265" s="315"/>
      <c r="L265" s="282"/>
      <c r="M265" s="282"/>
      <c r="N265" s="282"/>
    </row>
    <row r="266" spans="1:14" x14ac:dyDescent="0.3">
      <c r="A266" s="315"/>
      <c r="B266" s="315"/>
      <c r="C266" s="315"/>
      <c r="D266" s="315"/>
      <c r="E266" s="315"/>
      <c r="F266" s="321"/>
      <c r="G266" s="321"/>
      <c r="H266" s="321"/>
      <c r="I266" s="315"/>
      <c r="J266" s="315"/>
      <c r="K266" s="315"/>
      <c r="L266" s="282"/>
      <c r="M266" s="282"/>
      <c r="N266" s="282"/>
    </row>
    <row r="267" spans="1:14" x14ac:dyDescent="0.3">
      <c r="A267" s="315"/>
      <c r="B267" s="315"/>
      <c r="C267" s="315"/>
      <c r="D267" s="315"/>
      <c r="E267" s="315"/>
      <c r="F267" s="321"/>
      <c r="G267" s="321"/>
      <c r="H267" s="321"/>
      <c r="I267" s="315"/>
      <c r="J267" s="315"/>
      <c r="K267" s="315"/>
      <c r="L267" s="282"/>
      <c r="M267" s="282"/>
      <c r="N267" s="282"/>
    </row>
    <row r="268" spans="1:14" x14ac:dyDescent="0.3">
      <c r="A268" s="315"/>
      <c r="B268" s="315"/>
      <c r="C268" s="315"/>
      <c r="D268" s="315"/>
      <c r="E268" s="315"/>
      <c r="F268" s="321"/>
      <c r="G268" s="321"/>
      <c r="H268" s="321"/>
      <c r="I268" s="315"/>
      <c r="J268" s="315"/>
      <c r="K268" s="315"/>
      <c r="L268" s="282"/>
      <c r="M268" s="282"/>
      <c r="N268" s="282"/>
    </row>
    <row r="269" spans="1:14" x14ac:dyDescent="0.3">
      <c r="A269" s="315"/>
      <c r="B269" s="315"/>
      <c r="C269" s="315"/>
      <c r="D269" s="315"/>
      <c r="E269" s="315"/>
      <c r="F269" s="321"/>
      <c r="G269" s="321"/>
      <c r="H269" s="321"/>
      <c r="I269" s="315"/>
      <c r="J269" s="315"/>
      <c r="K269" s="315"/>
      <c r="L269" s="282"/>
      <c r="M269" s="282"/>
      <c r="N269" s="282"/>
    </row>
    <row r="270" spans="1:14" x14ac:dyDescent="0.3">
      <c r="A270" s="315"/>
      <c r="B270" s="315"/>
      <c r="C270" s="315"/>
      <c r="D270" s="315"/>
      <c r="E270" s="315"/>
      <c r="F270" s="321"/>
      <c r="G270" s="321"/>
      <c r="H270" s="321"/>
      <c r="I270" s="315"/>
      <c r="J270" s="315"/>
      <c r="K270" s="315"/>
      <c r="L270" s="282"/>
      <c r="M270" s="282"/>
      <c r="N270" s="282"/>
    </row>
    <row r="271" spans="1:14" x14ac:dyDescent="0.3">
      <c r="A271" s="315"/>
      <c r="B271" s="315"/>
      <c r="C271" s="315"/>
      <c r="D271" s="315"/>
      <c r="E271" s="315"/>
      <c r="F271" s="321"/>
      <c r="G271" s="321"/>
      <c r="H271" s="321"/>
      <c r="I271" s="315"/>
      <c r="J271" s="315"/>
      <c r="K271" s="315"/>
      <c r="L271" s="282"/>
      <c r="M271" s="282"/>
      <c r="N271" s="282"/>
    </row>
    <row r="272" spans="1:14" x14ac:dyDescent="0.3">
      <c r="A272" s="315"/>
      <c r="B272" s="315"/>
      <c r="C272" s="315"/>
      <c r="D272" s="315"/>
      <c r="E272" s="315"/>
      <c r="F272" s="321"/>
      <c r="G272" s="321"/>
      <c r="H272" s="321"/>
      <c r="I272" s="315"/>
      <c r="J272" s="315"/>
      <c r="K272" s="315"/>
      <c r="L272" s="282"/>
      <c r="M272" s="282"/>
      <c r="N272" s="282"/>
    </row>
    <row r="273" spans="1:14" x14ac:dyDescent="0.3">
      <c r="A273" s="315"/>
      <c r="B273" s="315"/>
      <c r="C273" s="315"/>
      <c r="D273" s="315"/>
      <c r="E273" s="315"/>
      <c r="F273" s="321"/>
      <c r="G273" s="321"/>
      <c r="H273" s="321"/>
      <c r="I273" s="315"/>
      <c r="J273" s="315"/>
      <c r="K273" s="315"/>
      <c r="L273" s="282"/>
      <c r="M273" s="282"/>
      <c r="N273" s="282"/>
    </row>
    <row r="274" spans="1:14" x14ac:dyDescent="0.3">
      <c r="A274" s="315"/>
      <c r="B274" s="315"/>
      <c r="C274" s="315"/>
      <c r="D274" s="315"/>
      <c r="E274" s="315"/>
      <c r="F274" s="321"/>
      <c r="G274" s="321"/>
      <c r="H274" s="321"/>
      <c r="I274" s="315"/>
      <c r="J274" s="315"/>
      <c r="K274" s="315"/>
      <c r="L274" s="282"/>
      <c r="M274" s="282"/>
      <c r="N274" s="282"/>
    </row>
    <row r="275" spans="1:14" x14ac:dyDescent="0.3">
      <c r="A275" s="315"/>
      <c r="B275" s="315"/>
      <c r="C275" s="315"/>
      <c r="D275" s="315"/>
      <c r="E275" s="315"/>
      <c r="F275" s="321"/>
      <c r="G275" s="321"/>
      <c r="H275" s="321"/>
      <c r="I275" s="315"/>
      <c r="J275" s="315"/>
      <c r="K275" s="315"/>
      <c r="L275" s="282"/>
      <c r="M275" s="282"/>
      <c r="N275" s="282"/>
    </row>
    <row r="276" spans="1:14" x14ac:dyDescent="0.3">
      <c r="A276" s="315"/>
      <c r="B276" s="315"/>
      <c r="C276" s="315"/>
      <c r="D276" s="315"/>
      <c r="E276" s="315"/>
      <c r="F276" s="321"/>
      <c r="G276" s="321"/>
      <c r="H276" s="321"/>
      <c r="I276" s="315"/>
      <c r="J276" s="315"/>
      <c r="K276" s="315"/>
      <c r="L276" s="282"/>
      <c r="M276" s="282"/>
      <c r="N276" s="282"/>
    </row>
    <row r="277" spans="1:14" x14ac:dyDescent="0.3">
      <c r="A277" s="315"/>
      <c r="B277" s="315"/>
      <c r="C277" s="315"/>
      <c r="D277" s="315"/>
      <c r="E277" s="315"/>
      <c r="F277" s="321"/>
      <c r="G277" s="321"/>
      <c r="H277" s="321"/>
      <c r="I277" s="315"/>
      <c r="J277" s="315"/>
      <c r="K277" s="315"/>
      <c r="L277" s="282"/>
      <c r="M277" s="282"/>
      <c r="N277" s="282"/>
    </row>
    <row r="278" spans="1:14" x14ac:dyDescent="0.3">
      <c r="A278" s="315"/>
      <c r="B278" s="315"/>
      <c r="C278" s="315"/>
      <c r="D278" s="315"/>
      <c r="E278" s="315"/>
      <c r="F278" s="321"/>
      <c r="G278" s="321"/>
      <c r="H278" s="321"/>
      <c r="I278" s="315"/>
      <c r="J278" s="315"/>
      <c r="K278" s="315"/>
      <c r="L278" s="282"/>
      <c r="M278" s="282"/>
      <c r="N278" s="282"/>
    </row>
    <row r="279" spans="1:14" x14ac:dyDescent="0.3">
      <c r="A279" s="315"/>
      <c r="B279" s="315"/>
      <c r="C279" s="315"/>
      <c r="D279" s="315"/>
      <c r="E279" s="315"/>
      <c r="F279" s="321"/>
      <c r="G279" s="321"/>
      <c r="H279" s="321"/>
      <c r="I279" s="315"/>
      <c r="J279" s="315"/>
      <c r="K279" s="315"/>
      <c r="L279" s="282"/>
      <c r="M279" s="282"/>
      <c r="N279" s="282"/>
    </row>
    <row r="280" spans="1:14" x14ac:dyDescent="0.3">
      <c r="A280" s="315"/>
      <c r="B280" s="315"/>
      <c r="C280" s="315"/>
      <c r="D280" s="315"/>
      <c r="E280" s="315"/>
      <c r="F280" s="321"/>
      <c r="G280" s="321"/>
      <c r="H280" s="321"/>
      <c r="I280" s="315"/>
      <c r="J280" s="315"/>
      <c r="K280" s="315"/>
      <c r="L280" s="282"/>
      <c r="M280" s="282"/>
      <c r="N280" s="282"/>
    </row>
    <row r="281" spans="1:14" x14ac:dyDescent="0.3">
      <c r="A281" s="315"/>
      <c r="B281" s="315"/>
      <c r="C281" s="315"/>
      <c r="D281" s="315"/>
      <c r="E281" s="315"/>
      <c r="F281" s="321"/>
      <c r="G281" s="321"/>
      <c r="H281" s="321"/>
      <c r="I281" s="315"/>
      <c r="J281" s="315"/>
      <c r="K281" s="315"/>
      <c r="L281" s="282"/>
      <c r="M281" s="282"/>
      <c r="N281" s="282"/>
    </row>
    <row r="282" spans="1:14" x14ac:dyDescent="0.3">
      <c r="A282" s="315"/>
      <c r="B282" s="315"/>
      <c r="C282" s="315"/>
      <c r="D282" s="315"/>
      <c r="E282" s="315"/>
      <c r="F282" s="321"/>
      <c r="G282" s="321"/>
      <c r="H282" s="321"/>
      <c r="I282" s="315"/>
      <c r="J282" s="315"/>
      <c r="K282" s="315"/>
      <c r="L282" s="282"/>
      <c r="M282" s="282"/>
      <c r="N282" s="282"/>
    </row>
    <row r="283" spans="1:14" x14ac:dyDescent="0.3">
      <c r="A283" s="315"/>
      <c r="B283" s="315"/>
      <c r="C283" s="315"/>
      <c r="D283" s="315"/>
      <c r="E283" s="315"/>
      <c r="F283" s="321"/>
      <c r="G283" s="321"/>
      <c r="H283" s="321"/>
      <c r="I283" s="315"/>
      <c r="J283" s="315"/>
      <c r="K283" s="315"/>
      <c r="L283" s="282"/>
      <c r="M283" s="282"/>
      <c r="N283" s="282"/>
    </row>
    <row r="284" spans="1:14" x14ac:dyDescent="0.3">
      <c r="A284" s="205"/>
      <c r="B284" s="205"/>
      <c r="C284" s="205"/>
      <c r="D284" s="205"/>
      <c r="E284" s="205"/>
      <c r="F284" s="205"/>
      <c r="G284" s="205"/>
      <c r="H284" s="205"/>
      <c r="I284" s="315"/>
      <c r="J284" s="315"/>
      <c r="K284" s="315"/>
      <c r="L284" s="282"/>
      <c r="M284" s="282"/>
      <c r="N284" s="282"/>
    </row>
    <row r="285" spans="1:14" x14ac:dyDescent="0.3">
      <c r="A285" s="205"/>
      <c r="B285" s="205"/>
      <c r="C285" s="205"/>
      <c r="D285" s="205"/>
      <c r="E285" s="205"/>
      <c r="F285" s="205"/>
      <c r="G285" s="205"/>
      <c r="H285" s="205"/>
      <c r="I285" s="205"/>
      <c r="J285" s="205"/>
      <c r="K285" s="205"/>
    </row>
    <row r="286" spans="1:14" x14ac:dyDescent="0.3">
      <c r="A286" s="205"/>
      <c r="B286" s="205"/>
      <c r="C286" s="205"/>
      <c r="D286" s="205"/>
      <c r="E286" s="205"/>
      <c r="F286" s="205"/>
      <c r="G286" s="205"/>
      <c r="H286" s="205"/>
      <c r="I286" s="205"/>
      <c r="J286" s="205"/>
      <c r="K286" s="205"/>
    </row>
    <row r="287" spans="1:14" x14ac:dyDescent="0.3">
      <c r="A287" s="205"/>
      <c r="B287" s="205"/>
      <c r="C287" s="205"/>
      <c r="D287" s="205"/>
      <c r="E287" s="205"/>
      <c r="F287" s="205"/>
      <c r="G287" s="205"/>
      <c r="H287" s="205"/>
      <c r="I287" s="205"/>
      <c r="J287" s="205"/>
      <c r="K287" s="205"/>
    </row>
    <row r="288" spans="1:14" x14ac:dyDescent="0.3">
      <c r="A288" s="205"/>
      <c r="B288" s="205"/>
      <c r="C288" s="205"/>
      <c r="D288" s="205"/>
      <c r="E288" s="205"/>
      <c r="F288" s="205"/>
      <c r="G288" s="205"/>
      <c r="H288" s="205"/>
    </row>
    <row r="289" spans="1:8" x14ac:dyDescent="0.3">
      <c r="A289" s="205"/>
      <c r="B289" s="205"/>
      <c r="C289" s="205"/>
      <c r="D289" s="205"/>
      <c r="E289" s="205"/>
      <c r="F289" s="205"/>
      <c r="G289" s="205"/>
      <c r="H289" s="205"/>
    </row>
    <row r="290" spans="1:8" x14ac:dyDescent="0.3">
      <c r="A290" s="205"/>
      <c r="B290" s="205"/>
      <c r="C290" s="205"/>
      <c r="D290" s="205"/>
      <c r="E290" s="205"/>
      <c r="F290" s="205"/>
      <c r="G290" s="205"/>
      <c r="H290" s="205"/>
    </row>
  </sheetData>
  <sheetProtection algorithmName="SHA-512" hashValue="9b2KgBuOYQbKGO/gBYbwx6Eoy+UP9whFgBCVUfMcDt/FVV7Y+U4qW60vW4vyp8Xh2ffNOveT5WQsZhaK1WPx/g==" saltValue="F3CL1MPTUGvIgF+K3V+pPg==" spinCount="100000" sheet="1" selectLockedCells="1"/>
  <mergeCells count="36">
    <mergeCell ref="A11:B11"/>
    <mergeCell ref="A22:C22"/>
    <mergeCell ref="A8:D9"/>
    <mergeCell ref="A1:D1"/>
    <mergeCell ref="A4:D4"/>
    <mergeCell ref="A6:D6"/>
    <mergeCell ref="A7:B7"/>
    <mergeCell ref="C7:D7"/>
    <mergeCell ref="J22:M23"/>
    <mergeCell ref="G23:H23"/>
    <mergeCell ref="J24:K24"/>
    <mergeCell ref="L24:M24"/>
    <mergeCell ref="X30:Y30"/>
    <mergeCell ref="G25:H25"/>
    <mergeCell ref="G27:H27"/>
    <mergeCell ref="K31:M33"/>
    <mergeCell ref="A37:C37"/>
    <mergeCell ref="G40:H40"/>
    <mergeCell ref="W41:X41"/>
    <mergeCell ref="Y41:Z41"/>
    <mergeCell ref="G38:H38"/>
    <mergeCell ref="Y43:Z43"/>
    <mergeCell ref="G57:H57"/>
    <mergeCell ref="W45:X45"/>
    <mergeCell ref="Y45:Z45"/>
    <mergeCell ref="W47:X47"/>
    <mergeCell ref="Y47:Z47"/>
    <mergeCell ref="W49:X49"/>
    <mergeCell ref="Y49:Z49"/>
    <mergeCell ref="W51:X51"/>
    <mergeCell ref="Y51:Z51"/>
    <mergeCell ref="A52:C52"/>
    <mergeCell ref="G53:H53"/>
    <mergeCell ref="G55:H55"/>
    <mergeCell ref="G42:H42"/>
    <mergeCell ref="W43:X43"/>
  </mergeCells>
  <phoneticPr fontId="4" type="noConversion"/>
  <dataValidations count="1">
    <dataValidation type="list" allowBlank="1" showInputMessage="1" showErrorMessage="1" sqref="A39:A48 A24:A33 A54:A63" xr:uid="{140873AE-74E0-4B2E-854B-B170693628CE}">
      <formula1>$A$93:$A$116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69A6D-B590-40D4-8B47-93918CA6C871}">
  <dimension ref="B1:T38"/>
  <sheetViews>
    <sheetView zoomScale="145" zoomScaleNormal="145" workbookViewId="0">
      <selection activeCell="B8" sqref="B8"/>
    </sheetView>
  </sheetViews>
  <sheetFormatPr defaultRowHeight="16.5" x14ac:dyDescent="0.3"/>
  <cols>
    <col min="2" max="2" width="15.875" bestFit="1" customWidth="1"/>
    <col min="3" max="3" width="17.75" customWidth="1"/>
    <col min="4" max="4" width="39.875" customWidth="1"/>
    <col min="5" max="5" width="27.25" customWidth="1"/>
    <col min="6" max="6" width="9" customWidth="1"/>
    <col min="7" max="7" width="14.625" customWidth="1"/>
    <col min="8" max="8" width="12.875" customWidth="1"/>
    <col min="9" max="9" width="13.25" customWidth="1"/>
    <col min="10" max="10" width="17" customWidth="1"/>
    <col min="11" max="11" width="17.625" customWidth="1"/>
    <col min="12" max="12" width="13.25" customWidth="1"/>
    <col min="13" max="13" width="10.75" customWidth="1"/>
    <col min="14" max="14" width="12" customWidth="1"/>
    <col min="15" max="15" width="15.875" customWidth="1"/>
    <col min="16" max="16" width="15.75" customWidth="1"/>
  </cols>
  <sheetData>
    <row r="1" spans="2:20" x14ac:dyDescent="0.3">
      <c r="B1" s="753" t="s">
        <v>313</v>
      </c>
      <c r="C1" s="754"/>
      <c r="D1" s="754"/>
      <c r="E1" s="755"/>
    </row>
    <row r="2" spans="2:20" ht="17.25" thickBot="1" x14ac:dyDescent="0.35">
      <c r="B2" s="756"/>
      <c r="C2" s="757"/>
      <c r="D2" s="757"/>
      <c r="E2" s="758"/>
    </row>
    <row r="3" spans="2:20" x14ac:dyDescent="0.3">
      <c r="B3" s="408"/>
      <c r="C3" s="408"/>
      <c r="D3" s="408"/>
    </row>
    <row r="4" spans="2:20" ht="17.25" thickBot="1" x14ac:dyDescent="0.35"/>
    <row r="5" spans="2:20" x14ac:dyDescent="0.3">
      <c r="B5" s="713" t="s">
        <v>244</v>
      </c>
      <c r="C5" s="714"/>
      <c r="D5" s="714"/>
      <c r="E5" s="715"/>
      <c r="F5" s="408"/>
      <c r="G5" s="759" t="s">
        <v>570</v>
      </c>
      <c r="H5" s="743"/>
      <c r="I5" s="743"/>
      <c r="J5" s="743"/>
      <c r="K5" s="744"/>
      <c r="L5" s="413" t="s">
        <v>326</v>
      </c>
      <c r="M5" s="146" t="s">
        <v>350</v>
      </c>
    </row>
    <row r="6" spans="2:20" ht="17.25" thickBot="1" x14ac:dyDescent="0.35">
      <c r="B6" s="739"/>
      <c r="C6" s="740"/>
      <c r="D6" s="740"/>
      <c r="E6" s="741"/>
      <c r="F6" s="408"/>
      <c r="G6" s="745"/>
      <c r="H6" s="746"/>
      <c r="I6" s="746"/>
      <c r="J6" s="746"/>
      <c r="K6" s="747"/>
      <c r="L6" s="145" t="s">
        <v>327</v>
      </c>
      <c r="M6" s="32"/>
    </row>
    <row r="7" spans="2:20" x14ac:dyDescent="0.3">
      <c r="B7" s="120"/>
      <c r="C7" s="411" t="s">
        <v>44</v>
      </c>
      <c r="D7" s="760" t="s">
        <v>245</v>
      </c>
      <c r="E7" s="761"/>
      <c r="F7" s="408"/>
      <c r="G7" s="147" t="s">
        <v>385</v>
      </c>
    </row>
    <row r="8" spans="2:20" ht="54.75" customHeight="1" thickBot="1" x14ac:dyDescent="0.35">
      <c r="B8" s="50" t="s">
        <v>45</v>
      </c>
      <c r="C8" s="405" t="s">
        <v>246</v>
      </c>
      <c r="D8" s="723" t="s">
        <v>247</v>
      </c>
      <c r="E8" s="725"/>
      <c r="G8" s="141" t="s">
        <v>355</v>
      </c>
      <c r="H8" s="142" t="s">
        <v>356</v>
      </c>
      <c r="I8" s="142" t="s">
        <v>354</v>
      </c>
      <c r="J8" s="142" t="s">
        <v>353</v>
      </c>
      <c r="K8" s="143" t="s">
        <v>357</v>
      </c>
      <c r="L8" s="143" t="s">
        <v>358</v>
      </c>
      <c r="M8" s="143" t="s">
        <v>359</v>
      </c>
      <c r="N8" s="144" t="s">
        <v>367</v>
      </c>
      <c r="O8" s="144" t="s">
        <v>368</v>
      </c>
      <c r="P8" s="149" t="s">
        <v>373</v>
      </c>
      <c r="Q8" s="408"/>
    </row>
    <row r="9" spans="2:20" ht="71.25" customHeight="1" thickBot="1" x14ac:dyDescent="0.35">
      <c r="B9" s="50" t="s">
        <v>208</v>
      </c>
      <c r="C9" s="723" t="s">
        <v>571</v>
      </c>
      <c r="D9" s="724"/>
      <c r="E9" s="750"/>
      <c r="G9" s="148" t="s">
        <v>352</v>
      </c>
      <c r="H9" s="144" t="s">
        <v>369</v>
      </c>
      <c r="I9" s="720" t="s">
        <v>572</v>
      </c>
      <c r="J9" s="721"/>
      <c r="K9" s="721"/>
      <c r="L9" s="721"/>
      <c r="M9" s="722"/>
      <c r="N9" s="720" t="s">
        <v>573</v>
      </c>
      <c r="O9" s="721"/>
      <c r="P9" s="721"/>
      <c r="Q9" s="721"/>
      <c r="R9" s="721"/>
      <c r="S9" s="721"/>
      <c r="T9" s="722"/>
    </row>
    <row r="10" spans="2:20" ht="66" customHeight="1" thickBot="1" x14ac:dyDescent="0.35">
      <c r="B10" s="50" t="s">
        <v>248</v>
      </c>
      <c r="C10" s="408" t="s">
        <v>249</v>
      </c>
      <c r="D10" s="723" t="s">
        <v>250</v>
      </c>
      <c r="E10" s="725"/>
      <c r="G10" s="414" t="s">
        <v>574</v>
      </c>
      <c r="H10" s="142" t="s">
        <v>360</v>
      </c>
      <c r="I10" s="142" t="s">
        <v>361</v>
      </c>
      <c r="J10" s="144" t="s">
        <v>370</v>
      </c>
      <c r="K10" s="720" t="s">
        <v>575</v>
      </c>
      <c r="L10" s="721"/>
      <c r="M10" s="721"/>
      <c r="N10" s="722"/>
      <c r="O10" s="415" t="s">
        <v>576</v>
      </c>
      <c r="P10" s="416" t="s">
        <v>577</v>
      </c>
    </row>
    <row r="11" spans="2:20" ht="49.5" x14ac:dyDescent="0.3">
      <c r="B11" s="121" t="s">
        <v>251</v>
      </c>
      <c r="C11" s="405" t="s">
        <v>252</v>
      </c>
      <c r="D11" s="724" t="s">
        <v>253</v>
      </c>
      <c r="E11" s="750"/>
      <c r="G11" s="142" t="s">
        <v>362</v>
      </c>
      <c r="H11" s="142" t="s">
        <v>363</v>
      </c>
      <c r="I11" s="143" t="s">
        <v>364</v>
      </c>
      <c r="J11" s="144" t="s">
        <v>371</v>
      </c>
    </row>
    <row r="12" spans="2:20" ht="48.75" customHeight="1" x14ac:dyDescent="0.3">
      <c r="B12" s="122" t="s">
        <v>254</v>
      </c>
      <c r="C12" s="408" t="s">
        <v>255</v>
      </c>
      <c r="D12" s="723" t="s">
        <v>256</v>
      </c>
      <c r="E12" s="725"/>
      <c r="G12" s="414" t="s">
        <v>578</v>
      </c>
      <c r="H12" s="417" t="s">
        <v>579</v>
      </c>
      <c r="I12" s="418" t="s">
        <v>580</v>
      </c>
      <c r="J12" s="418" t="s">
        <v>581</v>
      </c>
      <c r="K12" s="149" t="s">
        <v>582</v>
      </c>
      <c r="L12" s="408"/>
      <c r="M12" s="408"/>
    </row>
    <row r="13" spans="2:20" ht="47.25" customHeight="1" thickBot="1" x14ac:dyDescent="0.35">
      <c r="B13" s="123" t="s">
        <v>257</v>
      </c>
      <c r="C13" s="407" t="s">
        <v>258</v>
      </c>
      <c r="D13" s="751" t="s">
        <v>253</v>
      </c>
      <c r="E13" s="752"/>
      <c r="G13" s="142" t="s">
        <v>365</v>
      </c>
      <c r="H13" s="143" t="s">
        <v>366</v>
      </c>
      <c r="I13" s="144" t="s">
        <v>372</v>
      </c>
    </row>
    <row r="14" spans="2:20" x14ac:dyDescent="0.3">
      <c r="B14" s="408"/>
      <c r="C14" s="408"/>
      <c r="D14" s="408"/>
    </row>
    <row r="15" spans="2:20" x14ac:dyDescent="0.3">
      <c r="B15" s="736" t="s">
        <v>583</v>
      </c>
      <c r="C15" s="736"/>
      <c r="D15" s="254" t="s">
        <v>584</v>
      </c>
      <c r="E15" s="44" t="s">
        <v>585</v>
      </c>
      <c r="G15" s="748" t="s">
        <v>635</v>
      </c>
      <c r="H15" s="748"/>
      <c r="I15" s="748"/>
      <c r="J15" s="748"/>
      <c r="K15" s="748"/>
      <c r="L15" s="442"/>
    </row>
    <row r="16" spans="2:20" x14ac:dyDescent="0.3">
      <c r="B16" s="737" t="s">
        <v>586</v>
      </c>
      <c r="C16" s="737"/>
      <c r="D16" s="254" t="s">
        <v>587</v>
      </c>
      <c r="E16" s="419" t="s">
        <v>588</v>
      </c>
      <c r="G16" s="749" t="s">
        <v>633</v>
      </c>
      <c r="H16" s="749"/>
      <c r="I16" s="749"/>
      <c r="J16" s="749"/>
      <c r="K16" s="749"/>
      <c r="L16" s="442"/>
    </row>
    <row r="17" spans="2:17" x14ac:dyDescent="0.3">
      <c r="B17" s="738" t="s">
        <v>589</v>
      </c>
      <c r="C17" s="738"/>
      <c r="D17" s="254" t="s">
        <v>590</v>
      </c>
      <c r="E17" s="420" t="s">
        <v>591</v>
      </c>
      <c r="G17" s="443" t="s">
        <v>634</v>
      </c>
      <c r="H17" s="442"/>
      <c r="I17" s="442"/>
      <c r="J17" s="442"/>
      <c r="K17" s="442"/>
      <c r="L17" s="442"/>
    </row>
    <row r="18" spans="2:17" x14ac:dyDescent="0.3">
      <c r="B18" s="719" t="s">
        <v>613</v>
      </c>
      <c r="C18" s="719"/>
      <c r="D18" s="254" t="s">
        <v>614</v>
      </c>
    </row>
    <row r="19" spans="2:17" ht="17.25" thickBot="1" x14ac:dyDescent="0.35"/>
    <row r="20" spans="2:17" x14ac:dyDescent="0.3">
      <c r="B20" s="713" t="s">
        <v>259</v>
      </c>
      <c r="C20" s="714"/>
      <c r="D20" s="714"/>
      <c r="E20" s="715"/>
      <c r="G20" s="742" t="s">
        <v>351</v>
      </c>
      <c r="H20" s="743"/>
      <c r="I20" s="743"/>
      <c r="J20" s="743"/>
      <c r="K20" s="744"/>
      <c r="L20" s="413" t="s">
        <v>326</v>
      </c>
      <c r="M20" s="146" t="s">
        <v>350</v>
      </c>
    </row>
    <row r="21" spans="2:17" ht="17.25" thickBot="1" x14ac:dyDescent="0.35">
      <c r="B21" s="739"/>
      <c r="C21" s="740"/>
      <c r="D21" s="740"/>
      <c r="E21" s="741"/>
      <c r="G21" s="745"/>
      <c r="H21" s="746"/>
      <c r="I21" s="746"/>
      <c r="J21" s="746"/>
      <c r="K21" s="747"/>
      <c r="L21" s="145" t="s">
        <v>327</v>
      </c>
      <c r="M21" s="32"/>
    </row>
    <row r="22" spans="2:17" ht="17.25" thickBot="1" x14ac:dyDescent="0.35">
      <c r="B22" s="27"/>
      <c r="C22" s="411" t="s">
        <v>44</v>
      </c>
      <c r="D22" s="411" t="s">
        <v>245</v>
      </c>
      <c r="E22" s="409" t="s">
        <v>260</v>
      </c>
      <c r="G22" s="732" t="s">
        <v>384</v>
      </c>
      <c r="H22" s="733"/>
      <c r="I22" s="734"/>
      <c r="J22" s="734"/>
      <c r="K22" s="735"/>
    </row>
    <row r="23" spans="2:17" ht="93" customHeight="1" thickBot="1" x14ac:dyDescent="0.35">
      <c r="B23" s="50" t="s">
        <v>261</v>
      </c>
      <c r="C23" s="405" t="s">
        <v>262</v>
      </c>
      <c r="D23" s="405" t="s">
        <v>263</v>
      </c>
      <c r="E23" s="406" t="s">
        <v>264</v>
      </c>
      <c r="G23" s="142" t="s">
        <v>328</v>
      </c>
      <c r="H23" s="143" t="s">
        <v>314</v>
      </c>
      <c r="I23" s="720" t="s">
        <v>329</v>
      </c>
      <c r="J23" s="721"/>
      <c r="K23" s="721"/>
      <c r="L23" s="721"/>
      <c r="M23" s="722"/>
      <c r="N23" s="144" t="s">
        <v>374</v>
      </c>
      <c r="O23" s="437" t="s">
        <v>632</v>
      </c>
      <c r="P23" s="425"/>
    </row>
    <row r="24" spans="2:17" ht="71.25" customHeight="1" x14ac:dyDescent="0.3">
      <c r="B24" s="124" t="s">
        <v>265</v>
      </c>
      <c r="C24" s="405" t="s">
        <v>266</v>
      </c>
      <c r="D24" s="723" t="s">
        <v>267</v>
      </c>
      <c r="E24" s="406" t="s">
        <v>268</v>
      </c>
      <c r="G24" s="142" t="s">
        <v>324</v>
      </c>
      <c r="H24" s="143" t="s">
        <v>325</v>
      </c>
      <c r="I24" s="144" t="s">
        <v>375</v>
      </c>
      <c r="J24" s="408"/>
    </row>
    <row r="25" spans="2:17" ht="65.25" customHeight="1" x14ac:dyDescent="0.3">
      <c r="B25" s="124" t="s">
        <v>269</v>
      </c>
      <c r="C25" s="405" t="s">
        <v>270</v>
      </c>
      <c r="D25" s="723"/>
      <c r="E25" s="406" t="s">
        <v>271</v>
      </c>
      <c r="G25" s="142" t="s">
        <v>330</v>
      </c>
      <c r="H25" s="143" t="s">
        <v>331</v>
      </c>
      <c r="I25" s="144" t="s">
        <v>376</v>
      </c>
    </row>
    <row r="26" spans="2:17" ht="76.5" customHeight="1" x14ac:dyDescent="0.3">
      <c r="B26" s="124" t="s">
        <v>272</v>
      </c>
      <c r="C26" s="405" t="s">
        <v>273</v>
      </c>
      <c r="D26" s="405" t="s">
        <v>274</v>
      </c>
      <c r="E26" s="406" t="s">
        <v>275</v>
      </c>
      <c r="G26" s="142" t="s">
        <v>315</v>
      </c>
      <c r="H26" s="142" t="s">
        <v>318</v>
      </c>
      <c r="I26" s="143" t="s">
        <v>316</v>
      </c>
      <c r="J26" s="143" t="s">
        <v>317</v>
      </c>
    </row>
    <row r="27" spans="2:17" ht="87" customHeight="1" x14ac:dyDescent="0.3">
      <c r="B27" s="124" t="s">
        <v>276</v>
      </c>
      <c r="C27" s="405" t="s">
        <v>277</v>
      </c>
      <c r="D27" s="405" t="s">
        <v>278</v>
      </c>
      <c r="E27" s="406" t="s">
        <v>279</v>
      </c>
      <c r="G27" s="143" t="s">
        <v>320</v>
      </c>
      <c r="H27" s="143" t="s">
        <v>319</v>
      </c>
    </row>
    <row r="28" spans="2:17" ht="102" customHeight="1" thickBot="1" x14ac:dyDescent="0.35">
      <c r="B28" s="50" t="s">
        <v>280</v>
      </c>
      <c r="C28" s="405" t="s">
        <v>281</v>
      </c>
      <c r="D28" s="405" t="s">
        <v>282</v>
      </c>
      <c r="E28" s="406" t="s">
        <v>283</v>
      </c>
      <c r="G28" s="143" t="s">
        <v>321</v>
      </c>
      <c r="H28" s="143" t="s">
        <v>322</v>
      </c>
      <c r="I28" s="143" t="s">
        <v>323</v>
      </c>
    </row>
    <row r="29" spans="2:17" ht="20.25" customHeight="1" thickBot="1" x14ac:dyDescent="0.35">
      <c r="B29" s="402"/>
      <c r="C29" s="403" t="s">
        <v>44</v>
      </c>
      <c r="D29" s="403" t="s">
        <v>245</v>
      </c>
      <c r="E29" s="404" t="s">
        <v>260</v>
      </c>
    </row>
    <row r="30" spans="2:17" ht="62.25" customHeight="1" thickBot="1" x14ac:dyDescent="0.35">
      <c r="B30" s="50" t="s">
        <v>284</v>
      </c>
      <c r="C30" s="408" t="s">
        <v>285</v>
      </c>
      <c r="D30" s="405" t="s">
        <v>286</v>
      </c>
      <c r="E30" s="410" t="s">
        <v>287</v>
      </c>
      <c r="G30" s="142" t="s">
        <v>332</v>
      </c>
      <c r="H30" s="142" t="s">
        <v>333</v>
      </c>
      <c r="I30" s="142" t="s">
        <v>334</v>
      </c>
      <c r="J30" s="143" t="s">
        <v>336</v>
      </c>
      <c r="K30" s="143" t="s">
        <v>337</v>
      </c>
      <c r="L30" s="144" t="s">
        <v>377</v>
      </c>
      <c r="N30" s="720" t="s">
        <v>335</v>
      </c>
      <c r="O30" s="721"/>
      <c r="P30" s="721"/>
      <c r="Q30" s="722"/>
    </row>
    <row r="31" spans="2:17" ht="96.75" customHeight="1" thickBot="1" x14ac:dyDescent="0.35">
      <c r="B31" s="50" t="s">
        <v>288</v>
      </c>
      <c r="C31" s="408" t="s">
        <v>289</v>
      </c>
      <c r="D31" s="405" t="s">
        <v>592</v>
      </c>
      <c r="E31" s="406" t="s">
        <v>290</v>
      </c>
      <c r="G31" s="421" t="s">
        <v>593</v>
      </c>
      <c r="H31" s="422" t="s">
        <v>594</v>
      </c>
      <c r="I31" s="720" t="s">
        <v>595</v>
      </c>
      <c r="J31" s="721"/>
      <c r="K31" s="721"/>
      <c r="L31" s="721"/>
      <c r="M31" s="722"/>
      <c r="N31" s="423" t="s">
        <v>596</v>
      </c>
      <c r="O31" s="424" t="s">
        <v>597</v>
      </c>
      <c r="P31" s="425"/>
    </row>
    <row r="32" spans="2:17" ht="96.75" customHeight="1" x14ac:dyDescent="0.3">
      <c r="B32" s="50" t="s">
        <v>626</v>
      </c>
      <c r="C32" s="433" t="s">
        <v>627</v>
      </c>
      <c r="D32" s="432" t="s">
        <v>628</v>
      </c>
      <c r="E32" s="434" t="s">
        <v>629</v>
      </c>
      <c r="G32" s="435" t="s">
        <v>630</v>
      </c>
      <c r="H32" s="436" t="s">
        <v>631</v>
      </c>
      <c r="I32" s="439"/>
      <c r="J32" s="439"/>
      <c r="K32" s="439"/>
      <c r="L32" s="439"/>
      <c r="M32" s="439"/>
      <c r="N32" s="440"/>
      <c r="O32" s="441"/>
      <c r="P32" s="425"/>
    </row>
    <row r="33" spans="2:16" ht="93" customHeight="1" x14ac:dyDescent="0.3">
      <c r="B33" s="26" t="s">
        <v>291</v>
      </c>
      <c r="C33" s="405" t="s">
        <v>292</v>
      </c>
      <c r="D33" s="405" t="s">
        <v>293</v>
      </c>
      <c r="E33" s="406" t="s">
        <v>294</v>
      </c>
      <c r="G33" s="142" t="s">
        <v>342</v>
      </c>
      <c r="H33" s="142" t="s">
        <v>598</v>
      </c>
      <c r="I33" s="414" t="s">
        <v>599</v>
      </c>
      <c r="J33" s="144" t="s">
        <v>378</v>
      </c>
      <c r="K33" s="426"/>
    </row>
    <row r="34" spans="2:16" ht="57.75" customHeight="1" x14ac:dyDescent="0.3">
      <c r="B34" s="26" t="s">
        <v>295</v>
      </c>
      <c r="C34" s="408" t="s">
        <v>296</v>
      </c>
      <c r="D34" s="723" t="s">
        <v>297</v>
      </c>
      <c r="E34" s="725" t="s">
        <v>298</v>
      </c>
      <c r="G34" s="726" t="s">
        <v>600</v>
      </c>
      <c r="H34" s="728" t="s">
        <v>601</v>
      </c>
      <c r="I34" s="730" t="s">
        <v>602</v>
      </c>
      <c r="J34" s="421" t="s">
        <v>603</v>
      </c>
      <c r="K34" s="422" t="s">
        <v>604</v>
      </c>
      <c r="L34" s="730" t="s">
        <v>605</v>
      </c>
    </row>
    <row r="35" spans="2:16" ht="57.75" customHeight="1" x14ac:dyDescent="0.3">
      <c r="B35" s="26" t="s">
        <v>299</v>
      </c>
      <c r="C35" s="408" t="s">
        <v>300</v>
      </c>
      <c r="D35" s="724"/>
      <c r="E35" s="725"/>
      <c r="G35" s="727"/>
      <c r="H35" s="729"/>
      <c r="I35" s="731"/>
      <c r="J35" s="427" t="s">
        <v>606</v>
      </c>
      <c r="K35" s="428" t="s">
        <v>607</v>
      </c>
      <c r="L35" s="731"/>
    </row>
    <row r="36" spans="2:16" ht="78" customHeight="1" thickBot="1" x14ac:dyDescent="0.35">
      <c r="B36" s="26" t="s">
        <v>301</v>
      </c>
      <c r="C36" s="408" t="s">
        <v>302</v>
      </c>
      <c r="D36" s="405" t="s">
        <v>303</v>
      </c>
      <c r="E36" s="406" t="s">
        <v>304</v>
      </c>
      <c r="G36" s="421" t="s">
        <v>608</v>
      </c>
      <c r="H36" s="422" t="s">
        <v>609</v>
      </c>
      <c r="I36" s="423" t="s">
        <v>610</v>
      </c>
      <c r="J36" s="427" t="s">
        <v>611</v>
      </c>
      <c r="K36" s="428" t="s">
        <v>612</v>
      </c>
      <c r="L36" s="425"/>
    </row>
    <row r="37" spans="2:16" ht="122.25" customHeight="1" thickBot="1" x14ac:dyDescent="0.35">
      <c r="B37" s="125" t="s">
        <v>305</v>
      </c>
      <c r="C37" s="405" t="s">
        <v>306</v>
      </c>
      <c r="D37" s="405" t="s">
        <v>307</v>
      </c>
      <c r="E37" s="406" t="s">
        <v>308</v>
      </c>
      <c r="G37" s="429" t="s">
        <v>343</v>
      </c>
      <c r="H37" s="142" t="s">
        <v>344</v>
      </c>
      <c r="I37" s="142" t="s">
        <v>345</v>
      </c>
      <c r="J37" s="142" t="s">
        <v>346</v>
      </c>
      <c r="K37" s="143" t="s">
        <v>347</v>
      </c>
      <c r="L37" s="143" t="s">
        <v>348</v>
      </c>
      <c r="M37" s="143" t="s">
        <v>349</v>
      </c>
      <c r="N37" s="144" t="s">
        <v>380</v>
      </c>
      <c r="O37" s="144" t="s">
        <v>379</v>
      </c>
    </row>
    <row r="38" spans="2:16" ht="75" customHeight="1" thickBot="1" x14ac:dyDescent="0.35">
      <c r="B38" s="126" t="s">
        <v>309</v>
      </c>
      <c r="C38" s="407" t="s">
        <v>310</v>
      </c>
      <c r="D38" s="400" t="s">
        <v>311</v>
      </c>
      <c r="E38" s="401" t="s">
        <v>312</v>
      </c>
      <c r="G38" s="142" t="s">
        <v>338</v>
      </c>
      <c r="H38" s="142" t="s">
        <v>341</v>
      </c>
      <c r="I38" s="143" t="s">
        <v>340</v>
      </c>
      <c r="J38" s="143" t="s">
        <v>339</v>
      </c>
      <c r="K38" s="149" t="s">
        <v>381</v>
      </c>
      <c r="L38" s="675" t="s">
        <v>382</v>
      </c>
      <c r="M38" s="676"/>
      <c r="N38" s="676"/>
      <c r="O38" s="676"/>
      <c r="P38" s="677"/>
    </row>
  </sheetData>
  <sheetProtection selectLockedCells="1"/>
  <mergeCells count="33">
    <mergeCell ref="D13:E13"/>
    <mergeCell ref="B1:E2"/>
    <mergeCell ref="B5:E6"/>
    <mergeCell ref="G5:K6"/>
    <mergeCell ref="D7:E7"/>
    <mergeCell ref="D8:E8"/>
    <mergeCell ref="C9:E9"/>
    <mergeCell ref="I9:M9"/>
    <mergeCell ref="N9:T9"/>
    <mergeCell ref="D10:E10"/>
    <mergeCell ref="K10:N10"/>
    <mergeCell ref="D11:E11"/>
    <mergeCell ref="D12:E12"/>
    <mergeCell ref="B15:C15"/>
    <mergeCell ref="B16:C16"/>
    <mergeCell ref="B17:C17"/>
    <mergeCell ref="B20:E21"/>
    <mergeCell ref="G20:K21"/>
    <mergeCell ref="G15:K15"/>
    <mergeCell ref="G16:K16"/>
    <mergeCell ref="L38:P38"/>
    <mergeCell ref="B18:C18"/>
    <mergeCell ref="I23:M23"/>
    <mergeCell ref="D24:D25"/>
    <mergeCell ref="N30:Q30"/>
    <mergeCell ref="I31:M31"/>
    <mergeCell ref="D34:D35"/>
    <mergeCell ref="E34:E35"/>
    <mergeCell ref="G34:G35"/>
    <mergeCell ref="H34:H35"/>
    <mergeCell ref="I34:I35"/>
    <mergeCell ref="L34:L35"/>
    <mergeCell ref="G22:K22"/>
  </mergeCells>
  <phoneticPr fontId="4" type="noConversion"/>
  <hyperlinks>
    <hyperlink ref="H23" r:id="rId1" display="Teacrine" xr:uid="{7E3627D8-F582-4A4E-A6B5-3BCA3ABEB8CC}"/>
    <hyperlink ref="J26" r:id="rId2" xr:uid="{FED47460-531E-47D4-A6D8-08BF17077731}"/>
    <hyperlink ref="I26" r:id="rId3" xr:uid="{F58AE1F5-0242-4BB5-913D-36A62F8F0303}"/>
    <hyperlink ref="G26" r:id="rId4" xr:uid="{10D68786-F3E8-44BB-B1C9-F6D948EB164A}"/>
    <hyperlink ref="H26" r:id="rId5" xr:uid="{DD9C8350-3B40-4AAD-B077-95BBAB97F5A3}"/>
    <hyperlink ref="G27" r:id="rId6" display="식소다" xr:uid="{A9E743FA-0526-4D81-8627-9DBFA07C3CB3}"/>
    <hyperlink ref="H27" r:id="rId7" display="베이킹파우더" xr:uid="{0B8A3ED6-0A74-48B5-856B-F232E568F44D}"/>
    <hyperlink ref="G28" r:id="rId8" xr:uid="{85C72D33-9A5B-44B7-98CE-D0BEEFA151EF}"/>
    <hyperlink ref="H28" r:id="rId9" xr:uid="{B8E8D5EC-FC55-4DED-A6B2-25A4695F0B7E}"/>
    <hyperlink ref="I28" r:id="rId10" xr:uid="{14C26F63-B0D3-4A57-AB24-A3AD07748EAF}"/>
    <hyperlink ref="G24" r:id="rId11" xr:uid="{755F1A3F-F830-41A0-BBEF-924A441486BC}"/>
    <hyperlink ref="H24" r:id="rId12" xr:uid="{E9275FAC-0FC0-4D2D-9DF1-36DDAD8580F2}"/>
    <hyperlink ref="G23" r:id="rId13" xr:uid="{C1276A75-306A-4314-B159-BEC093CB4A6D}"/>
    <hyperlink ref="G25" r:id="rId14" xr:uid="{AC3A241F-033F-4D03-8C7B-0B0C36441029}"/>
    <hyperlink ref="H25" r:id="rId15" xr:uid="{FC7112F1-C7C7-4FA5-851F-23CF85F37EC4}"/>
    <hyperlink ref="G30" r:id="rId16" xr:uid="{D109AEE5-085B-4320-AB74-0582DDF77F06}"/>
    <hyperlink ref="H30" r:id="rId17" xr:uid="{038FCBE2-7379-4E84-B977-771D9ABB41DB}"/>
    <hyperlink ref="I30" r:id="rId18" xr:uid="{63679D88-C7FA-462A-80B6-B3C7778DCFE1}"/>
    <hyperlink ref="J30" r:id="rId19" xr:uid="{74D99071-1A20-42CF-BC35-24803362F294}"/>
    <hyperlink ref="K30" r:id="rId20" xr:uid="{829C3D90-26CB-47EE-8274-88060CD4521E}"/>
    <hyperlink ref="J38" r:id="rId21" xr:uid="{56055CA0-AD97-4334-BEE9-355395629412}"/>
    <hyperlink ref="I38" r:id="rId22" xr:uid="{09367481-00C9-4D86-8E6D-77C090D41BB7}"/>
    <hyperlink ref="G38" r:id="rId23" xr:uid="{A0A425F4-5DB8-44E1-AA81-395B2FBDBA0D}"/>
    <hyperlink ref="H38" r:id="rId24" xr:uid="{681BDA04-FCFA-4365-91A6-96F052842879}"/>
    <hyperlink ref="G33" r:id="rId25" xr:uid="{0DB86AC5-5D91-496C-A3DF-75D21B581D5A}"/>
    <hyperlink ref="H33" r:id="rId26" display="오메가3_x000a_937mg, TG_x000a_(아이허브)" xr:uid="{5EEB4D2A-2F1C-4088-8698-A7F32E1881D4}"/>
    <hyperlink ref="H37" r:id="rId27" display="아르기닌_x000a_(아이허브)" xr:uid="{A74E15C6-D755-4FFA-92B0-A7BCC7CE1CB9}"/>
    <hyperlink ref="I37" r:id="rId28" xr:uid="{A6F7F7DC-9A03-45A9-AB39-99BF356D7C10}"/>
    <hyperlink ref="J37" r:id="rId29" xr:uid="{9447CFFC-AACC-4E27-BC38-E9C7A4893F30}"/>
    <hyperlink ref="K37" r:id="rId30" xr:uid="{EE43FEBF-67F4-4D00-831B-EF3E11F8AE3A}"/>
    <hyperlink ref="L20" r:id="rId31" xr:uid="{5E8DC925-490A-432D-9389-6163F496C400}"/>
    <hyperlink ref="L21" r:id="rId32" xr:uid="{FB8D049B-16E3-41F2-A240-99A6A367360F}"/>
    <hyperlink ref="L37" r:id="rId33" xr:uid="{629A2C2B-BB5D-4058-85AF-DCC9AC19C9B9}"/>
    <hyperlink ref="M37" r:id="rId34" xr:uid="{F4CED404-F827-460A-BD9E-2AB68D100555}"/>
    <hyperlink ref="G9" r:id="rId35" xr:uid="{34D028E9-6F63-4643-80AA-6747D1CD5154}"/>
    <hyperlink ref="G7" r:id="rId36" display="*단백질은 유튜브 참고하시면 좋습니다. " xr:uid="{26DE65A0-AE7C-4330-8ED5-0A9FE047B680}"/>
    <hyperlink ref="J8" r:id="rId37" display="캘리포니아 _x000a_골드" xr:uid="{EFD5BD1F-1268-4DAE-AF7E-EB676FB92F97}"/>
    <hyperlink ref="G8" r:id="rId38" xr:uid="{E5B9348D-16EA-4F1B-9C9A-498AFD1F9112}"/>
    <hyperlink ref="H8" r:id="rId39" xr:uid="{3EFB336E-F81C-473E-BCA2-A10C9448969A}"/>
    <hyperlink ref="I8" r:id="rId40" xr:uid="{47A04970-A66D-4E01-9CF2-FCB1FC316F83}"/>
    <hyperlink ref="K8" r:id="rId41" xr:uid="{7497A961-419A-4905-9DDB-827012738C45}"/>
    <hyperlink ref="L8" r:id="rId42" xr:uid="{06E36EE2-99B0-4937-84CE-CEBA67D1BD62}"/>
    <hyperlink ref="M8" r:id="rId43" xr:uid="{8F458F7C-D21E-424C-8E80-D8E934A9A90A}"/>
    <hyperlink ref="I10" r:id="rId44" xr:uid="{BFC46BBA-33A9-4DDA-9D4A-1611D0645DDC}"/>
    <hyperlink ref="H10" r:id="rId45" xr:uid="{DE548FE9-A243-451E-B44F-7B9EA3455A59}"/>
    <hyperlink ref="G11" r:id="rId46" xr:uid="{25BD02AD-1C50-40B0-9408-0583340CF200}"/>
    <hyperlink ref="H11" r:id="rId47" xr:uid="{1ED5BF96-6B5C-4157-AAD2-22D749EBEEC6}"/>
    <hyperlink ref="I11" r:id="rId48" xr:uid="{4A6F23EC-4831-44A6-8C1D-6DCBDB72562D}"/>
    <hyperlink ref="G13" r:id="rId49" xr:uid="{4C6C30F3-0ED6-4A51-91E1-76C904849219}"/>
    <hyperlink ref="H13" r:id="rId50" xr:uid="{9CA88721-AE04-4795-AB0C-32CD46F2CAAA}"/>
    <hyperlink ref="N8" r:id="rId51" xr:uid="{83F87179-CD54-44F6-A3F0-4C5E314755CF}"/>
    <hyperlink ref="O8" r:id="rId52" xr:uid="{070BD09F-3451-4B0A-AF27-DD6DC549855D}"/>
    <hyperlink ref="H9" r:id="rId53" xr:uid="{0DC54002-9F34-4F4A-A7C7-170017A8D072}"/>
    <hyperlink ref="J10" r:id="rId54" xr:uid="{5DF254AB-843A-489E-B25F-D7FA863FA20F}"/>
    <hyperlink ref="J11" r:id="rId55" xr:uid="{E9C9375D-FB0E-4169-AD11-54AE5921D79B}"/>
    <hyperlink ref="I13" r:id="rId56" xr:uid="{F46480F4-197A-4580-AEAF-8CFD36AE3BBE}"/>
    <hyperlink ref="N23" r:id="rId57" xr:uid="{6BCC9B9C-49AC-4E25-957C-40704FD405EB}"/>
    <hyperlink ref="I24" r:id="rId58" xr:uid="{77601AD2-E886-4299-B2E9-AD6C89DFE836}"/>
    <hyperlink ref="I25" r:id="rId59" xr:uid="{DA000FAC-A5BC-46E2-9E7A-F5F67E8D79B3}"/>
    <hyperlink ref="J33" r:id="rId60" xr:uid="{BB259DB9-1C2D-49D9-9393-5DD6950E112A}"/>
    <hyperlink ref="L30" r:id="rId61" xr:uid="{04F8DBA6-9D88-4A3C-8429-B4932B70EFD8}"/>
    <hyperlink ref="N37" r:id="rId62" xr:uid="{6272B0D9-9029-4B9D-8D52-9C92CBC527DB}"/>
    <hyperlink ref="O37" r:id="rId63" xr:uid="{953ABF70-CB37-4BC0-B175-8E6CF40CAF99}"/>
    <hyperlink ref="M20" r:id="rId64" xr:uid="{D73F1FAD-B1DA-4A77-9092-1C8FB6E648EF}"/>
    <hyperlink ref="L5" r:id="rId65" xr:uid="{D1751679-505F-4BC3-A640-52E03DDFD2D1}"/>
    <hyperlink ref="L6" r:id="rId66" xr:uid="{4FEEC01E-C2E9-47B6-997B-BCB325EF1915}"/>
    <hyperlink ref="M5" r:id="rId67" xr:uid="{34812EFC-9455-417E-8BA5-F71590087C55}"/>
    <hyperlink ref="G22:K22" r:id="rId68" display="설명 동영상 https://youtu.be/mDXAkP_BJV4" xr:uid="{0C438362-FDE9-4DD1-BDCE-419D26DC8535}"/>
    <hyperlink ref="P8" r:id="rId69" xr:uid="{B7E7EBE5-2953-4CB9-BC68-8ABE4FA8F5AA}"/>
    <hyperlink ref="K38" r:id="rId70" xr:uid="{FE9AC29D-74FD-4DCC-B8B3-E27F201172CF}"/>
    <hyperlink ref="G10" r:id="rId71" xr:uid="{DE60BF41-E8B3-46C3-813F-E1B72CCE3537}"/>
    <hyperlink ref="I12" r:id="rId72" xr:uid="{F4BC84AA-C069-420C-BDC2-108A4FC3C76D}"/>
    <hyperlink ref="G12" r:id="rId73" xr:uid="{006290EA-40FA-4DCA-AA18-1EC341874EB5}"/>
    <hyperlink ref="J12" r:id="rId74" xr:uid="{97AA7E13-FD38-4B17-8344-2BBF2C59A536}"/>
    <hyperlink ref="H12" r:id="rId75" xr:uid="{28D3C283-2B77-4FAD-8DD8-3F3DE3774A2E}"/>
    <hyperlink ref="K12" r:id="rId76" xr:uid="{283A5865-F673-4860-B632-0F0486E0DB68}"/>
    <hyperlink ref="I33" r:id="rId77" xr:uid="{3CA1EA5E-41E2-4C57-9BC8-533AAF2261CD}"/>
    <hyperlink ref="G31" r:id="rId78" xr:uid="{BE1CED3A-7D44-48F8-8F99-96871BAE43F8}"/>
    <hyperlink ref="H31" r:id="rId79" xr:uid="{99765BBA-A7AA-4DD9-A7AC-D8C4F02FD094}"/>
    <hyperlink ref="N31" r:id="rId80" xr:uid="{797DB8A7-D6B1-4C3C-9958-923C70D16CC9}"/>
    <hyperlink ref="O31" r:id="rId81" xr:uid="{6F9BAB73-07EE-48F1-9810-08FC3A4364D8}"/>
    <hyperlink ref="K34" r:id="rId82" xr:uid="{B171A849-F3BC-40BF-A925-360FE70AB3E1}"/>
    <hyperlink ref="K35" r:id="rId83" display="마그네슘 킬레이트_x000a_(쿠팡)" xr:uid="{7FB0E7AD-3047-4139-8251-35F873CD2F09}"/>
    <hyperlink ref="J35" r:id="rId84" xr:uid="{E6B135AD-7ABB-41C9-9DE6-9810F932292A}"/>
    <hyperlink ref="J34" r:id="rId85" xr:uid="{DADEEDA1-2EEA-4B3C-B7D5-4D5EF7A274A5}"/>
    <hyperlink ref="G34:G35" r:id="rId86" display="ZMA_x000a_(아이허브)" xr:uid="{46F372B9-7CD1-4AA1-84E6-EBAF082FCC23}"/>
    <hyperlink ref="H34:H35" r:id="rId87" display="ZAM_x000a_(쿠팡)" xr:uid="{95C07E26-4F33-4A27-9FC7-6BA350802E16}"/>
    <hyperlink ref="I34:I35" r:id="rId88" display="ZMA_x000a_(마이프로틴)" xr:uid="{BB28C9E3-63E2-4274-8793-4F67AB4F652B}"/>
    <hyperlink ref="L34:L35" r:id="rId89" display="아연&amp;마그네슘_x000a_*가장 저렴한 형태의 성분_x000a_(마이프로틴)" xr:uid="{0F8025A2-0339-4111-B859-231C302A7F16}"/>
    <hyperlink ref="G36" r:id="rId90" display="BCAA_x000a_(무맛)_x000a_(아이허브)" xr:uid="{0E36CF9B-0E67-4843-AF9F-9C9952440629}"/>
    <hyperlink ref="H36" r:id="rId91" xr:uid="{65FCAAFB-FBC0-4BA1-907A-56BBFBDAB777}"/>
    <hyperlink ref="J36" r:id="rId92" xr:uid="{9E3A459F-1E9F-4BA9-8194-0B9FBA7154BD}"/>
    <hyperlink ref="K36" r:id="rId93" display="BCAA+전해질+면역성분_x000a_(맛, 동물성)_x000a_(쿠팡)" xr:uid="{D855A313-9E49-41BD-9063-604AACEEDACF}"/>
    <hyperlink ref="I36" r:id="rId94" xr:uid="{25B12A7F-1AD5-488B-83EC-6D202F649EF8}"/>
    <hyperlink ref="O10" r:id="rId95" display="Thorne Reserch_x000a_Baasic Nutrients V_x000a_(아이허브)" xr:uid="{3356FFBC-662D-40F9-B276-2EAC68A24C01}"/>
    <hyperlink ref="P10" r:id="rId96" xr:uid="{50D335D1-B346-4B07-8779-F14DE8D945A5}"/>
    <hyperlink ref="D15" r:id="rId97" xr:uid="{1B1BD0A5-51A0-45F5-B1CC-6C39796516E9}"/>
    <hyperlink ref="D16" r:id="rId98" xr:uid="{1C5860F0-D640-4E09-8227-0AB89DC516B6}"/>
    <hyperlink ref="D17" r:id="rId99" xr:uid="{29FE474A-FCCD-4FA9-9737-535EAD024641}"/>
    <hyperlink ref="D18" r:id="rId100" xr:uid="{33E22298-953A-4E8D-9913-98435A9F5417}"/>
    <hyperlink ref="G32" r:id="rId101" xr:uid="{925DB668-F6BA-4AF6-847D-A94E5856E5A9}"/>
    <hyperlink ref="H32" r:id="rId102" xr:uid="{11EFB89D-FDE2-4CB3-A669-EC8D7F055458}"/>
    <hyperlink ref="O23" r:id="rId103" xr:uid="{BE7609F5-FF0D-4370-8D22-E88D631537AF}"/>
    <hyperlink ref="G17" r:id="rId104" xr:uid="{87976B51-EFE4-4C8A-8038-50F8D05C78A6}"/>
  </hyperlinks>
  <pageMargins left="0.7" right="0.7" top="0.75" bottom="0.75" header="0.3" footer="0.3"/>
  <pageSetup paperSize="9" orientation="portrait" horizontalDpi="300" verticalDpi="300" r:id="rId10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456F2-09A2-4D5B-A7E9-79C4B8A51137}">
  <dimension ref="A1:AE102"/>
  <sheetViews>
    <sheetView zoomScale="145" zoomScaleNormal="145" workbookViewId="0">
      <selection activeCell="C41" sqref="C41"/>
    </sheetView>
  </sheetViews>
  <sheetFormatPr defaultRowHeight="16.5" x14ac:dyDescent="0.3"/>
  <cols>
    <col min="2" max="2" width="37.375" customWidth="1"/>
    <col min="3" max="7" width="12.75" customWidth="1"/>
  </cols>
  <sheetData>
    <row r="1" spans="1:31" x14ac:dyDescent="0.3">
      <c r="A1" s="282"/>
      <c r="B1" s="282"/>
      <c r="C1" s="282"/>
      <c r="D1" s="282"/>
      <c r="E1" s="282"/>
      <c r="F1" s="282"/>
      <c r="G1" s="282"/>
      <c r="H1" s="282"/>
      <c r="I1" s="282"/>
      <c r="J1" s="282"/>
      <c r="K1" s="282"/>
      <c r="L1" s="282"/>
      <c r="M1" s="282"/>
      <c r="N1" s="282"/>
      <c r="O1" s="282"/>
      <c r="P1" s="282"/>
      <c r="Q1" s="282"/>
      <c r="R1" s="282"/>
      <c r="S1" s="282"/>
      <c r="T1" s="282"/>
      <c r="U1" s="282"/>
      <c r="V1" s="282"/>
      <c r="W1" s="282"/>
      <c r="X1" s="282"/>
    </row>
    <row r="2" spans="1:31" x14ac:dyDescent="0.3">
      <c r="A2" s="282"/>
      <c r="B2" s="282"/>
      <c r="C2" s="282"/>
      <c r="D2" s="282"/>
      <c r="E2" s="282"/>
      <c r="F2" s="282"/>
      <c r="G2" s="282"/>
      <c r="H2" s="282"/>
      <c r="I2" s="282"/>
      <c r="J2" s="282"/>
      <c r="K2" s="282"/>
      <c r="L2" s="282"/>
      <c r="M2" s="282"/>
      <c r="N2" s="282"/>
      <c r="O2" s="282"/>
      <c r="P2" s="282"/>
      <c r="Q2" s="282"/>
      <c r="R2" s="282"/>
      <c r="S2" s="282"/>
      <c r="T2" s="282"/>
      <c r="U2" s="282"/>
      <c r="V2" s="282"/>
      <c r="W2" s="282"/>
      <c r="X2" s="282"/>
      <c r="Y2" s="282"/>
      <c r="Z2" s="282"/>
      <c r="AA2" s="282"/>
      <c r="AB2" s="282"/>
      <c r="AC2" s="282"/>
      <c r="AD2" s="282"/>
      <c r="AE2" s="282"/>
    </row>
    <row r="3" spans="1:31" ht="17.25" thickBot="1" x14ac:dyDescent="0.35">
      <c r="A3" s="282"/>
      <c r="B3" s="282"/>
      <c r="C3" s="282"/>
      <c r="D3" s="282"/>
      <c r="E3" s="282"/>
      <c r="F3" s="282"/>
      <c r="G3" s="282"/>
      <c r="H3" s="282"/>
      <c r="I3" s="282"/>
      <c r="J3" s="282"/>
      <c r="K3" s="282"/>
      <c r="L3" s="282"/>
      <c r="M3" s="282"/>
      <c r="N3" s="282"/>
      <c r="O3" s="282"/>
      <c r="P3" s="282"/>
      <c r="Q3" s="282"/>
      <c r="R3" s="282"/>
      <c r="S3" s="282"/>
      <c r="T3" s="282"/>
      <c r="U3" s="282"/>
      <c r="V3" s="282"/>
      <c r="W3" s="282"/>
      <c r="X3" s="282"/>
      <c r="Y3" s="282"/>
      <c r="Z3" s="282"/>
      <c r="AA3" s="282"/>
      <c r="AB3" s="282"/>
      <c r="AC3" s="282"/>
      <c r="AD3" s="282"/>
      <c r="AE3" s="282"/>
    </row>
    <row r="4" spans="1:31" x14ac:dyDescent="0.3">
      <c r="A4" s="282"/>
      <c r="B4" s="152" t="s">
        <v>387</v>
      </c>
      <c r="C4" s="376"/>
      <c r="D4" s="376"/>
      <c r="E4" s="376"/>
      <c r="F4" s="376"/>
      <c r="G4" s="288"/>
      <c r="H4" s="282"/>
      <c r="I4" s="282"/>
      <c r="J4" s="282"/>
      <c r="K4" s="282"/>
      <c r="L4" s="282"/>
      <c r="M4" s="282"/>
      <c r="N4" s="282"/>
      <c r="O4" s="282"/>
      <c r="P4" s="282"/>
      <c r="Q4" s="282"/>
      <c r="R4" s="282"/>
      <c r="S4" s="282"/>
      <c r="T4" s="282"/>
      <c r="U4" s="282"/>
      <c r="V4" s="282"/>
      <c r="W4" s="282"/>
      <c r="X4" s="282"/>
      <c r="Y4" s="282"/>
      <c r="Z4" s="282"/>
      <c r="AA4" s="282"/>
      <c r="AB4" s="282"/>
      <c r="AC4" s="282"/>
      <c r="AD4" s="282"/>
      <c r="AE4" s="282"/>
    </row>
    <row r="5" spans="1:31" x14ac:dyDescent="0.3">
      <c r="A5" s="282"/>
      <c r="B5" s="179" t="s">
        <v>388</v>
      </c>
      <c r="C5" s="378"/>
      <c r="D5" s="378"/>
      <c r="E5" s="378"/>
      <c r="F5" s="378"/>
      <c r="G5" s="176"/>
      <c r="H5" s="282"/>
      <c r="I5" s="282"/>
      <c r="J5" s="282"/>
      <c r="K5" s="282"/>
      <c r="L5" s="282"/>
      <c r="M5" s="282"/>
      <c r="N5" s="282"/>
      <c r="O5" s="282"/>
      <c r="P5" s="282"/>
      <c r="Q5" s="282"/>
      <c r="R5" s="282"/>
      <c r="S5" s="282"/>
      <c r="T5" s="282"/>
      <c r="U5" s="282"/>
      <c r="V5" s="282"/>
      <c r="W5" s="282"/>
      <c r="X5" s="282"/>
      <c r="Y5" s="282"/>
      <c r="Z5" s="282"/>
      <c r="AA5" s="282"/>
      <c r="AB5" s="282"/>
      <c r="AC5" s="282"/>
      <c r="AD5" s="282"/>
      <c r="AE5" s="282"/>
    </row>
    <row r="6" spans="1:31" x14ac:dyDescent="0.3">
      <c r="A6" s="282"/>
      <c r="B6" s="179" t="s">
        <v>420</v>
      </c>
      <c r="C6" s="378"/>
      <c r="D6" s="378"/>
      <c r="E6" s="378"/>
      <c r="F6" s="378"/>
      <c r="G6" s="176"/>
      <c r="H6" s="282"/>
      <c r="I6" s="282"/>
      <c r="J6" s="282"/>
      <c r="K6" s="282"/>
      <c r="L6" s="282"/>
      <c r="M6" s="282"/>
      <c r="N6" s="282"/>
      <c r="O6" s="282"/>
      <c r="P6" s="282"/>
      <c r="Q6" s="282"/>
      <c r="R6" s="282"/>
      <c r="S6" s="282"/>
      <c r="T6" s="282"/>
      <c r="U6" s="282"/>
      <c r="V6" s="282"/>
      <c r="W6" s="282"/>
      <c r="X6" s="282"/>
      <c r="Y6" s="282"/>
      <c r="Z6" s="282"/>
      <c r="AA6" s="282"/>
      <c r="AB6" s="282"/>
      <c r="AC6" s="282"/>
      <c r="AD6" s="282"/>
      <c r="AE6" s="282"/>
    </row>
    <row r="7" spans="1:31" x14ac:dyDescent="0.3">
      <c r="A7" s="282"/>
      <c r="B7" s="179" t="s">
        <v>390</v>
      </c>
      <c r="C7" s="378"/>
      <c r="D7" s="378"/>
      <c r="E7" s="378"/>
      <c r="F7" s="378"/>
      <c r="G7" s="176"/>
      <c r="H7" s="282"/>
      <c r="I7" s="282"/>
      <c r="J7" s="282"/>
      <c r="K7" s="282"/>
      <c r="L7" s="282"/>
      <c r="M7" s="282"/>
      <c r="N7" s="282"/>
      <c r="O7" s="282"/>
      <c r="P7" s="282"/>
      <c r="Q7" s="282"/>
      <c r="R7" s="282"/>
      <c r="S7" s="282"/>
      <c r="T7" s="282"/>
      <c r="U7" s="282"/>
      <c r="V7" s="282"/>
      <c r="W7" s="282"/>
      <c r="X7" s="282"/>
      <c r="Y7" s="282"/>
      <c r="Z7" s="282"/>
      <c r="AA7" s="282"/>
      <c r="AB7" s="282"/>
      <c r="AC7" s="282"/>
      <c r="AD7" s="282"/>
      <c r="AE7" s="282"/>
    </row>
    <row r="8" spans="1:31" x14ac:dyDescent="0.3">
      <c r="A8" s="282"/>
      <c r="B8" s="179" t="s">
        <v>417</v>
      </c>
      <c r="C8" s="378"/>
      <c r="D8" s="378"/>
      <c r="E8" s="378"/>
      <c r="F8" s="378"/>
      <c r="G8" s="176"/>
      <c r="H8" s="282"/>
      <c r="I8" s="282"/>
      <c r="J8" s="282"/>
      <c r="K8" s="282"/>
      <c r="L8" s="282"/>
      <c r="M8" s="282"/>
      <c r="N8" s="282"/>
      <c r="O8" s="282"/>
      <c r="P8" s="282"/>
      <c r="Q8" s="282"/>
      <c r="R8" s="282"/>
      <c r="S8" s="282"/>
      <c r="T8" s="282"/>
      <c r="U8" s="282"/>
      <c r="V8" s="282"/>
      <c r="W8" s="282"/>
      <c r="X8" s="282"/>
      <c r="Y8" s="282"/>
      <c r="Z8" s="282"/>
      <c r="AA8" s="282"/>
      <c r="AB8" s="282"/>
      <c r="AC8" s="282"/>
      <c r="AD8" s="282"/>
      <c r="AE8" s="282"/>
    </row>
    <row r="9" spans="1:31" x14ac:dyDescent="0.3">
      <c r="A9" s="282"/>
      <c r="B9" s="179" t="s">
        <v>418</v>
      </c>
      <c r="C9" s="378"/>
      <c r="D9" s="378"/>
      <c r="E9" s="378"/>
      <c r="F9" s="378"/>
      <c r="G9" s="176"/>
      <c r="H9" s="282"/>
      <c r="I9" s="282"/>
      <c r="J9" s="282"/>
      <c r="K9" s="282"/>
      <c r="L9" s="282"/>
      <c r="M9" s="282"/>
      <c r="N9" s="282"/>
      <c r="O9" s="282"/>
      <c r="P9" s="282"/>
      <c r="Q9" s="282"/>
      <c r="R9" s="282"/>
      <c r="S9" s="282"/>
      <c r="T9" s="282"/>
      <c r="U9" s="282"/>
      <c r="V9" s="282"/>
      <c r="W9" s="282"/>
      <c r="X9" s="282"/>
      <c r="Y9" s="282"/>
      <c r="Z9" s="282"/>
      <c r="AA9" s="282"/>
      <c r="AB9" s="282"/>
      <c r="AC9" s="282"/>
      <c r="AD9" s="282"/>
      <c r="AE9" s="282"/>
    </row>
    <row r="10" spans="1:31" x14ac:dyDescent="0.3">
      <c r="A10" s="282"/>
      <c r="B10" s="179" t="s">
        <v>419</v>
      </c>
      <c r="C10" s="378"/>
      <c r="D10" s="378"/>
      <c r="E10" s="378"/>
      <c r="F10" s="378"/>
      <c r="G10" s="176"/>
      <c r="H10" s="282"/>
      <c r="I10" s="282"/>
      <c r="J10" s="282"/>
      <c r="K10" s="282"/>
      <c r="L10" s="282"/>
      <c r="M10" s="282"/>
      <c r="N10" s="282"/>
      <c r="O10" s="282"/>
      <c r="P10" s="282"/>
      <c r="Q10" s="282"/>
      <c r="R10" s="282"/>
      <c r="S10" s="282"/>
      <c r="T10" s="282"/>
      <c r="U10" s="282"/>
      <c r="V10" s="282"/>
      <c r="W10" s="282"/>
      <c r="X10" s="282"/>
      <c r="Y10" s="282"/>
      <c r="Z10" s="282"/>
      <c r="AA10" s="282"/>
      <c r="AB10" s="282"/>
      <c r="AC10" s="282"/>
      <c r="AD10" s="282"/>
      <c r="AE10" s="282"/>
    </row>
    <row r="11" spans="1:31" x14ac:dyDescent="0.3">
      <c r="A11" s="282"/>
      <c r="B11" s="179" t="s">
        <v>421</v>
      </c>
      <c r="C11" s="378"/>
      <c r="D11" s="378"/>
      <c r="E11" s="378"/>
      <c r="F11" s="378"/>
      <c r="G11" s="176"/>
      <c r="H11" s="282"/>
      <c r="I11" s="282"/>
      <c r="J11" s="282"/>
      <c r="K11" s="282"/>
      <c r="L11" s="282"/>
      <c r="M11" s="282"/>
      <c r="N11" s="282"/>
      <c r="O11" s="282"/>
      <c r="P11" s="282"/>
      <c r="Q11" s="282"/>
      <c r="R11" s="282"/>
      <c r="S11" s="282"/>
      <c r="T11" s="282"/>
      <c r="U11" s="282"/>
      <c r="V11" s="282"/>
      <c r="W11" s="282"/>
      <c r="X11" s="282"/>
      <c r="Y11" s="282"/>
      <c r="Z11" s="282"/>
      <c r="AA11" s="282"/>
      <c r="AB11" s="282"/>
      <c r="AC11" s="282"/>
      <c r="AD11" s="282"/>
      <c r="AE11" s="282"/>
    </row>
    <row r="12" spans="1:31" ht="17.25" thickBot="1" x14ac:dyDescent="0.35">
      <c r="A12" s="282"/>
      <c r="B12" s="179" t="s">
        <v>422</v>
      </c>
      <c r="C12" s="378"/>
      <c r="D12" s="378"/>
      <c r="E12" s="378"/>
      <c r="F12" s="378"/>
      <c r="G12" s="176"/>
      <c r="H12" s="282"/>
      <c r="I12" s="282"/>
      <c r="J12" s="282"/>
      <c r="K12" s="282"/>
      <c r="L12" s="282"/>
      <c r="M12" s="282"/>
      <c r="N12" s="282"/>
      <c r="O12" s="282"/>
      <c r="P12" s="282"/>
      <c r="Q12" s="282"/>
      <c r="R12" s="282"/>
      <c r="S12" s="282"/>
      <c r="T12" s="282"/>
      <c r="U12" s="282"/>
      <c r="V12" s="282"/>
      <c r="W12" s="282"/>
      <c r="X12" s="282"/>
      <c r="Y12" s="282"/>
      <c r="Z12" s="282"/>
      <c r="AA12" s="282"/>
      <c r="AB12" s="282"/>
      <c r="AC12" s="282"/>
      <c r="AD12" s="282"/>
      <c r="AE12" s="282"/>
    </row>
    <row r="13" spans="1:31" ht="17.25" thickBot="1" x14ac:dyDescent="0.35">
      <c r="A13" s="282"/>
      <c r="B13" s="768" t="s">
        <v>391</v>
      </c>
      <c r="C13" s="769"/>
      <c r="D13" s="769"/>
      <c r="E13" s="769"/>
      <c r="F13" s="769"/>
      <c r="G13" s="770"/>
      <c r="H13" s="282"/>
      <c r="I13" s="282"/>
      <c r="J13" s="282"/>
      <c r="K13" s="282"/>
      <c r="L13" s="282"/>
      <c r="M13" s="282"/>
      <c r="N13" s="282"/>
      <c r="O13" s="282"/>
      <c r="P13" s="282"/>
      <c r="Q13" s="282"/>
      <c r="R13" s="282"/>
      <c r="S13" s="282"/>
      <c r="T13" s="282"/>
      <c r="U13" s="282"/>
      <c r="V13" s="282"/>
      <c r="W13" s="282"/>
      <c r="X13" s="282"/>
      <c r="Y13" s="282"/>
      <c r="Z13" s="282"/>
      <c r="AA13" s="282"/>
      <c r="AB13" s="282"/>
      <c r="AC13" s="282"/>
      <c r="AD13" s="282"/>
      <c r="AE13" s="282"/>
    </row>
    <row r="14" spans="1:31" x14ac:dyDescent="0.3">
      <c r="A14" s="282"/>
      <c r="B14" s="390" t="s">
        <v>392</v>
      </c>
      <c r="C14" s="376"/>
      <c r="D14" s="376"/>
      <c r="E14" s="376"/>
      <c r="F14" s="376"/>
      <c r="G14" s="288"/>
      <c r="H14" s="282"/>
      <c r="I14" s="282"/>
      <c r="J14" s="282"/>
      <c r="K14" s="282"/>
      <c r="L14" s="282"/>
      <c r="M14" s="282"/>
      <c r="N14" s="282"/>
      <c r="O14" s="282"/>
      <c r="P14" s="282"/>
      <c r="Q14" s="282"/>
      <c r="R14" s="282"/>
      <c r="S14" s="282"/>
      <c r="T14" s="282"/>
      <c r="U14" s="282"/>
      <c r="V14" s="282"/>
      <c r="W14" s="282"/>
      <c r="X14" s="282"/>
      <c r="Y14" s="282"/>
      <c r="Z14" s="282"/>
      <c r="AA14" s="282"/>
      <c r="AB14" s="282"/>
      <c r="AC14" s="282"/>
      <c r="AD14" s="282"/>
      <c r="AE14" s="282"/>
    </row>
    <row r="15" spans="1:31" x14ac:dyDescent="0.3">
      <c r="A15" s="282"/>
      <c r="B15" s="391" t="s">
        <v>393</v>
      </c>
      <c r="C15" s="282"/>
      <c r="D15" s="282"/>
      <c r="E15" s="282"/>
      <c r="F15" s="282"/>
      <c r="G15" s="292"/>
      <c r="H15" s="282"/>
      <c r="I15" s="282"/>
      <c r="J15" s="282"/>
      <c r="K15" s="282"/>
      <c r="L15" s="282"/>
      <c r="M15" s="282"/>
      <c r="N15" s="282"/>
      <c r="O15" s="282"/>
      <c r="P15" s="282"/>
      <c r="Q15" s="282"/>
      <c r="R15" s="282"/>
      <c r="S15" s="282"/>
      <c r="T15" s="282"/>
      <c r="U15" s="282"/>
      <c r="V15" s="282"/>
      <c r="W15" s="282"/>
      <c r="X15" s="282"/>
      <c r="Y15" s="282"/>
      <c r="Z15" s="282"/>
      <c r="AA15" s="282"/>
      <c r="AB15" s="282"/>
      <c r="AC15" s="282"/>
      <c r="AD15" s="282"/>
      <c r="AE15" s="282"/>
    </row>
    <row r="16" spans="1:31" ht="17.25" thickBot="1" x14ac:dyDescent="0.35">
      <c r="A16" s="282"/>
      <c r="B16" s="392" t="s">
        <v>394</v>
      </c>
      <c r="C16" s="393"/>
      <c r="D16" s="393"/>
      <c r="E16" s="393"/>
      <c r="F16" s="393"/>
      <c r="G16" s="294"/>
      <c r="H16" s="282"/>
      <c r="I16" s="282"/>
      <c r="J16" s="282"/>
      <c r="K16" s="282"/>
      <c r="L16" s="282"/>
      <c r="M16" s="282"/>
      <c r="N16" s="282"/>
      <c r="O16" s="282"/>
      <c r="P16" s="282"/>
      <c r="Q16" s="282"/>
      <c r="R16" s="282"/>
      <c r="S16" s="282"/>
      <c r="T16" s="282"/>
      <c r="U16" s="282"/>
      <c r="V16" s="282"/>
      <c r="W16" s="282"/>
      <c r="X16" s="282"/>
      <c r="Y16" s="282"/>
      <c r="Z16" s="282"/>
      <c r="AA16" s="282"/>
      <c r="AB16" s="282"/>
      <c r="AC16" s="282"/>
      <c r="AD16" s="282"/>
      <c r="AE16" s="282"/>
    </row>
    <row r="17" spans="1:31" ht="17.25" thickBot="1" x14ac:dyDescent="0.35">
      <c r="A17" s="282"/>
      <c r="B17" s="391"/>
      <c r="C17" s="282"/>
      <c r="D17" s="282"/>
      <c r="E17" s="282"/>
      <c r="F17" s="282"/>
      <c r="G17" s="292"/>
      <c r="H17" s="282"/>
      <c r="I17" s="282"/>
      <c r="J17" s="282"/>
      <c r="K17" s="282"/>
      <c r="L17" s="282"/>
      <c r="M17" s="282"/>
      <c r="N17" s="282"/>
      <c r="O17" s="282"/>
      <c r="P17" s="282"/>
      <c r="Q17" s="282"/>
      <c r="R17" s="282"/>
      <c r="S17" s="282"/>
      <c r="T17" s="282"/>
      <c r="U17" s="282"/>
      <c r="V17" s="282"/>
      <c r="W17" s="282"/>
      <c r="X17" s="282"/>
      <c r="Y17" s="282"/>
      <c r="Z17" s="282"/>
      <c r="AA17" s="282"/>
      <c r="AB17" s="282"/>
      <c r="AC17" s="282"/>
      <c r="AD17" s="282"/>
      <c r="AE17" s="282"/>
    </row>
    <row r="18" spans="1:31" x14ac:dyDescent="0.3">
      <c r="A18" s="282"/>
      <c r="B18" s="178" t="s">
        <v>396</v>
      </c>
      <c r="C18" s="385">
        <v>46</v>
      </c>
      <c r="D18" s="282"/>
      <c r="E18" s="771" t="s">
        <v>401</v>
      </c>
      <c r="F18" s="772"/>
      <c r="G18" s="773"/>
      <c r="H18" s="391"/>
      <c r="I18" s="282"/>
      <c r="J18" s="282"/>
      <c r="K18" s="282"/>
      <c r="L18" s="282"/>
      <c r="M18" s="282"/>
      <c r="N18" s="282"/>
      <c r="O18" s="282"/>
      <c r="P18" s="282"/>
      <c r="Q18" s="282"/>
      <c r="R18" s="282"/>
      <c r="S18" s="282"/>
      <c r="T18" s="282"/>
      <c r="U18" s="282"/>
      <c r="V18" s="282"/>
      <c r="W18" s="282"/>
      <c r="X18" s="282"/>
      <c r="Y18" s="282"/>
      <c r="Z18" s="282"/>
      <c r="AA18" s="282"/>
      <c r="AB18" s="282"/>
      <c r="AC18" s="282"/>
      <c r="AD18" s="282"/>
      <c r="AE18" s="282"/>
    </row>
    <row r="19" spans="1:31" x14ac:dyDescent="0.3">
      <c r="A19" s="282"/>
      <c r="B19" s="178" t="s">
        <v>7</v>
      </c>
      <c r="C19" s="394">
        <v>0.16</v>
      </c>
      <c r="D19" s="282"/>
      <c r="E19" s="774"/>
      <c r="F19" s="775"/>
      <c r="G19" s="776"/>
      <c r="H19" s="391"/>
      <c r="I19" s="282"/>
      <c r="J19" s="282"/>
      <c r="K19" s="282"/>
      <c r="L19" s="282"/>
      <c r="M19" s="282"/>
      <c r="N19" s="282"/>
      <c r="O19" s="282"/>
      <c r="P19" s="282"/>
      <c r="Q19" s="282"/>
      <c r="R19" s="282"/>
      <c r="S19" s="282"/>
      <c r="T19" s="282"/>
      <c r="U19" s="282"/>
      <c r="V19" s="282"/>
      <c r="W19" s="282"/>
      <c r="X19" s="282"/>
      <c r="Y19" s="282"/>
      <c r="Z19" s="282"/>
      <c r="AA19" s="282"/>
      <c r="AB19" s="282"/>
      <c r="AC19" s="282"/>
      <c r="AD19" s="282"/>
      <c r="AE19" s="282"/>
    </row>
    <row r="20" spans="1:31" x14ac:dyDescent="0.3">
      <c r="A20" s="282"/>
      <c r="B20" s="178" t="s">
        <v>397</v>
      </c>
      <c r="C20" s="395">
        <v>0.12</v>
      </c>
      <c r="D20" s="282"/>
      <c r="E20" s="774"/>
      <c r="F20" s="775"/>
      <c r="G20" s="776"/>
      <c r="H20" s="391"/>
      <c r="I20" s="282"/>
      <c r="J20" s="282"/>
      <c r="K20" s="282"/>
      <c r="L20" s="282"/>
      <c r="M20" s="282"/>
      <c r="N20" s="282"/>
      <c r="O20" s="282"/>
      <c r="P20" s="282"/>
      <c r="Q20" s="282"/>
      <c r="R20" s="282"/>
      <c r="S20" s="282"/>
      <c r="T20" s="282"/>
      <c r="U20" s="282"/>
      <c r="V20" s="282"/>
      <c r="W20" s="282"/>
      <c r="X20" s="282"/>
      <c r="Y20" s="282"/>
      <c r="Z20" s="282"/>
      <c r="AA20" s="282"/>
      <c r="AB20" s="282"/>
      <c r="AC20" s="282"/>
      <c r="AD20" s="282"/>
      <c r="AE20" s="282"/>
    </row>
    <row r="21" spans="1:31" x14ac:dyDescent="0.3">
      <c r="A21" s="282"/>
      <c r="B21" s="391"/>
      <c r="C21" s="285"/>
      <c r="D21" s="282"/>
      <c r="E21" s="777">
        <f>C24*7000/C25</f>
        <v>29.272727272727309</v>
      </c>
      <c r="F21" s="778"/>
      <c r="G21" s="779"/>
      <c r="H21" s="391"/>
      <c r="I21" s="282"/>
      <c r="J21" s="282"/>
      <c r="K21" s="282"/>
      <c r="L21" s="282"/>
      <c r="M21" s="282"/>
      <c r="N21" s="282"/>
      <c r="O21" s="282"/>
      <c r="P21" s="282"/>
      <c r="Q21" s="282"/>
      <c r="R21" s="282"/>
      <c r="S21" s="282"/>
      <c r="T21" s="282"/>
      <c r="U21" s="282"/>
      <c r="V21" s="282"/>
      <c r="W21" s="282"/>
      <c r="X21" s="282"/>
      <c r="Y21" s="282"/>
      <c r="Z21" s="282"/>
      <c r="AA21" s="282"/>
      <c r="AB21" s="282"/>
      <c r="AC21" s="282"/>
      <c r="AD21" s="282"/>
      <c r="AE21" s="282"/>
    </row>
    <row r="22" spans="1:31" ht="16.5" customHeight="1" x14ac:dyDescent="0.3">
      <c r="A22" s="282"/>
      <c r="B22" s="451" t="s">
        <v>398</v>
      </c>
      <c r="C22" s="65">
        <f>C18*(1-C19)/(1-C20)</f>
        <v>43.909090909090907</v>
      </c>
      <c r="D22" s="282"/>
      <c r="E22" s="777"/>
      <c r="F22" s="778"/>
      <c r="G22" s="779"/>
      <c r="H22" s="391"/>
      <c r="I22" s="282"/>
      <c r="J22" s="282"/>
      <c r="K22" s="282"/>
      <c r="L22" s="282"/>
      <c r="M22" s="282"/>
      <c r="N22" s="282"/>
      <c r="O22" s="282"/>
      <c r="P22" s="282"/>
      <c r="Q22" s="282"/>
      <c r="R22" s="282"/>
      <c r="S22" s="282"/>
      <c r="T22" s="282"/>
      <c r="U22" s="282"/>
      <c r="V22" s="282"/>
      <c r="W22" s="282"/>
      <c r="X22" s="282"/>
      <c r="Y22" s="282"/>
      <c r="Z22" s="282"/>
      <c r="AA22" s="282"/>
      <c r="AB22" s="282"/>
      <c r="AC22" s="282"/>
      <c r="AD22" s="282"/>
      <c r="AE22" s="282"/>
    </row>
    <row r="23" spans="1:31" ht="16.5" customHeight="1" thickBot="1" x14ac:dyDescent="0.35">
      <c r="A23" s="282"/>
      <c r="B23" s="396"/>
      <c r="C23" s="285"/>
      <c r="D23" s="282"/>
      <c r="E23" s="780"/>
      <c r="F23" s="781"/>
      <c r="G23" s="782"/>
      <c r="H23" s="391"/>
      <c r="I23" s="282"/>
      <c r="J23" s="282"/>
      <c r="K23" s="282"/>
      <c r="L23" s="282"/>
      <c r="M23" s="282"/>
      <c r="N23" s="282"/>
      <c r="O23" s="282"/>
      <c r="P23" s="282"/>
      <c r="Q23" s="282"/>
      <c r="R23" s="282"/>
      <c r="S23" s="282"/>
      <c r="T23" s="282"/>
      <c r="U23" s="282"/>
      <c r="V23" s="282"/>
      <c r="W23" s="282"/>
      <c r="X23" s="282"/>
      <c r="Y23" s="282"/>
      <c r="Z23" s="282"/>
      <c r="AA23" s="282"/>
      <c r="AB23" s="282"/>
      <c r="AC23" s="282"/>
      <c r="AD23" s="282"/>
      <c r="AE23" s="282"/>
    </row>
    <row r="24" spans="1:31" x14ac:dyDescent="0.3">
      <c r="A24" s="282"/>
      <c r="B24" s="451" t="s">
        <v>399</v>
      </c>
      <c r="C24" s="397">
        <f>C18-C22</f>
        <v>2.0909090909090935</v>
      </c>
      <c r="D24" s="282"/>
      <c r="E24" s="282"/>
      <c r="F24" s="282"/>
      <c r="G24" s="282"/>
      <c r="H24" s="391"/>
      <c r="I24" s="282"/>
      <c r="J24" s="282"/>
      <c r="K24" s="282"/>
      <c r="L24" s="282"/>
      <c r="M24" s="282"/>
      <c r="N24" s="282"/>
      <c r="O24" s="282"/>
      <c r="P24" s="282"/>
      <c r="Q24" s="282"/>
      <c r="R24" s="282"/>
      <c r="S24" s="282"/>
      <c r="T24" s="282"/>
      <c r="U24" s="282"/>
      <c r="V24" s="282"/>
      <c r="W24" s="282"/>
      <c r="X24" s="282"/>
      <c r="Y24" s="282"/>
      <c r="Z24" s="282"/>
      <c r="AA24" s="282"/>
      <c r="AB24" s="282"/>
      <c r="AC24" s="282"/>
      <c r="AD24" s="282"/>
      <c r="AE24" s="282"/>
    </row>
    <row r="25" spans="1:31" x14ac:dyDescent="0.3">
      <c r="A25" s="282"/>
      <c r="B25" s="153" t="s">
        <v>424</v>
      </c>
      <c r="C25" s="385">
        <v>500</v>
      </c>
      <c r="D25" s="760" t="str">
        <f>IF(C25&gt;700,"근손실 위험이 있습니다","적당합니다")</f>
        <v>적당합니다</v>
      </c>
      <c r="E25" s="760"/>
      <c r="F25" s="282"/>
      <c r="G25" s="292"/>
      <c r="H25" s="282"/>
      <c r="I25" s="282"/>
      <c r="J25" s="282"/>
      <c r="K25" s="282"/>
      <c r="L25" s="282"/>
      <c r="M25" s="282"/>
      <c r="N25" s="282"/>
      <c r="O25" s="282"/>
      <c r="P25" s="282"/>
      <c r="Q25" s="282"/>
      <c r="R25" s="282"/>
      <c r="S25" s="282"/>
      <c r="T25" s="282"/>
      <c r="U25" s="282"/>
      <c r="V25" s="282"/>
      <c r="W25" s="282"/>
      <c r="X25" s="282"/>
      <c r="Y25" s="282"/>
      <c r="Z25" s="282"/>
      <c r="AA25" s="282"/>
      <c r="AB25" s="282"/>
      <c r="AC25" s="282"/>
      <c r="AD25" s="282"/>
      <c r="AE25" s="282"/>
    </row>
    <row r="26" spans="1:31" x14ac:dyDescent="0.3">
      <c r="A26" s="282"/>
      <c r="B26" s="783" t="s">
        <v>554</v>
      </c>
      <c r="C26" s="784"/>
      <c r="D26" s="784"/>
      <c r="E26" s="784"/>
      <c r="F26" s="784"/>
      <c r="G26" s="785"/>
      <c r="H26" s="282"/>
      <c r="I26" s="282"/>
      <c r="J26" s="282"/>
      <c r="K26" s="282"/>
      <c r="L26" s="282"/>
      <c r="M26" s="282"/>
      <c r="N26" s="282"/>
      <c r="O26" s="282"/>
      <c r="P26" s="282"/>
      <c r="Q26" s="282"/>
      <c r="R26" s="282"/>
      <c r="S26" s="282"/>
      <c r="T26" s="282"/>
      <c r="U26" s="282"/>
      <c r="V26" s="282"/>
      <c r="W26" s="282"/>
      <c r="X26" s="282"/>
      <c r="Y26" s="282"/>
      <c r="Z26" s="282"/>
      <c r="AA26" s="282"/>
      <c r="AB26" s="282"/>
      <c r="AC26" s="282"/>
      <c r="AD26" s="282"/>
      <c r="AE26" s="282"/>
    </row>
    <row r="27" spans="1:31" x14ac:dyDescent="0.3">
      <c r="A27" s="282"/>
      <c r="B27" s="783"/>
      <c r="C27" s="784"/>
      <c r="D27" s="784"/>
      <c r="E27" s="784"/>
      <c r="F27" s="784"/>
      <c r="G27" s="785"/>
      <c r="H27" s="282"/>
      <c r="I27" s="282"/>
      <c r="J27" s="282"/>
      <c r="K27" s="282"/>
      <c r="L27" s="282"/>
      <c r="M27" s="282"/>
      <c r="N27" s="282"/>
      <c r="O27" s="282"/>
      <c r="P27" s="282"/>
      <c r="Q27" s="282"/>
      <c r="R27" s="282"/>
      <c r="S27" s="282"/>
      <c r="T27" s="282"/>
      <c r="U27" s="282"/>
      <c r="V27" s="282"/>
      <c r="W27" s="282"/>
      <c r="X27" s="282"/>
      <c r="Y27" s="282"/>
      <c r="Z27" s="282"/>
      <c r="AA27" s="282"/>
      <c r="AB27" s="282"/>
      <c r="AC27" s="282"/>
      <c r="AD27" s="282"/>
      <c r="AE27" s="282"/>
    </row>
    <row r="28" spans="1:31" ht="17.25" thickBot="1" x14ac:dyDescent="0.35">
      <c r="A28" s="282"/>
      <c r="B28" s="398" t="s">
        <v>423</v>
      </c>
      <c r="C28" s="399"/>
      <c r="D28" s="399"/>
      <c r="E28" s="399"/>
      <c r="F28" s="393"/>
      <c r="G28" s="294"/>
      <c r="H28" s="282"/>
      <c r="I28" s="282"/>
      <c r="J28" s="282"/>
      <c r="K28" s="282"/>
      <c r="L28" s="282"/>
      <c r="M28" s="282"/>
      <c r="N28" s="282"/>
      <c r="O28" s="282"/>
      <c r="P28" s="282"/>
      <c r="Q28" s="282"/>
      <c r="R28" s="282"/>
      <c r="S28" s="282"/>
      <c r="T28" s="282"/>
      <c r="U28" s="282"/>
      <c r="V28" s="282"/>
      <c r="W28" s="282"/>
      <c r="X28" s="282"/>
      <c r="Y28" s="282"/>
      <c r="Z28" s="282"/>
      <c r="AA28" s="282"/>
      <c r="AB28" s="282"/>
      <c r="AC28" s="282"/>
      <c r="AD28" s="282"/>
      <c r="AE28" s="282"/>
    </row>
    <row r="29" spans="1:31" ht="17.25" thickBot="1" x14ac:dyDescent="0.35">
      <c r="A29" s="282"/>
      <c r="B29" s="282"/>
      <c r="C29" s="282"/>
      <c r="D29" s="282"/>
      <c r="E29" s="282"/>
      <c r="F29" s="282"/>
      <c r="G29" s="282"/>
      <c r="H29" s="282"/>
      <c r="I29" s="282"/>
      <c r="J29" s="282"/>
      <c r="K29" s="282"/>
      <c r="L29" s="282"/>
      <c r="M29" s="282"/>
      <c r="N29" s="282"/>
      <c r="O29" s="282"/>
      <c r="P29" s="282"/>
      <c r="Q29" s="282"/>
      <c r="R29" s="282"/>
      <c r="S29" s="282"/>
      <c r="T29" s="282"/>
      <c r="U29" s="282"/>
      <c r="V29" s="282"/>
      <c r="W29" s="282"/>
      <c r="X29" s="282"/>
      <c r="Y29" s="282"/>
      <c r="Z29" s="282"/>
      <c r="AA29" s="282"/>
      <c r="AB29" s="282"/>
      <c r="AC29" s="282"/>
      <c r="AD29" s="282"/>
      <c r="AE29" s="282"/>
    </row>
    <row r="30" spans="1:31" x14ac:dyDescent="0.3">
      <c r="A30" s="282"/>
      <c r="B30" s="762" t="s">
        <v>673</v>
      </c>
      <c r="C30" s="763"/>
      <c r="D30" s="763"/>
      <c r="E30" s="764"/>
      <c r="F30" s="282"/>
      <c r="G30" s="282"/>
      <c r="H30" s="282"/>
      <c r="I30" s="282"/>
      <c r="J30" s="282"/>
      <c r="K30" s="282"/>
      <c r="L30" s="282"/>
      <c r="M30" s="282"/>
      <c r="N30" s="282"/>
      <c r="O30" s="282"/>
      <c r="P30" s="282"/>
      <c r="Q30" s="282"/>
      <c r="R30" s="282"/>
      <c r="S30" s="282"/>
      <c r="T30" s="282"/>
      <c r="U30" s="282"/>
      <c r="V30" s="282"/>
      <c r="W30" s="282"/>
      <c r="X30" s="282"/>
      <c r="Y30" s="282"/>
      <c r="Z30" s="282"/>
      <c r="AA30" s="282"/>
      <c r="AB30" s="282"/>
      <c r="AC30" s="282"/>
      <c r="AD30" s="282"/>
      <c r="AE30" s="282"/>
    </row>
    <row r="31" spans="1:31" ht="17.25" thickBot="1" x14ac:dyDescent="0.35">
      <c r="A31" s="282"/>
      <c r="B31" s="765"/>
      <c r="C31" s="766"/>
      <c r="D31" s="766"/>
      <c r="E31" s="767"/>
      <c r="F31" s="282"/>
      <c r="G31" s="282"/>
      <c r="H31" s="282"/>
      <c r="I31" s="282"/>
      <c r="J31" s="282"/>
      <c r="K31" s="282"/>
      <c r="L31" s="282"/>
      <c r="M31" s="282"/>
      <c r="N31" s="282"/>
      <c r="O31" s="282"/>
      <c r="P31" s="282"/>
      <c r="Q31" s="282"/>
      <c r="R31" s="282"/>
      <c r="S31" s="282"/>
      <c r="T31" s="282"/>
      <c r="U31" s="282"/>
      <c r="V31" s="282"/>
      <c r="W31" s="282"/>
      <c r="X31" s="282"/>
      <c r="Y31" s="282"/>
      <c r="Z31" s="282"/>
      <c r="AA31" s="282"/>
      <c r="AB31" s="282"/>
      <c r="AC31" s="282"/>
      <c r="AD31" s="282"/>
      <c r="AE31" s="282"/>
    </row>
    <row r="32" spans="1:31" x14ac:dyDescent="0.3">
      <c r="A32" s="282"/>
      <c r="B32" s="786" t="s">
        <v>674</v>
      </c>
      <c r="C32" s="788" t="s">
        <v>675</v>
      </c>
      <c r="D32" s="789"/>
      <c r="E32" s="790"/>
      <c r="F32" s="282"/>
      <c r="G32" s="282"/>
      <c r="H32" s="282"/>
      <c r="I32" s="282"/>
      <c r="J32" s="282"/>
      <c r="K32" s="282"/>
      <c r="L32" s="282"/>
      <c r="M32" s="282"/>
      <c r="N32" s="282"/>
      <c r="O32" s="282"/>
      <c r="P32" s="282"/>
      <c r="Q32" s="282"/>
      <c r="R32" s="282"/>
      <c r="S32" s="282"/>
      <c r="T32" s="282"/>
      <c r="U32" s="282"/>
      <c r="V32" s="282"/>
      <c r="W32" s="282"/>
      <c r="X32" s="282"/>
      <c r="Y32" s="282"/>
      <c r="Z32" s="282"/>
      <c r="AA32" s="282"/>
      <c r="AB32" s="282"/>
      <c r="AC32" s="282"/>
      <c r="AD32" s="282"/>
      <c r="AE32" s="282"/>
    </row>
    <row r="33" spans="1:31" x14ac:dyDescent="0.3">
      <c r="A33" s="282"/>
      <c r="B33" s="787"/>
      <c r="C33" s="791">
        <v>500</v>
      </c>
      <c r="D33" s="792"/>
      <c r="E33" s="793"/>
      <c r="F33" s="282"/>
      <c r="G33" s="282"/>
      <c r="H33" s="282"/>
      <c r="I33" s="282"/>
      <c r="J33" s="282"/>
      <c r="K33" s="282"/>
      <c r="L33" s="282"/>
      <c r="M33" s="282"/>
      <c r="N33" s="282"/>
      <c r="O33" s="282"/>
      <c r="P33" s="282"/>
      <c r="Q33" s="282"/>
      <c r="R33" s="282"/>
      <c r="S33" s="282"/>
      <c r="T33" s="282"/>
      <c r="U33" s="282"/>
      <c r="V33" s="282"/>
      <c r="W33" s="282"/>
      <c r="X33" s="282"/>
      <c r="Y33" s="282"/>
      <c r="Z33" s="282"/>
      <c r="AA33" s="282"/>
      <c r="AB33" s="282"/>
      <c r="AC33" s="282"/>
      <c r="AD33" s="282"/>
      <c r="AE33" s="282"/>
    </row>
    <row r="34" spans="1:31" ht="16.5" customHeight="1" x14ac:dyDescent="0.3">
      <c r="A34" s="282"/>
      <c r="B34" s="794">
        <v>120</v>
      </c>
      <c r="C34" s="796" t="s">
        <v>676</v>
      </c>
      <c r="D34" s="797"/>
      <c r="E34" s="798"/>
      <c r="F34" s="282"/>
      <c r="G34" s="282"/>
      <c r="H34" s="282"/>
      <c r="I34" s="282"/>
      <c r="J34" s="282"/>
      <c r="K34" s="282"/>
      <c r="L34" s="282"/>
      <c r="M34" s="282"/>
      <c r="N34" s="282"/>
      <c r="O34" s="282"/>
      <c r="P34" s="282"/>
      <c r="Q34" s="282"/>
      <c r="R34" s="282"/>
      <c r="S34" s="282"/>
      <c r="T34" s="282"/>
      <c r="U34" s="282"/>
      <c r="V34" s="282"/>
      <c r="W34" s="282"/>
      <c r="X34" s="282"/>
      <c r="Y34" s="282"/>
      <c r="Z34" s="282"/>
      <c r="AA34" s="282"/>
      <c r="AB34" s="282"/>
      <c r="AC34" s="282"/>
      <c r="AD34" s="282"/>
      <c r="AE34" s="282"/>
    </row>
    <row r="35" spans="1:31" ht="16.5" customHeight="1" x14ac:dyDescent="0.3">
      <c r="A35" s="282"/>
      <c r="B35" s="795"/>
      <c r="C35" s="799">
        <f>(B34/7*B37)+C33</f>
        <v>1357.1428571428571</v>
      </c>
      <c r="D35" s="800"/>
      <c r="E35" s="801"/>
      <c r="F35" s="282"/>
      <c r="G35" s="282"/>
      <c r="H35" s="282"/>
      <c r="I35" s="282"/>
      <c r="J35" s="282"/>
      <c r="K35" s="282"/>
      <c r="L35" s="282"/>
      <c r="M35" s="282"/>
      <c r="N35" s="282"/>
      <c r="O35" s="282"/>
      <c r="P35" s="282"/>
      <c r="Q35" s="282"/>
      <c r="R35" s="282"/>
      <c r="S35" s="282"/>
      <c r="T35" s="282"/>
      <c r="U35" s="282"/>
      <c r="V35" s="282"/>
      <c r="W35" s="282"/>
      <c r="X35" s="282"/>
      <c r="Y35" s="282"/>
      <c r="Z35" s="282"/>
      <c r="AA35" s="282"/>
      <c r="AB35" s="282"/>
      <c r="AC35" s="282"/>
      <c r="AD35" s="282"/>
      <c r="AE35" s="282"/>
    </row>
    <row r="36" spans="1:31" ht="16.5" customHeight="1" x14ac:dyDescent="0.3">
      <c r="A36" s="282"/>
      <c r="B36" s="33" t="s">
        <v>677</v>
      </c>
      <c r="C36" s="805" t="s">
        <v>678</v>
      </c>
      <c r="D36" s="806"/>
      <c r="E36" s="807"/>
      <c r="F36" s="282"/>
      <c r="G36" s="282"/>
      <c r="H36" s="282"/>
      <c r="I36" s="282"/>
      <c r="J36" s="282"/>
      <c r="K36" s="282"/>
      <c r="L36" s="282"/>
      <c r="M36" s="282"/>
      <c r="N36" s="282"/>
      <c r="O36" s="282"/>
      <c r="P36" s="282"/>
      <c r="Q36" s="282"/>
      <c r="R36" s="282"/>
      <c r="S36" s="282"/>
      <c r="T36" s="282"/>
      <c r="U36" s="282"/>
      <c r="V36" s="282"/>
      <c r="W36" s="282"/>
      <c r="X36" s="282"/>
      <c r="Y36" s="282"/>
      <c r="Z36" s="282"/>
      <c r="AA36" s="282"/>
      <c r="AB36" s="282"/>
      <c r="AC36" s="282"/>
      <c r="AD36" s="282"/>
      <c r="AE36" s="282"/>
    </row>
    <row r="37" spans="1:31" ht="16.5" customHeight="1" x14ac:dyDescent="0.3">
      <c r="A37" s="282"/>
      <c r="B37" s="486">
        <v>50</v>
      </c>
      <c r="C37" s="808"/>
      <c r="D37" s="809"/>
      <c r="E37" s="810"/>
      <c r="F37" s="282"/>
      <c r="G37" s="282"/>
      <c r="H37" s="282"/>
      <c r="I37" s="282"/>
      <c r="J37" s="282"/>
      <c r="K37" s="282"/>
      <c r="L37" s="282"/>
      <c r="M37" s="282"/>
      <c r="N37" s="282"/>
      <c r="O37" s="282"/>
      <c r="P37" s="282"/>
      <c r="Q37" s="282"/>
      <c r="R37" s="282"/>
      <c r="S37" s="282"/>
      <c r="T37" s="282"/>
      <c r="U37" s="282"/>
      <c r="V37" s="282"/>
      <c r="W37" s="282"/>
      <c r="X37" s="282"/>
      <c r="Y37" s="282"/>
      <c r="Z37" s="282"/>
      <c r="AA37" s="282"/>
      <c r="AB37" s="282"/>
      <c r="AC37" s="282"/>
      <c r="AD37" s="282"/>
      <c r="AE37" s="282"/>
    </row>
    <row r="38" spans="1:31" ht="16.5" customHeight="1" x14ac:dyDescent="0.3">
      <c r="A38" s="282"/>
      <c r="B38" s="811" t="s">
        <v>679</v>
      </c>
      <c r="C38" s="813">
        <f>IF(COUNTA(C41)=1,B37*2,IF(COUNTA(D41)=1,B37*3,IF(COUNTA(E41)=1,B37*4,"복구 속도를 선택해주세요")))</f>
        <v>100</v>
      </c>
      <c r="D38" s="814"/>
      <c r="E38" s="815"/>
      <c r="F38" s="282"/>
      <c r="G38" s="282"/>
      <c r="H38" s="282"/>
      <c r="I38" s="282"/>
      <c r="J38" s="282"/>
      <c r="K38" s="282"/>
      <c r="L38" s="282"/>
      <c r="M38" s="282"/>
      <c r="N38" s="282"/>
      <c r="O38" s="282"/>
      <c r="P38" s="282"/>
      <c r="Q38" s="282"/>
      <c r="R38" s="282"/>
      <c r="S38" s="282"/>
      <c r="T38" s="282"/>
      <c r="U38" s="282"/>
      <c r="V38" s="282"/>
      <c r="W38" s="282"/>
      <c r="X38" s="282"/>
      <c r="Y38" s="282"/>
      <c r="Z38" s="282"/>
      <c r="AA38" s="282"/>
      <c r="AB38" s="282"/>
      <c r="AC38" s="282"/>
      <c r="AD38" s="282"/>
      <c r="AE38" s="282"/>
    </row>
    <row r="39" spans="1:31" ht="16.5" customHeight="1" x14ac:dyDescent="0.3">
      <c r="A39" s="282"/>
      <c r="B39" s="812"/>
      <c r="C39" s="816"/>
      <c r="D39" s="817"/>
      <c r="E39" s="818"/>
      <c r="F39" s="282"/>
      <c r="G39" s="282"/>
      <c r="H39" s="282"/>
      <c r="I39" s="282"/>
      <c r="J39" s="282"/>
      <c r="K39" s="282"/>
      <c r="L39" s="282"/>
      <c r="M39" s="282"/>
      <c r="N39" s="282"/>
      <c r="O39" s="282"/>
      <c r="P39" s="282"/>
      <c r="Q39" s="282"/>
      <c r="R39" s="282"/>
      <c r="S39" s="282"/>
      <c r="T39" s="282"/>
      <c r="U39" s="282"/>
      <c r="V39" s="282"/>
      <c r="W39" s="282"/>
      <c r="X39" s="282"/>
      <c r="Y39" s="282"/>
      <c r="Z39" s="282"/>
      <c r="AA39" s="282"/>
      <c r="AB39" s="282"/>
      <c r="AC39" s="282"/>
      <c r="AD39" s="282"/>
      <c r="AE39" s="282"/>
    </row>
    <row r="40" spans="1:31" ht="16.5" customHeight="1" x14ac:dyDescent="0.3">
      <c r="A40" s="282"/>
      <c r="B40" s="819">
        <f>C33</f>
        <v>500</v>
      </c>
      <c r="C40" s="487" t="s">
        <v>680</v>
      </c>
      <c r="D40" s="488" t="s">
        <v>681</v>
      </c>
      <c r="E40" s="489" t="s">
        <v>682</v>
      </c>
      <c r="F40" s="282"/>
      <c r="G40" s="282"/>
      <c r="H40" s="282"/>
      <c r="I40" s="282"/>
      <c r="J40" s="282"/>
      <c r="K40" s="282"/>
      <c r="L40" s="282"/>
      <c r="M40" s="282"/>
      <c r="N40" s="282"/>
      <c r="O40" s="282"/>
      <c r="P40" s="282"/>
      <c r="Q40" s="282"/>
      <c r="R40" s="282"/>
      <c r="S40" s="282"/>
      <c r="T40" s="282"/>
      <c r="U40" s="282"/>
      <c r="V40" s="282"/>
      <c r="W40" s="282"/>
      <c r="X40" s="282"/>
      <c r="Y40" s="282"/>
      <c r="Z40" s="282"/>
      <c r="AA40" s="282"/>
      <c r="AB40" s="282"/>
      <c r="AC40" s="282"/>
      <c r="AD40" s="282"/>
      <c r="AE40" s="282"/>
    </row>
    <row r="41" spans="1:31" ht="16.5" customHeight="1" x14ac:dyDescent="0.3">
      <c r="A41" s="282"/>
      <c r="B41" s="820"/>
      <c r="C41" s="490" t="s">
        <v>24</v>
      </c>
      <c r="D41" s="491"/>
      <c r="E41" s="492"/>
      <c r="F41" s="282"/>
      <c r="G41" s="282"/>
      <c r="H41" s="282"/>
      <c r="I41" s="282"/>
      <c r="J41" s="282"/>
      <c r="K41" s="282"/>
      <c r="L41" s="282"/>
      <c r="M41" s="282"/>
      <c r="N41" s="282"/>
      <c r="O41" s="282"/>
      <c r="P41" s="282"/>
      <c r="Q41" s="282"/>
      <c r="R41" s="282"/>
      <c r="S41" s="282"/>
      <c r="T41" s="282"/>
      <c r="U41" s="282"/>
      <c r="V41" s="282"/>
      <c r="W41" s="282"/>
      <c r="X41" s="282"/>
      <c r="Y41" s="282"/>
      <c r="Z41" s="282"/>
      <c r="AA41" s="282"/>
      <c r="AB41" s="282"/>
      <c r="AC41" s="282"/>
      <c r="AD41" s="282"/>
      <c r="AE41" s="282"/>
    </row>
    <row r="42" spans="1:31" ht="16.5" customHeight="1" x14ac:dyDescent="0.3">
      <c r="A42" s="282"/>
      <c r="B42" s="821">
        <f>(C35-B40)/C38</f>
        <v>8.5714285714285712</v>
      </c>
      <c r="C42" s="822"/>
      <c r="D42" s="822"/>
      <c r="E42" s="823"/>
      <c r="F42" s="282"/>
      <c r="G42" s="282"/>
      <c r="H42" s="282"/>
      <c r="I42" s="282"/>
      <c r="J42" s="282"/>
      <c r="K42" s="282"/>
      <c r="L42" s="282"/>
      <c r="M42" s="282"/>
      <c r="N42" s="282"/>
      <c r="O42" s="282"/>
      <c r="P42" s="282"/>
      <c r="Q42" s="282"/>
      <c r="R42" s="282"/>
      <c r="S42" s="282"/>
      <c r="T42" s="282"/>
      <c r="U42" s="282"/>
      <c r="V42" s="282"/>
      <c r="W42" s="282"/>
      <c r="X42" s="282"/>
      <c r="Y42" s="282"/>
      <c r="Z42" s="282"/>
      <c r="AA42" s="282"/>
      <c r="AB42" s="282"/>
      <c r="AC42" s="282"/>
      <c r="AD42" s="282"/>
      <c r="AE42" s="282"/>
    </row>
    <row r="43" spans="1:31" ht="16.5" customHeight="1" thickBot="1" x14ac:dyDescent="0.35">
      <c r="A43" s="282"/>
      <c r="B43" s="824"/>
      <c r="C43" s="825"/>
      <c r="D43" s="825"/>
      <c r="E43" s="826"/>
      <c r="F43" s="282"/>
      <c r="G43" s="282"/>
      <c r="H43" s="282"/>
      <c r="I43" s="282"/>
      <c r="J43" s="282"/>
      <c r="K43" s="282"/>
      <c r="L43" s="282"/>
      <c r="M43" s="282"/>
      <c r="N43" s="282"/>
      <c r="O43" s="282"/>
      <c r="P43" s="282"/>
      <c r="Q43" s="282"/>
      <c r="R43" s="282"/>
      <c r="S43" s="282"/>
      <c r="T43" s="282"/>
      <c r="U43" s="282"/>
      <c r="V43" s="282"/>
      <c r="W43" s="282"/>
      <c r="X43" s="282"/>
      <c r="Y43" s="282"/>
      <c r="Z43" s="282"/>
      <c r="AA43" s="282"/>
      <c r="AB43" s="282"/>
      <c r="AC43" s="282"/>
      <c r="AD43" s="282"/>
      <c r="AE43" s="282"/>
    </row>
    <row r="44" spans="1:31" ht="17.25" thickBot="1" x14ac:dyDescent="0.35">
      <c r="A44" s="282"/>
      <c r="B44" s="282"/>
      <c r="C44" s="282"/>
      <c r="D44" s="282"/>
      <c r="E44" s="282"/>
      <c r="F44" s="282"/>
      <c r="G44" s="282"/>
      <c r="H44" s="282"/>
      <c r="I44" s="282"/>
      <c r="J44" s="282"/>
      <c r="K44" s="282"/>
      <c r="L44" s="282"/>
      <c r="M44" s="282"/>
      <c r="N44" s="282"/>
      <c r="O44" s="282"/>
      <c r="P44" s="282"/>
      <c r="Q44" s="282"/>
      <c r="R44" s="282"/>
      <c r="S44" s="282"/>
      <c r="T44" s="282"/>
      <c r="U44" s="282"/>
      <c r="V44" s="282"/>
      <c r="W44" s="282"/>
      <c r="X44" s="282"/>
      <c r="Y44" s="282"/>
      <c r="Z44" s="282"/>
      <c r="AA44" s="282"/>
      <c r="AB44" s="282"/>
      <c r="AC44" s="282"/>
      <c r="AD44" s="282"/>
      <c r="AE44" s="282"/>
    </row>
    <row r="45" spans="1:31" x14ac:dyDescent="0.3">
      <c r="A45" s="282"/>
      <c r="B45" s="713" t="s">
        <v>683</v>
      </c>
      <c r="C45" s="714"/>
      <c r="D45" s="714"/>
      <c r="E45" s="714"/>
      <c r="F45" s="715"/>
      <c r="G45" s="282"/>
      <c r="H45" s="282"/>
      <c r="I45" s="282"/>
      <c r="J45" s="282"/>
      <c r="K45" s="282"/>
      <c r="L45" s="282"/>
      <c r="M45" s="282"/>
      <c r="N45" s="282"/>
      <c r="O45" s="282"/>
      <c r="P45" s="282"/>
      <c r="Q45" s="282"/>
      <c r="R45" s="282"/>
      <c r="S45" s="282"/>
      <c r="T45" s="282"/>
      <c r="U45" s="282"/>
      <c r="V45" s="282"/>
      <c r="W45" s="282"/>
      <c r="X45" s="282"/>
      <c r="Y45" s="282"/>
      <c r="Z45" s="282"/>
      <c r="AA45" s="282"/>
      <c r="AB45" s="282"/>
      <c r="AC45" s="282"/>
      <c r="AD45" s="282"/>
      <c r="AE45" s="282"/>
    </row>
    <row r="46" spans="1:31" x14ac:dyDescent="0.3">
      <c r="A46" s="282"/>
      <c r="B46" s="493" t="s">
        <v>684</v>
      </c>
      <c r="C46" s="45"/>
      <c r="D46" s="45"/>
      <c r="E46" s="45"/>
      <c r="F46" s="53"/>
      <c r="G46" s="282"/>
      <c r="H46" s="282"/>
      <c r="I46" s="282"/>
      <c r="J46" s="282"/>
      <c r="K46" s="282"/>
      <c r="L46" s="282"/>
      <c r="M46" s="282"/>
      <c r="N46" s="282"/>
      <c r="O46" s="282"/>
      <c r="P46" s="282"/>
      <c r="Q46" s="282"/>
      <c r="R46" s="282"/>
      <c r="S46" s="282"/>
      <c r="T46" s="282"/>
      <c r="U46" s="282"/>
      <c r="V46" s="282"/>
      <c r="W46" s="282"/>
      <c r="X46" s="282"/>
      <c r="Y46" s="282"/>
      <c r="Z46" s="282"/>
      <c r="AA46" s="282"/>
      <c r="AB46" s="282"/>
      <c r="AC46" s="282"/>
      <c r="AD46" s="282"/>
      <c r="AE46" s="282"/>
    </row>
    <row r="47" spans="1:31" x14ac:dyDescent="0.3">
      <c r="A47" s="282"/>
      <c r="B47" s="493" t="s">
        <v>685</v>
      </c>
      <c r="C47" s="45"/>
      <c r="D47" s="45"/>
      <c r="E47" s="45"/>
      <c r="F47" s="53"/>
      <c r="G47" s="282"/>
      <c r="H47" s="282"/>
      <c r="I47" s="282"/>
      <c r="J47" s="282"/>
      <c r="K47" s="282"/>
      <c r="L47" s="282"/>
      <c r="M47" s="282"/>
      <c r="N47" s="282"/>
      <c r="O47" s="282"/>
      <c r="P47" s="282"/>
      <c r="Q47" s="282"/>
      <c r="R47" s="282"/>
      <c r="S47" s="282"/>
      <c r="T47" s="282"/>
      <c r="U47" s="282"/>
      <c r="V47" s="282"/>
      <c r="W47" s="282"/>
      <c r="X47" s="282"/>
      <c r="Y47" s="282"/>
      <c r="Z47" s="282"/>
      <c r="AA47" s="282"/>
      <c r="AB47" s="282"/>
      <c r="AC47" s="282"/>
      <c r="AD47" s="282"/>
      <c r="AE47" s="282"/>
    </row>
    <row r="48" spans="1:31" x14ac:dyDescent="0.3">
      <c r="A48" s="282"/>
      <c r="B48" s="52" t="s">
        <v>686</v>
      </c>
      <c r="C48" s="45"/>
      <c r="D48" s="45"/>
      <c r="E48" s="45"/>
      <c r="F48" s="53"/>
      <c r="G48" s="282"/>
      <c r="H48" s="282"/>
      <c r="I48" s="282"/>
      <c r="J48" s="282"/>
      <c r="K48" s="282"/>
      <c r="L48" s="282"/>
      <c r="M48" s="282"/>
      <c r="N48" s="282"/>
      <c r="O48" s="282"/>
      <c r="P48" s="282"/>
      <c r="Q48" s="282"/>
      <c r="R48" s="282"/>
      <c r="S48" s="282"/>
      <c r="T48" s="282"/>
      <c r="U48" s="282"/>
      <c r="V48" s="282"/>
      <c r="W48" s="282"/>
      <c r="X48" s="282"/>
      <c r="Y48" s="282"/>
      <c r="Z48" s="282"/>
      <c r="AA48" s="282"/>
      <c r="AB48" s="282"/>
      <c r="AC48" s="282"/>
      <c r="AD48" s="282"/>
      <c r="AE48" s="282"/>
    </row>
    <row r="49" spans="1:31" x14ac:dyDescent="0.3">
      <c r="A49" s="282"/>
      <c r="B49" s="391"/>
      <c r="C49" s="282"/>
      <c r="D49" s="282"/>
      <c r="E49" s="282"/>
      <c r="F49" s="292"/>
      <c r="G49" s="282"/>
      <c r="H49" s="282"/>
      <c r="I49" s="282"/>
      <c r="J49" s="282"/>
      <c r="K49" s="282"/>
      <c r="L49" s="282"/>
      <c r="M49" s="282"/>
      <c r="N49" s="282"/>
      <c r="O49" s="282"/>
      <c r="P49" s="282"/>
      <c r="Q49" s="282"/>
      <c r="R49" s="282"/>
      <c r="S49" s="282"/>
      <c r="T49" s="282"/>
      <c r="U49" s="282"/>
      <c r="V49" s="282"/>
      <c r="W49" s="282"/>
      <c r="X49" s="282"/>
      <c r="Y49" s="282"/>
      <c r="Z49" s="282"/>
      <c r="AA49" s="282"/>
      <c r="AB49" s="282"/>
      <c r="AC49" s="282"/>
      <c r="AD49" s="282"/>
      <c r="AE49" s="282"/>
    </row>
    <row r="50" spans="1:31" x14ac:dyDescent="0.3">
      <c r="A50" s="282"/>
      <c r="B50" s="802" t="s">
        <v>687</v>
      </c>
      <c r="C50" s="803"/>
      <c r="D50" s="803"/>
      <c r="E50" s="803"/>
      <c r="F50" s="804"/>
      <c r="G50" s="282"/>
      <c r="H50" s="282"/>
      <c r="I50" s="282"/>
      <c r="J50" s="282"/>
      <c r="K50" s="282"/>
      <c r="L50" s="282"/>
      <c r="M50" s="282"/>
      <c r="N50" s="282"/>
      <c r="O50" s="282"/>
      <c r="P50" s="282"/>
      <c r="Q50" s="282"/>
      <c r="R50" s="282"/>
      <c r="S50" s="282"/>
      <c r="T50" s="282"/>
      <c r="U50" s="282"/>
      <c r="V50" s="282"/>
      <c r="W50" s="282"/>
      <c r="X50" s="282"/>
      <c r="Y50" s="282"/>
      <c r="Z50" s="282"/>
      <c r="AA50" s="282"/>
      <c r="AB50" s="282"/>
      <c r="AC50" s="282"/>
      <c r="AD50" s="282"/>
      <c r="AE50" s="282"/>
    </row>
    <row r="51" spans="1:31" x14ac:dyDescent="0.3">
      <c r="A51" s="282"/>
      <c r="B51" s="179" t="s">
        <v>688</v>
      </c>
      <c r="C51" s="378"/>
      <c r="D51" s="378"/>
      <c r="E51" s="378"/>
      <c r="F51" s="176"/>
      <c r="G51" s="282"/>
      <c r="H51" s="282"/>
      <c r="I51" s="282"/>
      <c r="J51" s="282"/>
      <c r="K51" s="282"/>
      <c r="L51" s="282"/>
      <c r="M51" s="282"/>
      <c r="N51" s="282"/>
      <c r="O51" s="282"/>
      <c r="P51" s="282"/>
      <c r="Q51" s="282"/>
      <c r="R51" s="282"/>
      <c r="S51" s="282"/>
      <c r="T51" s="282"/>
      <c r="U51" s="282"/>
      <c r="V51" s="282"/>
      <c r="W51" s="282"/>
      <c r="X51" s="282"/>
      <c r="Y51" s="282"/>
      <c r="Z51" s="282"/>
      <c r="AA51" s="282"/>
      <c r="AB51" s="282"/>
      <c r="AC51" s="282"/>
      <c r="AD51" s="282"/>
      <c r="AE51" s="282"/>
    </row>
    <row r="52" spans="1:31" x14ac:dyDescent="0.3">
      <c r="A52" s="282"/>
      <c r="B52" s="179" t="s">
        <v>689</v>
      </c>
      <c r="C52" s="378"/>
      <c r="D52" s="378"/>
      <c r="E52" s="378"/>
      <c r="F52" s="176"/>
      <c r="G52" s="282"/>
      <c r="H52" s="282"/>
      <c r="I52" s="282"/>
      <c r="J52" s="282"/>
      <c r="K52" s="282"/>
      <c r="L52" s="282"/>
      <c r="M52" s="282"/>
      <c r="N52" s="282"/>
      <c r="O52" s="282"/>
      <c r="P52" s="282"/>
      <c r="Q52" s="282"/>
      <c r="R52" s="282"/>
      <c r="S52" s="282"/>
      <c r="T52" s="282"/>
      <c r="U52" s="282"/>
      <c r="V52" s="282"/>
      <c r="W52" s="282"/>
      <c r="X52" s="282"/>
      <c r="Y52" s="282"/>
      <c r="Z52" s="282"/>
      <c r="AA52" s="282"/>
      <c r="AB52" s="282"/>
      <c r="AC52" s="282"/>
      <c r="AD52" s="282"/>
      <c r="AE52" s="282"/>
    </row>
    <row r="53" spans="1:31" x14ac:dyDescent="0.3">
      <c r="A53" s="282"/>
      <c r="B53" s="179" t="s">
        <v>690</v>
      </c>
      <c r="C53" s="378"/>
      <c r="D53" s="378"/>
      <c r="E53" s="378"/>
      <c r="F53" s="176"/>
      <c r="G53" s="282"/>
      <c r="H53" s="282"/>
      <c r="I53" s="282"/>
      <c r="J53" s="282"/>
      <c r="K53" s="282"/>
      <c r="L53" s="282"/>
      <c r="M53" s="282"/>
      <c r="N53" s="282"/>
      <c r="O53" s="282"/>
      <c r="P53" s="282"/>
      <c r="Q53" s="282"/>
      <c r="R53" s="282"/>
      <c r="S53" s="282"/>
      <c r="T53" s="282"/>
      <c r="U53" s="282"/>
      <c r="V53" s="282"/>
      <c r="W53" s="282"/>
      <c r="X53" s="282"/>
      <c r="Y53" s="282"/>
      <c r="Z53" s="282"/>
      <c r="AA53" s="282"/>
      <c r="AB53" s="282"/>
      <c r="AC53" s="282"/>
      <c r="AD53" s="282"/>
      <c r="AE53" s="282"/>
    </row>
    <row r="54" spans="1:31" x14ac:dyDescent="0.3">
      <c r="A54" s="282"/>
      <c r="B54" s="179" t="s">
        <v>691</v>
      </c>
      <c r="C54" s="378"/>
      <c r="D54" s="378"/>
      <c r="E54" s="378"/>
      <c r="F54" s="176"/>
      <c r="G54" s="282"/>
      <c r="H54" s="282"/>
      <c r="I54" s="282"/>
      <c r="J54" s="282"/>
      <c r="K54" s="282"/>
      <c r="L54" s="282"/>
      <c r="M54" s="282"/>
      <c r="N54" s="282"/>
      <c r="O54" s="282"/>
      <c r="P54" s="282"/>
      <c r="Q54" s="282"/>
      <c r="R54" s="282"/>
      <c r="S54" s="282"/>
      <c r="T54" s="282"/>
      <c r="U54" s="282"/>
      <c r="V54" s="282"/>
      <c r="W54" s="282"/>
      <c r="X54" s="282"/>
      <c r="Y54" s="282"/>
      <c r="Z54" s="282"/>
      <c r="AA54" s="282"/>
      <c r="AB54" s="282"/>
      <c r="AC54" s="282"/>
      <c r="AD54" s="282"/>
      <c r="AE54" s="282"/>
    </row>
    <row r="55" spans="1:31" x14ac:dyDescent="0.3">
      <c r="A55" s="282"/>
      <c r="B55" s="179" t="s">
        <v>692</v>
      </c>
      <c r="C55" s="378"/>
      <c r="D55" s="378"/>
      <c r="E55" s="378"/>
      <c r="F55" s="176"/>
      <c r="G55" s="282"/>
      <c r="H55" s="282"/>
      <c r="I55" s="282"/>
      <c r="J55" s="282"/>
      <c r="K55" s="282"/>
      <c r="L55" s="282"/>
      <c r="M55" s="282"/>
      <c r="N55" s="282"/>
      <c r="O55" s="282"/>
      <c r="P55" s="282"/>
      <c r="Q55" s="282"/>
      <c r="R55" s="282"/>
      <c r="S55" s="282"/>
      <c r="T55" s="282"/>
      <c r="U55" s="282"/>
      <c r="V55" s="282"/>
      <c r="W55" s="282"/>
      <c r="X55" s="282"/>
      <c r="Y55" s="282"/>
      <c r="Z55" s="282"/>
      <c r="AA55" s="282"/>
      <c r="AB55" s="282"/>
      <c r="AC55" s="282"/>
      <c r="AD55" s="282"/>
      <c r="AE55" s="282"/>
    </row>
    <row r="56" spans="1:31" x14ac:dyDescent="0.3">
      <c r="A56" s="282"/>
      <c r="B56" s="494" t="s">
        <v>693</v>
      </c>
      <c r="C56" s="378"/>
      <c r="D56" s="378"/>
      <c r="E56" s="378"/>
      <c r="F56" s="176"/>
      <c r="G56" s="282"/>
      <c r="H56" s="282"/>
      <c r="I56" s="282"/>
      <c r="J56" s="282"/>
      <c r="K56" s="282"/>
      <c r="L56" s="282"/>
      <c r="M56" s="282"/>
      <c r="N56" s="282"/>
      <c r="O56" s="282"/>
      <c r="P56" s="282"/>
      <c r="Q56" s="282"/>
      <c r="R56" s="282"/>
      <c r="S56" s="282"/>
      <c r="T56" s="282"/>
      <c r="U56" s="282"/>
      <c r="V56" s="282"/>
      <c r="W56" s="282"/>
      <c r="X56" s="282"/>
      <c r="Y56" s="282"/>
      <c r="Z56" s="282"/>
      <c r="AA56" s="282"/>
      <c r="AB56" s="282"/>
      <c r="AC56" s="282"/>
      <c r="AD56" s="282"/>
      <c r="AE56" s="282"/>
    </row>
    <row r="57" spans="1:31" x14ac:dyDescent="0.3">
      <c r="A57" s="282"/>
      <c r="B57" s="179" t="s">
        <v>694</v>
      </c>
      <c r="C57" s="378"/>
      <c r="D57" s="378"/>
      <c r="E57" s="378"/>
      <c r="F57" s="176"/>
      <c r="G57" s="282"/>
      <c r="H57" s="282"/>
      <c r="I57" s="282"/>
      <c r="J57" s="282"/>
      <c r="K57" s="282"/>
      <c r="L57" s="282"/>
      <c r="M57" s="282"/>
      <c r="N57" s="282"/>
      <c r="O57" s="282"/>
      <c r="P57" s="282"/>
      <c r="Q57" s="282"/>
      <c r="R57" s="282"/>
      <c r="S57" s="282"/>
      <c r="T57" s="282"/>
      <c r="U57" s="282"/>
      <c r="V57" s="282"/>
      <c r="W57" s="282"/>
      <c r="X57" s="282"/>
      <c r="Y57" s="282"/>
      <c r="Z57" s="282"/>
      <c r="AA57" s="282"/>
      <c r="AB57" s="282"/>
      <c r="AC57" s="282"/>
      <c r="AD57" s="282"/>
      <c r="AE57" s="282"/>
    </row>
    <row r="58" spans="1:31" x14ac:dyDescent="0.3">
      <c r="A58" s="282"/>
      <c r="B58" s="179" t="s">
        <v>695</v>
      </c>
      <c r="C58" s="378"/>
      <c r="D58" s="378"/>
      <c r="E58" s="378"/>
      <c r="F58" s="176"/>
      <c r="G58" s="282"/>
      <c r="H58" s="282"/>
      <c r="I58" s="282"/>
      <c r="J58" s="282"/>
      <c r="K58" s="282"/>
      <c r="L58" s="282"/>
      <c r="M58" s="282"/>
      <c r="N58" s="282"/>
      <c r="O58" s="282"/>
      <c r="P58" s="282"/>
      <c r="Q58" s="282"/>
      <c r="R58" s="282"/>
      <c r="S58" s="282"/>
      <c r="T58" s="282"/>
      <c r="U58" s="282"/>
      <c r="V58" s="282"/>
      <c r="W58" s="282"/>
      <c r="X58" s="282"/>
      <c r="Y58" s="282"/>
      <c r="Z58" s="282"/>
      <c r="AA58" s="282"/>
      <c r="AB58" s="282"/>
      <c r="AC58" s="282"/>
      <c r="AD58" s="282"/>
      <c r="AE58" s="282"/>
    </row>
    <row r="59" spans="1:31" x14ac:dyDescent="0.3">
      <c r="A59" s="282"/>
      <c r="B59" s="179" t="s">
        <v>696</v>
      </c>
      <c r="C59" s="378"/>
      <c r="D59" s="378"/>
      <c r="E59" s="378"/>
      <c r="F59" s="176"/>
      <c r="G59" s="282"/>
      <c r="H59" s="282"/>
      <c r="I59" s="282"/>
      <c r="J59" s="282"/>
      <c r="K59" s="282"/>
      <c r="L59" s="282"/>
      <c r="M59" s="282"/>
      <c r="N59" s="282"/>
      <c r="O59" s="282"/>
      <c r="P59" s="282"/>
      <c r="Q59" s="282"/>
      <c r="R59" s="282"/>
      <c r="S59" s="282"/>
      <c r="T59" s="282"/>
      <c r="U59" s="282"/>
      <c r="V59" s="282"/>
      <c r="W59" s="282"/>
      <c r="X59" s="282"/>
      <c r="Y59" s="282"/>
      <c r="Z59" s="282"/>
      <c r="AA59" s="282"/>
      <c r="AB59" s="282"/>
      <c r="AC59" s="282"/>
      <c r="AD59" s="282"/>
      <c r="AE59" s="282"/>
    </row>
    <row r="60" spans="1:31" ht="17.25" thickBot="1" x14ac:dyDescent="0.35">
      <c r="A60" s="282"/>
      <c r="B60" s="495" t="s">
        <v>697</v>
      </c>
      <c r="C60" s="496"/>
      <c r="D60" s="496"/>
      <c r="E60" s="175"/>
      <c r="F60" s="177"/>
      <c r="G60" s="282"/>
      <c r="H60" s="282"/>
      <c r="I60" s="282"/>
      <c r="J60" s="282"/>
      <c r="K60" s="282"/>
      <c r="L60" s="282"/>
      <c r="M60" s="282"/>
      <c r="N60" s="282"/>
      <c r="O60" s="282"/>
      <c r="P60" s="282"/>
      <c r="Q60" s="282"/>
      <c r="R60" s="282"/>
      <c r="S60" s="282"/>
      <c r="T60" s="282"/>
      <c r="U60" s="282"/>
      <c r="V60" s="282"/>
      <c r="W60" s="282"/>
      <c r="X60" s="282"/>
      <c r="Y60" s="282"/>
      <c r="Z60" s="282"/>
      <c r="AA60" s="282"/>
      <c r="AB60" s="282"/>
      <c r="AC60" s="282"/>
      <c r="AD60" s="282"/>
      <c r="AE60" s="282"/>
    </row>
    <row r="61" spans="1:31" x14ac:dyDescent="0.3">
      <c r="A61" s="282"/>
      <c r="B61" s="282"/>
      <c r="C61" s="282"/>
      <c r="D61" s="282"/>
      <c r="E61" s="282"/>
      <c r="F61" s="282"/>
      <c r="G61" s="282"/>
      <c r="H61" s="282"/>
      <c r="I61" s="282"/>
      <c r="J61" s="282"/>
      <c r="K61" s="282"/>
      <c r="L61" s="282"/>
      <c r="M61" s="282"/>
      <c r="N61" s="282"/>
      <c r="O61" s="282"/>
      <c r="P61" s="282"/>
      <c r="Q61" s="282"/>
      <c r="R61" s="282"/>
      <c r="S61" s="282"/>
      <c r="T61" s="282"/>
      <c r="U61" s="282"/>
      <c r="V61" s="282"/>
      <c r="W61" s="282"/>
      <c r="X61" s="282"/>
      <c r="Y61" s="282"/>
      <c r="Z61" s="282"/>
      <c r="AA61" s="282"/>
      <c r="AB61" s="282"/>
      <c r="AC61" s="282"/>
      <c r="AD61" s="282"/>
      <c r="AE61" s="282"/>
    </row>
    <row r="62" spans="1:31" x14ac:dyDescent="0.3">
      <c r="A62" s="282"/>
      <c r="B62" s="282"/>
      <c r="C62" s="282"/>
      <c r="D62" s="282"/>
      <c r="E62" s="282"/>
      <c r="F62" s="282"/>
      <c r="G62" s="282"/>
      <c r="H62" s="282"/>
      <c r="I62" s="282"/>
      <c r="J62" s="282"/>
      <c r="K62" s="282"/>
      <c r="L62" s="282"/>
      <c r="M62" s="282"/>
      <c r="N62" s="282"/>
      <c r="O62" s="282"/>
      <c r="P62" s="282"/>
      <c r="Q62" s="282"/>
      <c r="R62" s="282"/>
      <c r="S62" s="282"/>
      <c r="T62" s="282"/>
      <c r="U62" s="282"/>
      <c r="V62" s="282"/>
      <c r="W62" s="282"/>
      <c r="X62" s="282"/>
      <c r="Y62" s="282"/>
      <c r="Z62" s="282"/>
      <c r="AA62" s="282"/>
      <c r="AB62" s="282"/>
      <c r="AC62" s="282"/>
      <c r="AD62" s="282"/>
      <c r="AE62" s="282"/>
    </row>
    <row r="63" spans="1:31" x14ac:dyDescent="0.3">
      <c r="A63" s="282"/>
      <c r="B63" s="282"/>
      <c r="C63" s="282"/>
      <c r="D63" s="282"/>
      <c r="E63" s="282"/>
      <c r="F63" s="282"/>
      <c r="G63" s="282"/>
      <c r="H63" s="282"/>
      <c r="I63" s="282"/>
      <c r="J63" s="282"/>
      <c r="K63" s="282"/>
      <c r="L63" s="282"/>
      <c r="M63" s="282"/>
      <c r="N63" s="282"/>
      <c r="O63" s="282"/>
      <c r="P63" s="282"/>
      <c r="Q63" s="282"/>
      <c r="R63" s="282"/>
      <c r="S63" s="282"/>
      <c r="T63" s="282"/>
      <c r="U63" s="282"/>
      <c r="V63" s="282"/>
      <c r="W63" s="282"/>
      <c r="X63" s="282"/>
      <c r="Y63" s="282"/>
      <c r="Z63" s="282"/>
      <c r="AA63" s="282"/>
      <c r="AB63" s="282"/>
      <c r="AC63" s="282"/>
      <c r="AD63" s="282"/>
      <c r="AE63" s="282"/>
    </row>
    <row r="64" spans="1:31" x14ac:dyDescent="0.3">
      <c r="A64" s="282"/>
      <c r="B64" s="282"/>
      <c r="C64" s="282"/>
      <c r="D64" s="282"/>
      <c r="E64" s="282"/>
      <c r="F64" s="282"/>
      <c r="G64" s="282"/>
      <c r="H64" s="282"/>
      <c r="I64" s="282"/>
      <c r="J64" s="282"/>
      <c r="K64" s="282"/>
      <c r="L64" s="282"/>
      <c r="M64" s="282"/>
      <c r="N64" s="282"/>
      <c r="O64" s="282"/>
      <c r="P64" s="282"/>
      <c r="Q64" s="282"/>
      <c r="R64" s="282"/>
      <c r="S64" s="282"/>
      <c r="T64" s="282"/>
      <c r="U64" s="282"/>
      <c r="V64" s="282"/>
      <c r="W64" s="282"/>
      <c r="X64" s="282"/>
      <c r="Y64" s="282"/>
      <c r="Z64" s="282"/>
      <c r="AA64" s="282"/>
      <c r="AB64" s="282"/>
      <c r="AC64" s="282"/>
      <c r="AD64" s="282"/>
      <c r="AE64" s="282"/>
    </row>
    <row r="65" spans="1:31" x14ac:dyDescent="0.3">
      <c r="A65" s="282"/>
      <c r="B65" s="282"/>
      <c r="C65" s="282"/>
      <c r="D65" s="282"/>
      <c r="E65" s="282"/>
      <c r="F65" s="282"/>
      <c r="G65" s="282"/>
      <c r="H65" s="282"/>
      <c r="I65" s="282"/>
      <c r="J65" s="282"/>
      <c r="K65" s="282"/>
      <c r="L65" s="282"/>
      <c r="M65" s="282"/>
      <c r="N65" s="282"/>
      <c r="O65" s="282"/>
      <c r="P65" s="282"/>
      <c r="Q65" s="282"/>
      <c r="R65" s="282"/>
      <c r="S65" s="282"/>
      <c r="T65" s="282"/>
      <c r="U65" s="282"/>
      <c r="V65" s="282"/>
      <c r="W65" s="282"/>
      <c r="X65" s="282"/>
      <c r="Y65" s="282"/>
      <c r="Z65" s="282"/>
      <c r="AA65" s="282"/>
      <c r="AB65" s="282"/>
      <c r="AC65" s="282"/>
      <c r="AD65" s="282"/>
      <c r="AE65" s="282"/>
    </row>
    <row r="66" spans="1:31" x14ac:dyDescent="0.3">
      <c r="A66" s="282"/>
      <c r="B66" s="282"/>
      <c r="C66" s="282"/>
      <c r="D66" s="282"/>
      <c r="E66" s="282"/>
      <c r="F66" s="282"/>
      <c r="G66" s="282"/>
      <c r="H66" s="282"/>
      <c r="I66" s="282"/>
      <c r="J66" s="282"/>
      <c r="K66" s="282"/>
      <c r="L66" s="282"/>
      <c r="M66" s="282"/>
      <c r="N66" s="282"/>
      <c r="O66" s="282"/>
      <c r="P66" s="282"/>
      <c r="Q66" s="282"/>
      <c r="R66" s="282"/>
      <c r="S66" s="282"/>
      <c r="T66" s="282"/>
      <c r="U66" s="282"/>
      <c r="V66" s="282"/>
      <c r="W66" s="282"/>
      <c r="X66" s="282"/>
      <c r="Y66" s="282"/>
      <c r="Z66" s="282"/>
      <c r="AA66" s="282"/>
      <c r="AB66" s="282"/>
      <c r="AC66" s="282"/>
      <c r="AD66" s="282"/>
      <c r="AE66" s="282"/>
    </row>
    <row r="67" spans="1:31" x14ac:dyDescent="0.3">
      <c r="A67" s="282"/>
      <c r="B67" s="282"/>
      <c r="C67" s="282"/>
      <c r="D67" s="282"/>
      <c r="E67" s="282"/>
      <c r="F67" s="282"/>
      <c r="G67" s="282"/>
      <c r="H67" s="282"/>
      <c r="I67" s="282"/>
      <c r="J67" s="282"/>
      <c r="K67" s="282"/>
      <c r="L67" s="282"/>
      <c r="M67" s="282"/>
      <c r="N67" s="282"/>
      <c r="O67" s="282"/>
      <c r="P67" s="282"/>
      <c r="Q67" s="282"/>
      <c r="R67" s="282"/>
      <c r="S67" s="282"/>
      <c r="T67" s="282"/>
      <c r="U67" s="282"/>
      <c r="V67" s="282"/>
      <c r="W67" s="282"/>
      <c r="X67" s="282"/>
      <c r="Y67" s="282"/>
      <c r="Z67" s="282"/>
      <c r="AA67" s="282"/>
      <c r="AB67" s="282"/>
      <c r="AC67" s="282"/>
      <c r="AD67" s="282"/>
      <c r="AE67" s="282"/>
    </row>
    <row r="68" spans="1:31" x14ac:dyDescent="0.3">
      <c r="A68" s="282"/>
      <c r="B68" s="282"/>
      <c r="C68" s="282"/>
      <c r="D68" s="282"/>
      <c r="E68" s="282"/>
      <c r="F68" s="282"/>
      <c r="G68" s="282"/>
      <c r="H68" s="282"/>
      <c r="I68" s="282"/>
      <c r="J68" s="282"/>
      <c r="K68" s="282"/>
      <c r="L68" s="282"/>
      <c r="M68" s="282"/>
      <c r="N68" s="282"/>
      <c r="O68" s="282"/>
      <c r="P68" s="282"/>
      <c r="Q68" s="282"/>
      <c r="R68" s="282"/>
      <c r="S68" s="282"/>
      <c r="T68" s="282"/>
      <c r="U68" s="282"/>
      <c r="V68" s="282"/>
      <c r="W68" s="282"/>
      <c r="X68" s="282"/>
      <c r="Y68" s="282"/>
      <c r="Z68" s="282"/>
      <c r="AA68" s="282"/>
      <c r="AB68" s="282"/>
      <c r="AC68" s="282"/>
      <c r="AD68" s="282"/>
      <c r="AE68" s="282"/>
    </row>
    <row r="69" spans="1:31" x14ac:dyDescent="0.3">
      <c r="A69" s="282"/>
      <c r="B69" s="282"/>
      <c r="C69" s="282"/>
      <c r="D69" s="282"/>
      <c r="E69" s="282"/>
      <c r="F69" s="282"/>
      <c r="G69" s="282"/>
      <c r="H69" s="282"/>
      <c r="I69" s="282"/>
      <c r="J69" s="282"/>
      <c r="K69" s="282"/>
      <c r="L69" s="282"/>
      <c r="M69" s="282"/>
      <c r="N69" s="282"/>
      <c r="O69" s="282"/>
      <c r="P69" s="282"/>
      <c r="Q69" s="282"/>
      <c r="R69" s="282"/>
      <c r="S69" s="282"/>
      <c r="T69" s="282"/>
      <c r="U69" s="282"/>
      <c r="V69" s="282"/>
      <c r="W69" s="282"/>
      <c r="X69" s="282"/>
      <c r="Y69" s="282"/>
      <c r="Z69" s="282"/>
      <c r="AA69" s="282"/>
      <c r="AB69" s="282"/>
      <c r="AC69" s="282"/>
      <c r="AD69" s="282"/>
      <c r="AE69" s="282"/>
    </row>
    <row r="70" spans="1:31" x14ac:dyDescent="0.3">
      <c r="A70" s="282"/>
      <c r="B70" s="282"/>
      <c r="C70" s="282"/>
      <c r="D70" s="282"/>
      <c r="E70" s="282"/>
      <c r="F70" s="282"/>
      <c r="G70" s="282"/>
      <c r="H70" s="282"/>
      <c r="I70" s="282"/>
      <c r="J70" s="282"/>
      <c r="K70" s="282"/>
      <c r="L70" s="282"/>
      <c r="M70" s="282"/>
      <c r="N70" s="282"/>
      <c r="O70" s="282"/>
      <c r="P70" s="282"/>
      <c r="Q70" s="282"/>
      <c r="R70" s="282"/>
      <c r="S70" s="282"/>
      <c r="T70" s="282"/>
      <c r="U70" s="282"/>
      <c r="V70" s="282"/>
      <c r="W70" s="282"/>
      <c r="X70" s="282"/>
      <c r="Y70" s="282"/>
      <c r="Z70" s="282"/>
      <c r="AA70" s="282"/>
      <c r="AB70" s="282"/>
      <c r="AC70" s="282"/>
      <c r="AD70" s="282"/>
      <c r="AE70" s="282"/>
    </row>
    <row r="71" spans="1:31" x14ac:dyDescent="0.3">
      <c r="A71" s="282"/>
      <c r="B71" s="282"/>
      <c r="C71" s="282"/>
      <c r="D71" s="282"/>
      <c r="E71" s="282"/>
      <c r="F71" s="282"/>
      <c r="G71" s="282"/>
      <c r="H71" s="282"/>
      <c r="I71" s="282"/>
      <c r="J71" s="282"/>
      <c r="K71" s="282"/>
      <c r="L71" s="282"/>
      <c r="M71" s="282"/>
      <c r="N71" s="282"/>
      <c r="O71" s="282"/>
      <c r="P71" s="282"/>
      <c r="Q71" s="282"/>
      <c r="R71" s="282"/>
      <c r="S71" s="282"/>
      <c r="T71" s="282"/>
      <c r="U71" s="282"/>
      <c r="V71" s="282"/>
      <c r="W71" s="282"/>
      <c r="X71" s="282"/>
      <c r="Y71" s="282"/>
      <c r="Z71" s="282"/>
      <c r="AA71" s="282"/>
      <c r="AB71" s="282"/>
      <c r="AC71" s="282"/>
      <c r="AD71" s="282"/>
      <c r="AE71" s="282"/>
    </row>
    <row r="72" spans="1:31" x14ac:dyDescent="0.3">
      <c r="A72" s="282"/>
      <c r="B72" s="282"/>
      <c r="C72" s="282"/>
      <c r="D72" s="282"/>
      <c r="E72" s="282"/>
      <c r="F72" s="282"/>
      <c r="G72" s="282"/>
      <c r="H72" s="282"/>
      <c r="I72" s="282"/>
      <c r="J72" s="282"/>
      <c r="K72" s="282"/>
      <c r="L72" s="282"/>
      <c r="M72" s="282"/>
      <c r="N72" s="282"/>
      <c r="O72" s="282"/>
      <c r="P72" s="282"/>
      <c r="Q72" s="282"/>
      <c r="R72" s="282"/>
      <c r="S72" s="282"/>
      <c r="T72" s="282"/>
      <c r="U72" s="282"/>
      <c r="V72" s="282"/>
      <c r="W72" s="282"/>
      <c r="X72" s="282"/>
      <c r="Y72" s="282"/>
      <c r="Z72" s="282"/>
      <c r="AA72" s="282"/>
      <c r="AB72" s="282"/>
      <c r="AC72" s="282"/>
      <c r="AD72" s="282"/>
      <c r="AE72" s="282"/>
    </row>
    <row r="73" spans="1:31" x14ac:dyDescent="0.3">
      <c r="A73" s="282"/>
      <c r="B73" s="282"/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  <c r="N73" s="282"/>
      <c r="O73" s="282"/>
      <c r="P73" s="282"/>
      <c r="Q73" s="282"/>
      <c r="R73" s="282"/>
      <c r="S73" s="282"/>
      <c r="T73" s="282"/>
      <c r="U73" s="282"/>
      <c r="V73" s="282"/>
      <c r="W73" s="282"/>
      <c r="X73" s="282"/>
      <c r="Y73" s="282"/>
      <c r="Z73" s="282"/>
      <c r="AA73" s="282"/>
      <c r="AB73" s="282"/>
      <c r="AC73" s="282"/>
      <c r="AD73" s="282"/>
      <c r="AE73" s="282"/>
    </row>
    <row r="74" spans="1:31" x14ac:dyDescent="0.3">
      <c r="A74" s="282"/>
      <c r="B74" s="28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  <c r="N74" s="282"/>
      <c r="O74" s="282"/>
      <c r="P74" s="282"/>
      <c r="Q74" s="282"/>
      <c r="R74" s="282"/>
      <c r="S74" s="282"/>
      <c r="T74" s="282"/>
      <c r="U74" s="282"/>
      <c r="V74" s="282"/>
      <c r="W74" s="282"/>
      <c r="X74" s="282"/>
      <c r="Y74" s="282"/>
      <c r="Z74" s="282"/>
      <c r="AA74" s="282"/>
      <c r="AB74" s="282"/>
      <c r="AC74" s="282"/>
      <c r="AD74" s="282"/>
      <c r="AE74" s="282"/>
    </row>
    <row r="75" spans="1:31" x14ac:dyDescent="0.3">
      <c r="A75" s="282"/>
      <c r="B75" s="28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  <c r="N75" s="282"/>
      <c r="O75" s="282"/>
      <c r="P75" s="282"/>
      <c r="Q75" s="282"/>
      <c r="R75" s="282"/>
      <c r="S75" s="282"/>
      <c r="T75" s="282"/>
      <c r="U75" s="282"/>
      <c r="V75" s="282"/>
      <c r="W75" s="282"/>
      <c r="X75" s="282"/>
      <c r="Y75" s="282"/>
      <c r="Z75" s="282"/>
      <c r="AA75" s="282"/>
      <c r="AB75" s="282"/>
      <c r="AC75" s="282"/>
      <c r="AD75" s="282"/>
      <c r="AE75" s="282"/>
    </row>
    <row r="76" spans="1:31" x14ac:dyDescent="0.3">
      <c r="H76" s="282"/>
      <c r="I76" s="282"/>
      <c r="J76" s="282"/>
      <c r="K76" s="282"/>
      <c r="L76" s="282"/>
      <c r="M76" s="282"/>
      <c r="N76" s="282"/>
      <c r="O76" s="282"/>
      <c r="P76" s="282"/>
      <c r="Q76" s="282"/>
      <c r="R76" s="282"/>
      <c r="S76" s="282"/>
      <c r="T76" s="282"/>
      <c r="U76" s="282"/>
      <c r="V76" s="282"/>
      <c r="W76" s="282"/>
      <c r="X76" s="282"/>
      <c r="Y76" s="282"/>
      <c r="Z76" s="282"/>
      <c r="AA76" s="282"/>
      <c r="AB76" s="282"/>
      <c r="AC76" s="282"/>
      <c r="AD76" s="282"/>
      <c r="AE76" s="282"/>
    </row>
    <row r="77" spans="1:31" x14ac:dyDescent="0.3">
      <c r="H77" s="282"/>
      <c r="I77" s="282"/>
      <c r="J77" s="282"/>
      <c r="K77" s="282"/>
      <c r="L77" s="282"/>
      <c r="M77" s="282"/>
      <c r="N77" s="282"/>
      <c r="O77" s="282"/>
      <c r="P77" s="282"/>
      <c r="Q77" s="282"/>
      <c r="R77" s="282"/>
      <c r="S77" s="282"/>
      <c r="T77" s="282"/>
      <c r="U77" s="282"/>
      <c r="V77" s="282"/>
      <c r="W77" s="282"/>
      <c r="X77" s="282"/>
      <c r="Y77" s="282"/>
      <c r="Z77" s="282"/>
      <c r="AA77" s="282"/>
      <c r="AB77" s="282"/>
      <c r="AC77" s="282"/>
      <c r="AD77" s="282"/>
      <c r="AE77" s="282"/>
    </row>
    <row r="78" spans="1:31" x14ac:dyDescent="0.3">
      <c r="H78" s="282"/>
      <c r="I78" s="282"/>
      <c r="J78" s="282"/>
      <c r="K78" s="282"/>
      <c r="L78" s="282"/>
      <c r="M78" s="282"/>
      <c r="N78" s="282"/>
      <c r="O78" s="282"/>
      <c r="P78" s="282"/>
      <c r="Q78" s="282"/>
      <c r="R78" s="282"/>
      <c r="S78" s="282"/>
      <c r="T78" s="282"/>
      <c r="U78" s="282"/>
      <c r="V78" s="282"/>
      <c r="W78" s="282"/>
      <c r="X78" s="282"/>
      <c r="Y78" s="282"/>
      <c r="Z78" s="282"/>
      <c r="AA78" s="282"/>
      <c r="AB78" s="282"/>
      <c r="AC78" s="282"/>
      <c r="AD78" s="282"/>
      <c r="AE78" s="282"/>
    </row>
    <row r="79" spans="1:31" x14ac:dyDescent="0.3">
      <c r="H79" s="282"/>
      <c r="I79" s="282"/>
      <c r="J79" s="282"/>
      <c r="K79" s="282"/>
      <c r="L79" s="282"/>
      <c r="M79" s="282"/>
      <c r="N79" s="282"/>
      <c r="O79" s="282"/>
      <c r="P79" s="282"/>
      <c r="Q79" s="282"/>
      <c r="R79" s="282"/>
      <c r="S79" s="282"/>
      <c r="T79" s="282"/>
      <c r="U79" s="282"/>
      <c r="V79" s="282"/>
      <c r="W79" s="282"/>
      <c r="X79" s="282"/>
      <c r="Y79" s="282"/>
      <c r="Z79" s="282"/>
      <c r="AA79" s="282"/>
      <c r="AB79" s="282"/>
      <c r="AC79" s="282"/>
      <c r="AD79" s="282"/>
      <c r="AE79" s="282"/>
    </row>
    <row r="80" spans="1:31" x14ac:dyDescent="0.3">
      <c r="H80" s="282"/>
      <c r="I80" s="282"/>
      <c r="J80" s="282"/>
      <c r="K80" s="282"/>
      <c r="L80" s="282"/>
      <c r="M80" s="282"/>
      <c r="N80" s="282"/>
      <c r="O80" s="282"/>
      <c r="P80" s="282"/>
      <c r="Q80" s="282"/>
      <c r="R80" s="282"/>
      <c r="S80" s="282"/>
      <c r="T80" s="282"/>
      <c r="U80" s="282"/>
      <c r="V80" s="282"/>
      <c r="W80" s="282"/>
      <c r="X80" s="282"/>
      <c r="Y80" s="282"/>
      <c r="Z80" s="282"/>
      <c r="AA80" s="282"/>
      <c r="AB80" s="282"/>
      <c r="AC80" s="282"/>
      <c r="AD80" s="282"/>
      <c r="AE80" s="282"/>
    </row>
    <row r="81" spans="8:31" x14ac:dyDescent="0.3">
      <c r="H81" s="282"/>
      <c r="I81" s="282"/>
      <c r="J81" s="282"/>
      <c r="K81" s="282"/>
      <c r="L81" s="282"/>
      <c r="M81" s="282"/>
      <c r="N81" s="282"/>
      <c r="O81" s="282"/>
      <c r="P81" s="282"/>
      <c r="Q81" s="282"/>
      <c r="R81" s="282"/>
      <c r="S81" s="282"/>
      <c r="T81" s="282"/>
      <c r="U81" s="282"/>
      <c r="V81" s="282"/>
      <c r="W81" s="282"/>
      <c r="X81" s="282"/>
      <c r="Y81" s="282"/>
      <c r="Z81" s="282"/>
      <c r="AA81" s="282"/>
      <c r="AB81" s="282"/>
      <c r="AC81" s="282"/>
      <c r="AD81" s="282"/>
      <c r="AE81" s="282"/>
    </row>
    <row r="82" spans="8:31" x14ac:dyDescent="0.3">
      <c r="H82" s="282"/>
      <c r="I82" s="282"/>
      <c r="J82" s="282"/>
      <c r="K82" s="282"/>
      <c r="L82" s="282"/>
      <c r="M82" s="282"/>
      <c r="N82" s="282"/>
      <c r="O82" s="282"/>
      <c r="P82" s="282"/>
      <c r="Q82" s="282"/>
      <c r="R82" s="282"/>
      <c r="S82" s="282"/>
      <c r="T82" s="282"/>
      <c r="U82" s="282"/>
      <c r="V82" s="282"/>
      <c r="W82" s="282"/>
      <c r="X82" s="282"/>
      <c r="Y82" s="282"/>
      <c r="Z82" s="282"/>
      <c r="AA82" s="282"/>
      <c r="AB82" s="282"/>
      <c r="AC82" s="282"/>
      <c r="AD82" s="282"/>
      <c r="AE82" s="282"/>
    </row>
    <row r="83" spans="8:31" x14ac:dyDescent="0.3">
      <c r="H83" s="282"/>
      <c r="I83" s="282"/>
      <c r="J83" s="282"/>
      <c r="K83" s="282"/>
      <c r="L83" s="282"/>
      <c r="M83" s="282"/>
      <c r="N83" s="282"/>
      <c r="O83" s="282"/>
      <c r="P83" s="282"/>
      <c r="Q83" s="282"/>
      <c r="R83" s="282"/>
      <c r="S83" s="282"/>
      <c r="T83" s="282"/>
      <c r="U83" s="282"/>
      <c r="V83" s="282"/>
      <c r="W83" s="282"/>
      <c r="X83" s="282"/>
      <c r="Y83" s="282"/>
      <c r="Z83" s="282"/>
      <c r="AA83" s="282"/>
      <c r="AB83" s="282"/>
      <c r="AC83" s="282"/>
      <c r="AD83" s="282"/>
      <c r="AE83" s="282"/>
    </row>
    <row r="84" spans="8:31" x14ac:dyDescent="0.3">
      <c r="H84" s="282"/>
      <c r="I84" s="282"/>
      <c r="J84" s="282"/>
      <c r="K84" s="282"/>
      <c r="L84" s="282"/>
      <c r="M84" s="282"/>
      <c r="N84" s="282"/>
      <c r="O84" s="282"/>
      <c r="P84" s="282"/>
      <c r="Q84" s="282"/>
      <c r="R84" s="282"/>
      <c r="S84" s="282"/>
      <c r="T84" s="282"/>
      <c r="U84" s="282"/>
      <c r="V84" s="282"/>
      <c r="W84" s="282"/>
      <c r="X84" s="282"/>
      <c r="Y84" s="282"/>
      <c r="Z84" s="282"/>
      <c r="AA84" s="282"/>
      <c r="AB84" s="282"/>
      <c r="AC84" s="282"/>
      <c r="AD84" s="282"/>
      <c r="AE84" s="282"/>
    </row>
    <row r="85" spans="8:31" x14ac:dyDescent="0.3">
      <c r="H85" s="282"/>
      <c r="I85" s="282"/>
      <c r="J85" s="282"/>
      <c r="K85" s="282"/>
      <c r="L85" s="282"/>
      <c r="M85" s="282"/>
      <c r="N85" s="282"/>
      <c r="O85" s="282"/>
      <c r="P85" s="282"/>
      <c r="Q85" s="282"/>
      <c r="R85" s="282"/>
      <c r="S85" s="282"/>
      <c r="T85" s="282"/>
      <c r="U85" s="282"/>
      <c r="V85" s="282"/>
      <c r="W85" s="282"/>
      <c r="X85" s="282"/>
      <c r="Y85" s="282"/>
      <c r="Z85" s="282"/>
      <c r="AA85" s="282"/>
      <c r="AB85" s="282"/>
      <c r="AC85" s="282"/>
      <c r="AD85" s="282"/>
      <c r="AE85" s="282"/>
    </row>
    <row r="86" spans="8:31" x14ac:dyDescent="0.3">
      <c r="H86" s="282"/>
      <c r="I86" s="282"/>
      <c r="J86" s="282"/>
      <c r="K86" s="282"/>
      <c r="L86" s="282"/>
      <c r="M86" s="282"/>
      <c r="N86" s="282"/>
      <c r="O86" s="282"/>
      <c r="P86" s="282"/>
      <c r="Q86" s="282"/>
      <c r="R86" s="282"/>
      <c r="S86" s="282"/>
      <c r="T86" s="282"/>
      <c r="U86" s="282"/>
      <c r="V86" s="282"/>
      <c r="W86" s="282"/>
      <c r="X86" s="282"/>
      <c r="Y86" s="282"/>
      <c r="Z86" s="282"/>
      <c r="AA86" s="282"/>
      <c r="AB86" s="282"/>
      <c r="AC86" s="282"/>
      <c r="AD86" s="282"/>
      <c r="AE86" s="282"/>
    </row>
    <row r="87" spans="8:31" x14ac:dyDescent="0.3">
      <c r="H87" s="282"/>
      <c r="I87" s="282"/>
      <c r="J87" s="282"/>
      <c r="K87" s="282"/>
      <c r="L87" s="282"/>
      <c r="M87" s="282"/>
      <c r="N87" s="282"/>
      <c r="O87" s="282"/>
      <c r="P87" s="282"/>
      <c r="Q87" s="282"/>
      <c r="R87" s="282"/>
      <c r="S87" s="282"/>
      <c r="T87" s="282"/>
      <c r="U87" s="282"/>
      <c r="V87" s="282"/>
      <c r="W87" s="282"/>
      <c r="X87" s="282"/>
      <c r="Y87" s="282"/>
      <c r="Z87" s="282"/>
      <c r="AA87" s="282"/>
      <c r="AB87" s="282"/>
      <c r="AC87" s="282"/>
      <c r="AD87" s="282"/>
      <c r="AE87" s="282"/>
    </row>
    <row r="88" spans="8:31" x14ac:dyDescent="0.3">
      <c r="H88" s="282"/>
      <c r="I88" s="282"/>
      <c r="J88" s="282"/>
      <c r="K88" s="282"/>
      <c r="L88" s="282"/>
      <c r="M88" s="282"/>
      <c r="N88" s="282"/>
      <c r="O88" s="282"/>
      <c r="P88" s="282"/>
      <c r="Q88" s="282"/>
      <c r="R88" s="282"/>
      <c r="S88" s="282"/>
      <c r="T88" s="282"/>
      <c r="U88" s="282"/>
      <c r="V88" s="282"/>
      <c r="W88" s="282"/>
      <c r="X88" s="282"/>
      <c r="Y88" s="282"/>
      <c r="Z88" s="282"/>
      <c r="AA88" s="282"/>
      <c r="AB88" s="282"/>
      <c r="AC88" s="282"/>
      <c r="AD88" s="282"/>
      <c r="AE88" s="282"/>
    </row>
    <row r="89" spans="8:31" x14ac:dyDescent="0.3">
      <c r="H89" s="282"/>
      <c r="I89" s="282"/>
      <c r="J89" s="282"/>
      <c r="K89" s="282"/>
      <c r="L89" s="282"/>
      <c r="M89" s="282"/>
      <c r="N89" s="282"/>
      <c r="O89" s="282"/>
      <c r="P89" s="282"/>
      <c r="Q89" s="282"/>
      <c r="R89" s="282"/>
      <c r="S89" s="282"/>
      <c r="T89" s="282"/>
      <c r="U89" s="282"/>
      <c r="V89" s="282"/>
      <c r="W89" s="282"/>
      <c r="X89" s="282"/>
      <c r="Y89" s="282"/>
      <c r="Z89" s="282"/>
      <c r="AA89" s="282"/>
      <c r="AB89" s="282"/>
      <c r="AC89" s="282"/>
      <c r="AD89" s="282"/>
      <c r="AE89" s="282"/>
    </row>
    <row r="90" spans="8:31" x14ac:dyDescent="0.3">
      <c r="H90" s="282"/>
      <c r="I90" s="282"/>
      <c r="J90" s="282"/>
      <c r="K90" s="282"/>
      <c r="L90" s="282"/>
      <c r="M90" s="282"/>
      <c r="N90" s="282"/>
      <c r="O90" s="282"/>
      <c r="P90" s="282"/>
      <c r="Q90" s="282"/>
      <c r="R90" s="282"/>
      <c r="S90" s="282"/>
      <c r="T90" s="282"/>
      <c r="U90" s="282"/>
      <c r="V90" s="282"/>
      <c r="W90" s="282"/>
      <c r="X90" s="282"/>
      <c r="Y90" s="282"/>
      <c r="Z90" s="282"/>
      <c r="AA90" s="282"/>
      <c r="AB90" s="282"/>
      <c r="AC90" s="282"/>
      <c r="AD90" s="282"/>
      <c r="AE90" s="282"/>
    </row>
    <row r="91" spans="8:31" x14ac:dyDescent="0.3">
      <c r="H91" s="282"/>
      <c r="I91" s="282"/>
      <c r="J91" s="282"/>
      <c r="K91" s="282"/>
      <c r="L91" s="282"/>
      <c r="M91" s="282"/>
      <c r="N91" s="282"/>
      <c r="O91" s="282"/>
      <c r="P91" s="282"/>
      <c r="Q91" s="282"/>
      <c r="R91" s="282"/>
      <c r="S91" s="282"/>
      <c r="T91" s="282"/>
      <c r="U91" s="282"/>
      <c r="V91" s="282"/>
      <c r="W91" s="282"/>
      <c r="X91" s="282"/>
      <c r="Y91" s="282"/>
      <c r="Z91" s="282"/>
      <c r="AA91" s="282"/>
      <c r="AB91" s="282"/>
      <c r="AC91" s="282"/>
      <c r="AD91" s="282"/>
      <c r="AE91" s="282"/>
    </row>
    <row r="92" spans="8:31" x14ac:dyDescent="0.3">
      <c r="H92" s="282"/>
      <c r="I92" s="282"/>
      <c r="J92" s="282"/>
      <c r="K92" s="282"/>
      <c r="L92" s="282"/>
      <c r="M92" s="282"/>
      <c r="N92" s="282"/>
      <c r="O92" s="282"/>
      <c r="P92" s="282"/>
      <c r="Q92" s="282"/>
      <c r="R92" s="282"/>
      <c r="S92" s="282"/>
      <c r="T92" s="282"/>
      <c r="U92" s="282"/>
      <c r="V92" s="282"/>
      <c r="W92" s="282"/>
      <c r="X92" s="282"/>
      <c r="Y92" s="282"/>
      <c r="Z92" s="282"/>
      <c r="AA92" s="282"/>
      <c r="AB92" s="282"/>
      <c r="AC92" s="282"/>
      <c r="AD92" s="282"/>
      <c r="AE92" s="282"/>
    </row>
    <row r="93" spans="8:31" x14ac:dyDescent="0.3">
      <c r="H93" s="282"/>
      <c r="I93" s="282"/>
      <c r="J93" s="282"/>
      <c r="K93" s="282"/>
      <c r="L93" s="282"/>
      <c r="M93" s="282"/>
      <c r="N93" s="282"/>
      <c r="O93" s="282"/>
      <c r="P93" s="282"/>
      <c r="Q93" s="282"/>
      <c r="R93" s="282"/>
      <c r="S93" s="282"/>
      <c r="T93" s="282"/>
      <c r="U93" s="282"/>
      <c r="V93" s="282"/>
      <c r="W93" s="282"/>
      <c r="X93" s="282"/>
      <c r="Y93" s="282"/>
      <c r="Z93" s="282"/>
      <c r="AA93" s="282"/>
      <c r="AB93" s="282"/>
      <c r="AC93" s="282"/>
      <c r="AD93" s="282"/>
      <c r="AE93" s="282"/>
    </row>
    <row r="94" spans="8:31" x14ac:dyDescent="0.3">
      <c r="H94" s="282"/>
      <c r="I94" s="282"/>
      <c r="J94" s="282"/>
      <c r="K94" s="282"/>
      <c r="L94" s="282"/>
      <c r="M94" s="282"/>
      <c r="N94" s="282"/>
      <c r="O94" s="282"/>
      <c r="P94" s="282"/>
      <c r="Q94" s="282"/>
      <c r="R94" s="282"/>
      <c r="S94" s="282"/>
      <c r="T94" s="282"/>
      <c r="U94" s="282"/>
      <c r="V94" s="282"/>
      <c r="W94" s="282"/>
      <c r="X94" s="282"/>
      <c r="Y94" s="282"/>
      <c r="Z94" s="282"/>
      <c r="AA94" s="282"/>
      <c r="AB94" s="282"/>
      <c r="AC94" s="282"/>
      <c r="AD94" s="282"/>
      <c r="AE94" s="282"/>
    </row>
    <row r="95" spans="8:31" x14ac:dyDescent="0.3">
      <c r="H95" s="282"/>
      <c r="I95" s="282"/>
      <c r="J95" s="282"/>
      <c r="K95" s="282"/>
      <c r="L95" s="282"/>
      <c r="M95" s="282"/>
      <c r="N95" s="282"/>
      <c r="O95" s="282"/>
      <c r="P95" s="282"/>
      <c r="Q95" s="282"/>
      <c r="R95" s="282"/>
      <c r="S95" s="282"/>
      <c r="T95" s="282"/>
      <c r="U95" s="282"/>
      <c r="V95" s="282"/>
      <c r="W95" s="282"/>
      <c r="X95" s="282"/>
      <c r="Y95" s="282"/>
      <c r="Z95" s="282"/>
      <c r="AA95" s="282"/>
      <c r="AB95" s="282"/>
      <c r="AC95" s="282"/>
      <c r="AD95" s="282"/>
      <c r="AE95" s="282"/>
    </row>
    <row r="96" spans="8:31" x14ac:dyDescent="0.3">
      <c r="H96" s="282"/>
      <c r="I96" s="282"/>
      <c r="J96" s="282"/>
      <c r="K96" s="282"/>
      <c r="L96" s="282"/>
      <c r="M96" s="282"/>
      <c r="N96" s="282"/>
      <c r="O96" s="282"/>
      <c r="P96" s="282"/>
      <c r="Q96" s="282"/>
      <c r="R96" s="282"/>
      <c r="S96" s="282"/>
      <c r="T96" s="282"/>
      <c r="U96" s="282"/>
      <c r="V96" s="282"/>
      <c r="W96" s="282"/>
      <c r="X96" s="282"/>
      <c r="Y96" s="282"/>
      <c r="Z96" s="282"/>
      <c r="AA96" s="282"/>
      <c r="AB96" s="282"/>
      <c r="AC96" s="282"/>
      <c r="AD96" s="282"/>
      <c r="AE96" s="282"/>
    </row>
    <row r="97" spans="8:31" x14ac:dyDescent="0.3">
      <c r="H97" s="282"/>
      <c r="I97" s="282"/>
      <c r="J97" s="282"/>
      <c r="K97" s="282"/>
      <c r="L97" s="282"/>
      <c r="M97" s="282"/>
      <c r="N97" s="282"/>
      <c r="O97" s="282"/>
      <c r="P97" s="282"/>
      <c r="Q97" s="282"/>
      <c r="R97" s="282"/>
      <c r="S97" s="282"/>
      <c r="T97" s="282"/>
      <c r="U97" s="282"/>
      <c r="V97" s="282"/>
      <c r="W97" s="282"/>
      <c r="X97" s="282"/>
      <c r="Y97" s="282"/>
      <c r="Z97" s="282"/>
      <c r="AA97" s="282"/>
      <c r="AB97" s="282"/>
      <c r="AC97" s="282"/>
      <c r="AD97" s="282"/>
      <c r="AE97" s="282"/>
    </row>
    <row r="98" spans="8:31" x14ac:dyDescent="0.3">
      <c r="H98" s="282"/>
      <c r="I98" s="282"/>
      <c r="J98" s="282"/>
      <c r="K98" s="282"/>
      <c r="L98" s="282"/>
      <c r="M98" s="282"/>
      <c r="N98" s="282"/>
      <c r="O98" s="282"/>
      <c r="P98" s="282"/>
      <c r="Q98" s="282"/>
      <c r="R98" s="282"/>
      <c r="S98" s="282"/>
      <c r="T98" s="282"/>
      <c r="U98" s="282"/>
      <c r="V98" s="282"/>
      <c r="W98" s="282"/>
      <c r="X98" s="282"/>
      <c r="Y98" s="282"/>
      <c r="Z98" s="282"/>
      <c r="AA98" s="282"/>
      <c r="AB98" s="282"/>
      <c r="AC98" s="282"/>
      <c r="AD98" s="282"/>
      <c r="AE98" s="282"/>
    </row>
    <row r="99" spans="8:31" x14ac:dyDescent="0.3">
      <c r="H99" s="282"/>
      <c r="I99" s="282"/>
      <c r="J99" s="282"/>
      <c r="K99" s="282"/>
      <c r="L99" s="282"/>
      <c r="M99" s="282"/>
      <c r="N99" s="282"/>
      <c r="O99" s="282"/>
      <c r="P99" s="282"/>
      <c r="Q99" s="282"/>
      <c r="R99" s="282"/>
      <c r="S99" s="282"/>
      <c r="T99" s="282"/>
      <c r="U99" s="282"/>
      <c r="V99" s="282"/>
      <c r="W99" s="282"/>
      <c r="X99" s="282"/>
      <c r="Y99" s="282"/>
      <c r="Z99" s="282"/>
      <c r="AA99" s="282"/>
      <c r="AB99" s="282"/>
      <c r="AC99" s="282"/>
      <c r="AD99" s="282"/>
      <c r="AE99" s="282"/>
    </row>
    <row r="100" spans="8:31" x14ac:dyDescent="0.3">
      <c r="H100" s="282"/>
      <c r="I100" s="282"/>
      <c r="J100" s="282"/>
      <c r="K100" s="282"/>
      <c r="L100" s="282"/>
      <c r="M100" s="282"/>
      <c r="N100" s="282"/>
      <c r="O100" s="282"/>
      <c r="P100" s="282"/>
      <c r="Q100" s="282"/>
      <c r="R100" s="282"/>
      <c r="S100" s="282"/>
      <c r="T100" s="282"/>
      <c r="U100" s="282"/>
      <c r="V100" s="282"/>
      <c r="W100" s="282"/>
      <c r="X100" s="282"/>
      <c r="Y100" s="282"/>
      <c r="Z100" s="282"/>
      <c r="AA100" s="282"/>
      <c r="AB100" s="282"/>
      <c r="AC100" s="282"/>
      <c r="AD100" s="282"/>
      <c r="AE100" s="282"/>
    </row>
    <row r="101" spans="8:31" x14ac:dyDescent="0.3">
      <c r="H101" s="282"/>
      <c r="I101" s="282"/>
      <c r="J101" s="282"/>
      <c r="K101" s="282"/>
      <c r="L101" s="282"/>
      <c r="M101" s="282"/>
      <c r="N101" s="282"/>
      <c r="O101" s="282"/>
      <c r="P101" s="282"/>
      <c r="Q101" s="282"/>
      <c r="R101" s="282"/>
      <c r="S101" s="282"/>
      <c r="T101" s="282"/>
      <c r="U101" s="282"/>
      <c r="V101" s="282"/>
      <c r="W101" s="282"/>
      <c r="X101" s="282"/>
      <c r="Y101" s="282"/>
      <c r="Z101" s="282"/>
      <c r="AA101" s="282"/>
      <c r="AB101" s="282"/>
      <c r="AC101" s="282"/>
      <c r="AD101" s="282"/>
      <c r="AE101" s="282"/>
    </row>
    <row r="102" spans="8:31" x14ac:dyDescent="0.3">
      <c r="H102" s="282"/>
      <c r="I102" s="282"/>
      <c r="J102" s="282"/>
      <c r="K102" s="282"/>
      <c r="L102" s="282"/>
      <c r="M102" s="282"/>
      <c r="N102" s="282"/>
      <c r="O102" s="282"/>
      <c r="P102" s="282"/>
      <c r="Q102" s="282"/>
      <c r="R102" s="282"/>
      <c r="S102" s="282"/>
      <c r="T102" s="282"/>
      <c r="U102" s="282"/>
      <c r="V102" s="282"/>
      <c r="W102" s="282"/>
      <c r="X102" s="282"/>
      <c r="Y102" s="282"/>
      <c r="Z102" s="282"/>
      <c r="AA102" s="282"/>
      <c r="AB102" s="282"/>
      <c r="AC102" s="282"/>
      <c r="AD102" s="282"/>
      <c r="AE102" s="282"/>
    </row>
  </sheetData>
  <sheetProtection algorithmName="SHA-512" hashValue="6Zz+FXaA/DQ46KMjGcKK4d8IbNmz9u6w5iRoNGXMIkDRO2zsknPA59H43vwh4icXQsINrFnzhxtFIQHlkkdcpA==" saltValue="8qyWaPlheFTZ9iZTUCFt3w==" spinCount="100000" sheet="1" selectLockedCells="1"/>
  <mergeCells count="19">
    <mergeCell ref="B50:F50"/>
    <mergeCell ref="C36:E37"/>
    <mergeCell ref="B38:B39"/>
    <mergeCell ref="C38:E39"/>
    <mergeCell ref="B40:B41"/>
    <mergeCell ref="B42:E43"/>
    <mergeCell ref="B45:F45"/>
    <mergeCell ref="B32:B33"/>
    <mergeCell ref="C32:E32"/>
    <mergeCell ref="C33:E33"/>
    <mergeCell ref="B34:B35"/>
    <mergeCell ref="C34:E34"/>
    <mergeCell ref="C35:E35"/>
    <mergeCell ref="B30:E31"/>
    <mergeCell ref="B13:G13"/>
    <mergeCell ref="E18:G20"/>
    <mergeCell ref="E21:G23"/>
    <mergeCell ref="D25:E25"/>
    <mergeCell ref="B26:G27"/>
  </mergeCells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EAEB7-ABE7-4236-9E6C-E70FD00DC6E4}">
  <dimension ref="A1:BH107"/>
  <sheetViews>
    <sheetView topLeftCell="A2" zoomScale="175" zoomScaleNormal="175" workbookViewId="0">
      <selection activeCell="D61" sqref="D61:D64"/>
    </sheetView>
  </sheetViews>
  <sheetFormatPr defaultRowHeight="16.5" x14ac:dyDescent="0.3"/>
  <cols>
    <col min="1" max="1" width="14.375" bestFit="1" customWidth="1"/>
    <col min="2" max="2" width="14.375" customWidth="1"/>
    <col min="3" max="3" width="12" customWidth="1"/>
    <col min="4" max="4" width="13.625" customWidth="1"/>
    <col min="5" max="5" width="10.25" customWidth="1"/>
    <col min="6" max="6" width="9.875" customWidth="1"/>
    <col min="7" max="7" width="11" bestFit="1" customWidth="1"/>
    <col min="8" max="9" width="15.125" bestFit="1" customWidth="1"/>
    <col min="10" max="10" width="10.75" customWidth="1"/>
    <col min="11" max="11" width="7.5" customWidth="1"/>
    <col min="12" max="12" width="4.875" customWidth="1"/>
    <col min="13" max="13" width="3.5" customWidth="1"/>
    <col min="14" max="14" width="7.125" bestFit="1" customWidth="1"/>
    <col min="15" max="15" width="5.25" bestFit="1" customWidth="1"/>
    <col min="16" max="16" width="8.375" bestFit="1" customWidth="1"/>
    <col min="17" max="18" width="7.125" bestFit="1" customWidth="1"/>
    <col min="19" max="19" width="11" bestFit="1" customWidth="1"/>
    <col min="21" max="21" width="8.375" bestFit="1" customWidth="1"/>
    <col min="22" max="22" width="11" bestFit="1" customWidth="1"/>
    <col min="23" max="23" width="11.75" bestFit="1" customWidth="1"/>
    <col min="24" max="24" width="7.125" customWidth="1"/>
  </cols>
  <sheetData>
    <row r="1" spans="1:59" x14ac:dyDescent="0.3">
      <c r="A1" s="830" t="s">
        <v>227</v>
      </c>
      <c r="B1" s="831"/>
      <c r="C1" s="831"/>
      <c r="D1" s="831"/>
      <c r="E1" s="831"/>
      <c r="F1" s="832"/>
      <c r="H1" s="827" t="s">
        <v>228</v>
      </c>
      <c r="I1" s="828"/>
      <c r="J1" s="828"/>
      <c r="K1" s="829"/>
    </row>
    <row r="2" spans="1:59" ht="17.25" thickBot="1" x14ac:dyDescent="0.35">
      <c r="A2" s="833"/>
      <c r="B2" s="834"/>
      <c r="C2" s="834"/>
      <c r="D2" s="834"/>
      <c r="E2" s="834"/>
      <c r="F2" s="835"/>
      <c r="H2" s="52" t="s">
        <v>231</v>
      </c>
      <c r="I2" s="64" t="s">
        <v>232</v>
      </c>
      <c r="J2" s="51"/>
      <c r="K2" s="53"/>
    </row>
    <row r="3" spans="1:59" ht="17.25" hidden="1" thickBot="1" x14ac:dyDescent="0.35">
      <c r="B3" t="s">
        <v>127</v>
      </c>
      <c r="C3" t="s">
        <v>128</v>
      </c>
      <c r="D3" t="s">
        <v>129</v>
      </c>
      <c r="E3" t="s">
        <v>130</v>
      </c>
      <c r="F3" t="s">
        <v>131</v>
      </c>
      <c r="G3" t="s">
        <v>132</v>
      </c>
      <c r="H3" s="52" t="s">
        <v>133</v>
      </c>
      <c r="I3" s="51" t="s">
        <v>134</v>
      </c>
      <c r="J3" s="51" t="s">
        <v>135</v>
      </c>
      <c r="K3" s="53" t="s">
        <v>136</v>
      </c>
      <c r="L3" t="s">
        <v>137</v>
      </c>
      <c r="M3" t="s">
        <v>138</v>
      </c>
      <c r="N3" t="s">
        <v>139</v>
      </c>
      <c r="O3" t="s">
        <v>140</v>
      </c>
      <c r="P3" t="s">
        <v>141</v>
      </c>
      <c r="Q3" t="s">
        <v>142</v>
      </c>
      <c r="R3" t="s">
        <v>143</v>
      </c>
      <c r="S3" t="s">
        <v>144</v>
      </c>
      <c r="T3" t="s">
        <v>145</v>
      </c>
      <c r="U3" t="s">
        <v>146</v>
      </c>
      <c r="V3" t="s">
        <v>147</v>
      </c>
      <c r="W3" t="s">
        <v>148</v>
      </c>
      <c r="X3" t="s">
        <v>149</v>
      </c>
      <c r="Y3" t="s">
        <v>150</v>
      </c>
      <c r="Z3" t="s">
        <v>151</v>
      </c>
      <c r="AA3" t="s">
        <v>152</v>
      </c>
      <c r="AB3" t="s">
        <v>153</v>
      </c>
      <c r="AC3" t="s">
        <v>154</v>
      </c>
      <c r="AD3" t="s">
        <v>155</v>
      </c>
      <c r="AE3" t="s">
        <v>156</v>
      </c>
      <c r="AF3" t="s">
        <v>157</v>
      </c>
      <c r="AG3" t="s">
        <v>158</v>
      </c>
      <c r="AH3" t="s">
        <v>159</v>
      </c>
      <c r="AI3" t="s">
        <v>160</v>
      </c>
      <c r="AJ3" t="s">
        <v>161</v>
      </c>
      <c r="AK3" t="s">
        <v>162</v>
      </c>
      <c r="AL3" t="s">
        <v>163</v>
      </c>
      <c r="AM3" t="s">
        <v>164</v>
      </c>
      <c r="AN3" t="s">
        <v>165</v>
      </c>
      <c r="AO3" t="s">
        <v>166</v>
      </c>
      <c r="AP3" t="s">
        <v>167</v>
      </c>
      <c r="AQ3" t="s">
        <v>168</v>
      </c>
      <c r="AR3" t="s">
        <v>169</v>
      </c>
      <c r="AS3" t="s">
        <v>170</v>
      </c>
      <c r="AT3" t="s">
        <v>171</v>
      </c>
      <c r="AU3" t="s">
        <v>172</v>
      </c>
      <c r="AV3" t="s">
        <v>173</v>
      </c>
      <c r="AW3" t="s">
        <v>174</v>
      </c>
      <c r="AX3" t="s">
        <v>175</v>
      </c>
      <c r="AY3" t="s">
        <v>176</v>
      </c>
      <c r="AZ3" t="s">
        <v>177</v>
      </c>
      <c r="BA3" t="s">
        <v>178</v>
      </c>
      <c r="BB3" t="s">
        <v>179</v>
      </c>
      <c r="BC3" t="s">
        <v>180</v>
      </c>
      <c r="BD3" t="s">
        <v>181</v>
      </c>
      <c r="BE3" t="s">
        <v>182</v>
      </c>
      <c r="BF3" t="s">
        <v>147</v>
      </c>
      <c r="BG3" t="s">
        <v>183</v>
      </c>
    </row>
    <row r="4" spans="1:59" ht="17.25" hidden="1" thickBot="1" x14ac:dyDescent="0.35">
      <c r="A4" t="s">
        <v>184</v>
      </c>
      <c r="B4">
        <v>145</v>
      </c>
      <c r="C4">
        <v>58.5</v>
      </c>
      <c r="D4">
        <v>3.3</v>
      </c>
      <c r="E4">
        <v>0.2</v>
      </c>
      <c r="F4">
        <v>37.299999999999997</v>
      </c>
      <c r="H4" s="52"/>
      <c r="I4" s="51"/>
      <c r="J4" s="51">
        <v>0.7</v>
      </c>
      <c r="K4" s="53">
        <v>3</v>
      </c>
      <c r="L4">
        <v>143</v>
      </c>
      <c r="M4">
        <v>0.9</v>
      </c>
      <c r="N4">
        <v>2</v>
      </c>
      <c r="O4">
        <v>118</v>
      </c>
      <c r="P4">
        <v>0</v>
      </c>
      <c r="Q4">
        <v>0</v>
      </c>
      <c r="R4">
        <v>0.14000000000000001</v>
      </c>
      <c r="S4">
        <v>0.02</v>
      </c>
      <c r="T4">
        <v>1.1000000000000001</v>
      </c>
      <c r="U4">
        <v>0</v>
      </c>
      <c r="V4">
        <v>0</v>
      </c>
      <c r="W4">
        <v>0</v>
      </c>
      <c r="X4">
        <v>0</v>
      </c>
    </row>
    <row r="5" spans="1:59" ht="17.25" hidden="1" thickBot="1" x14ac:dyDescent="0.35">
      <c r="A5" t="s">
        <v>185</v>
      </c>
      <c r="B5">
        <v>361</v>
      </c>
      <c r="D5">
        <v>7.3</v>
      </c>
      <c r="E5">
        <v>2.8</v>
      </c>
      <c r="F5">
        <v>75.7</v>
      </c>
      <c r="G5">
        <v>4</v>
      </c>
      <c r="H5" s="52">
        <v>3.8</v>
      </c>
      <c r="I5" s="51">
        <v>0.2</v>
      </c>
      <c r="J5" s="51">
        <v>1.3</v>
      </c>
      <c r="K5" s="53">
        <v>15</v>
      </c>
      <c r="L5">
        <v>228</v>
      </c>
      <c r="M5">
        <v>1.3</v>
      </c>
      <c r="N5">
        <v>5</v>
      </c>
      <c r="O5">
        <v>218</v>
      </c>
      <c r="Q5">
        <v>0</v>
      </c>
      <c r="R5">
        <v>0.33</v>
      </c>
      <c r="S5">
        <v>0.05</v>
      </c>
      <c r="T5">
        <v>6</v>
      </c>
      <c r="U5">
        <v>0</v>
      </c>
    </row>
    <row r="6" spans="1:59" ht="17.25" hidden="1" thickBot="1" x14ac:dyDescent="0.35">
      <c r="A6" t="s">
        <v>186</v>
      </c>
      <c r="B6">
        <v>152</v>
      </c>
      <c r="C6">
        <v>63.6</v>
      </c>
      <c r="D6">
        <v>3</v>
      </c>
      <c r="E6">
        <v>0.1</v>
      </c>
      <c r="F6">
        <v>33.200000000000003</v>
      </c>
      <c r="G6" t="s">
        <v>187</v>
      </c>
      <c r="H6" s="52" t="s">
        <v>187</v>
      </c>
      <c r="I6" s="51" t="s">
        <v>187</v>
      </c>
      <c r="J6" s="51">
        <v>0.1</v>
      </c>
      <c r="K6" s="53">
        <v>2</v>
      </c>
      <c r="L6">
        <v>23</v>
      </c>
      <c r="M6">
        <v>0.4</v>
      </c>
      <c r="N6">
        <v>3</v>
      </c>
      <c r="O6">
        <v>19</v>
      </c>
      <c r="P6">
        <v>0</v>
      </c>
      <c r="Q6">
        <v>0</v>
      </c>
      <c r="R6">
        <v>0.02</v>
      </c>
      <c r="S6">
        <v>0.01</v>
      </c>
      <c r="T6">
        <v>0.3</v>
      </c>
      <c r="U6">
        <v>0</v>
      </c>
      <c r="V6">
        <v>0</v>
      </c>
      <c r="W6">
        <v>91</v>
      </c>
      <c r="X6">
        <v>190</v>
      </c>
      <c r="Y6">
        <v>83</v>
      </c>
      <c r="Z6">
        <v>61</v>
      </c>
      <c r="AA6">
        <v>53</v>
      </c>
      <c r="AB6">
        <v>120</v>
      </c>
      <c r="AC6">
        <v>96</v>
      </c>
      <c r="AD6">
        <v>84</v>
      </c>
      <c r="AE6">
        <v>35</v>
      </c>
      <c r="AF6">
        <v>130</v>
      </c>
      <c r="AG6">
        <v>61</v>
      </c>
      <c r="AH6">
        <v>190</v>
      </c>
      <c r="AI6">
        <v>130</v>
      </c>
      <c r="AJ6">
        <v>220</v>
      </c>
      <c r="AK6">
        <v>410</v>
      </c>
      <c r="AL6">
        <v>110</v>
      </c>
      <c r="AM6">
        <v>110</v>
      </c>
      <c r="AN6">
        <v>130</v>
      </c>
      <c r="AO6" t="s">
        <v>187</v>
      </c>
      <c r="AP6">
        <v>0</v>
      </c>
      <c r="AQ6">
        <v>0</v>
      </c>
    </row>
    <row r="7" spans="1:59" ht="17.25" hidden="1" thickBot="1" x14ac:dyDescent="0.35">
      <c r="A7" t="s">
        <v>188</v>
      </c>
      <c r="B7">
        <v>363</v>
      </c>
      <c r="C7">
        <v>13.4</v>
      </c>
      <c r="D7">
        <v>6.4</v>
      </c>
      <c r="E7">
        <v>0.4</v>
      </c>
      <c r="F7">
        <v>79.5</v>
      </c>
      <c r="G7" t="s">
        <v>187</v>
      </c>
      <c r="H7" s="52" t="s">
        <v>187</v>
      </c>
      <c r="I7" s="51" t="s">
        <v>187</v>
      </c>
      <c r="J7" s="51">
        <v>0.4</v>
      </c>
      <c r="K7" s="53">
        <v>7</v>
      </c>
      <c r="L7">
        <v>87</v>
      </c>
      <c r="M7">
        <v>1.3</v>
      </c>
      <c r="N7">
        <v>8</v>
      </c>
      <c r="O7">
        <v>170</v>
      </c>
      <c r="P7">
        <v>1</v>
      </c>
      <c r="Q7">
        <v>0</v>
      </c>
      <c r="R7">
        <v>0.23</v>
      </c>
      <c r="S7">
        <v>0.02</v>
      </c>
      <c r="T7">
        <v>1.2</v>
      </c>
      <c r="U7">
        <v>0</v>
      </c>
      <c r="V7">
        <v>0</v>
      </c>
      <c r="W7">
        <v>409</v>
      </c>
      <c r="X7">
        <v>657</v>
      </c>
      <c r="Y7">
        <v>74</v>
      </c>
      <c r="Z7">
        <v>90</v>
      </c>
      <c r="AA7">
        <v>55</v>
      </c>
      <c r="AB7">
        <v>365</v>
      </c>
      <c r="AC7">
        <v>113</v>
      </c>
      <c r="AD7">
        <v>84</v>
      </c>
      <c r="AE7">
        <v>35</v>
      </c>
      <c r="AF7">
        <v>646</v>
      </c>
      <c r="AG7">
        <v>132</v>
      </c>
      <c r="AH7">
        <v>504</v>
      </c>
      <c r="AI7">
        <v>669</v>
      </c>
      <c r="AJ7">
        <v>535</v>
      </c>
      <c r="AK7">
        <v>554</v>
      </c>
      <c r="AL7">
        <v>25</v>
      </c>
      <c r="AM7">
        <v>806</v>
      </c>
      <c r="AN7">
        <v>139</v>
      </c>
      <c r="AO7" t="s">
        <v>187</v>
      </c>
      <c r="AP7">
        <v>4</v>
      </c>
      <c r="AQ7">
        <v>0</v>
      </c>
    </row>
    <row r="8" spans="1:59" ht="17.25" hidden="1" thickBot="1" x14ac:dyDescent="0.35">
      <c r="A8" t="s">
        <v>189</v>
      </c>
      <c r="B8">
        <v>348</v>
      </c>
      <c r="C8" t="e">
        <v>#N/A</v>
      </c>
      <c r="D8">
        <v>13.2</v>
      </c>
      <c r="E8">
        <v>8.1999999999999993</v>
      </c>
      <c r="F8">
        <v>64.900000000000006</v>
      </c>
      <c r="G8" t="e">
        <v>#N/A</v>
      </c>
      <c r="H8" s="52" t="e">
        <v>#N/A</v>
      </c>
      <c r="I8" s="51" t="e">
        <v>#N/A</v>
      </c>
      <c r="J8" s="51">
        <v>1.7</v>
      </c>
      <c r="K8" s="53">
        <v>60</v>
      </c>
      <c r="L8">
        <v>381</v>
      </c>
      <c r="M8">
        <v>5.8</v>
      </c>
      <c r="N8">
        <v>4</v>
      </c>
      <c r="O8">
        <v>383</v>
      </c>
      <c r="P8" t="e">
        <v>#N/A</v>
      </c>
      <c r="Q8">
        <v>0</v>
      </c>
      <c r="R8" t="s">
        <v>187</v>
      </c>
      <c r="S8">
        <v>7.0000000000000007E-2</v>
      </c>
      <c r="T8">
        <v>1.1000000000000001</v>
      </c>
      <c r="U8" t="e">
        <v>#N/A</v>
      </c>
      <c r="V8" t="s">
        <v>187</v>
      </c>
      <c r="W8" t="e">
        <v>#N/A</v>
      </c>
      <c r="X8" t="e">
        <v>#N/A</v>
      </c>
      <c r="Y8" t="e">
        <v>#N/A</v>
      </c>
      <c r="Z8" t="e">
        <v>#N/A</v>
      </c>
      <c r="AA8" t="e">
        <v>#N/A</v>
      </c>
      <c r="AB8" t="e">
        <v>#N/A</v>
      </c>
      <c r="AC8" t="e">
        <v>#N/A</v>
      </c>
      <c r="AD8" t="e">
        <v>#N/A</v>
      </c>
      <c r="AE8" t="e">
        <v>#N/A</v>
      </c>
      <c r="AF8" t="e">
        <v>#N/A</v>
      </c>
      <c r="AG8" t="e">
        <v>#N/A</v>
      </c>
      <c r="AH8" t="e">
        <v>#N/A</v>
      </c>
      <c r="AI8" t="e">
        <v>#N/A</v>
      </c>
      <c r="AJ8" t="e">
        <v>#N/A</v>
      </c>
      <c r="AK8" t="e">
        <v>#N/A</v>
      </c>
      <c r="AL8" t="e">
        <v>#N/A</v>
      </c>
      <c r="AM8" t="e">
        <v>#N/A</v>
      </c>
      <c r="AN8" t="e">
        <v>#N/A</v>
      </c>
      <c r="AO8" t="e">
        <v>#N/A</v>
      </c>
      <c r="AP8" t="e">
        <v>#N/A</v>
      </c>
      <c r="AQ8" t="e">
        <v>#N/A</v>
      </c>
    </row>
    <row r="9" spans="1:59" ht="17.25" hidden="1" thickBot="1" x14ac:dyDescent="0.35">
      <c r="A9" t="s">
        <v>190</v>
      </c>
      <c r="B9">
        <v>131</v>
      </c>
      <c r="C9">
        <v>66.3</v>
      </c>
      <c r="D9">
        <v>1.4</v>
      </c>
      <c r="E9">
        <v>0.2</v>
      </c>
      <c r="F9">
        <v>31.2</v>
      </c>
      <c r="G9">
        <v>2.6</v>
      </c>
      <c r="H9" s="52">
        <v>2.4</v>
      </c>
      <c r="I9" s="51">
        <v>0.2</v>
      </c>
      <c r="J9" s="51">
        <v>0.9</v>
      </c>
      <c r="K9" s="53">
        <v>24</v>
      </c>
      <c r="L9">
        <v>54</v>
      </c>
      <c r="M9">
        <v>0.5</v>
      </c>
      <c r="N9">
        <v>15</v>
      </c>
      <c r="O9">
        <v>429</v>
      </c>
      <c r="P9">
        <v>19</v>
      </c>
      <c r="Q9">
        <v>0</v>
      </c>
      <c r="R9">
        <v>0.06</v>
      </c>
      <c r="S9">
        <v>0.05</v>
      </c>
      <c r="T9">
        <v>0.7</v>
      </c>
      <c r="U9">
        <v>25</v>
      </c>
      <c r="V9" t="e">
        <v>#N/A</v>
      </c>
      <c r="W9" t="e">
        <v>#N/A</v>
      </c>
      <c r="X9" t="e">
        <v>#N/A</v>
      </c>
      <c r="Y9" t="e">
        <v>#N/A</v>
      </c>
      <c r="Z9" t="e">
        <v>#N/A</v>
      </c>
      <c r="AA9" t="e">
        <v>#N/A</v>
      </c>
      <c r="AB9" t="e">
        <v>#N/A</v>
      </c>
      <c r="AC9" t="e">
        <v>#N/A</v>
      </c>
      <c r="AD9" t="e">
        <v>#N/A</v>
      </c>
      <c r="AE9" t="e">
        <v>#N/A</v>
      </c>
      <c r="AF9" t="e">
        <v>#N/A</v>
      </c>
      <c r="AG9" t="e">
        <v>#N/A</v>
      </c>
      <c r="AH9" t="e">
        <v>#N/A</v>
      </c>
      <c r="AI9" t="e">
        <v>#N/A</v>
      </c>
      <c r="AJ9" t="e">
        <v>#N/A</v>
      </c>
      <c r="AK9" t="e">
        <v>#N/A</v>
      </c>
      <c r="AL9" t="e">
        <v>#N/A</v>
      </c>
      <c r="AM9" t="e">
        <v>#N/A</v>
      </c>
      <c r="AN9" t="e">
        <v>#N/A</v>
      </c>
      <c r="AO9" t="e">
        <v>#N/A</v>
      </c>
      <c r="AP9">
        <v>113</v>
      </c>
      <c r="AQ9">
        <v>0</v>
      </c>
      <c r="AR9" t="e">
        <v>#N/A</v>
      </c>
      <c r="AS9" t="e">
        <v>#N/A</v>
      </c>
      <c r="AT9" t="e">
        <v>#N/A</v>
      </c>
      <c r="AU9" t="e">
        <v>#N/A</v>
      </c>
      <c r="AV9" t="e">
        <v>#N/A</v>
      </c>
      <c r="AW9" t="e">
        <v>#N/A</v>
      </c>
      <c r="AX9" t="e">
        <v>#N/A</v>
      </c>
      <c r="AY9" t="e">
        <v>#N/A</v>
      </c>
      <c r="AZ9" t="e">
        <v>#N/A</v>
      </c>
      <c r="BA9" t="e">
        <v>#N/A</v>
      </c>
      <c r="BB9" t="e">
        <v>#N/A</v>
      </c>
      <c r="BC9" t="e">
        <v>#N/A</v>
      </c>
      <c r="BD9" t="e">
        <v>#N/A</v>
      </c>
      <c r="BE9" t="e">
        <v>#N/A</v>
      </c>
      <c r="BF9" t="e">
        <v>#N/A</v>
      </c>
      <c r="BG9" t="e">
        <v>#N/A</v>
      </c>
    </row>
    <row r="10" spans="1:59" ht="17.25" hidden="1" thickBot="1" x14ac:dyDescent="0.35">
      <c r="A10" t="s">
        <v>191</v>
      </c>
      <c r="B10">
        <v>180</v>
      </c>
      <c r="C10">
        <v>69.2</v>
      </c>
      <c r="D10">
        <v>20.2</v>
      </c>
      <c r="E10">
        <v>9.5</v>
      </c>
      <c r="F10">
        <v>1.3</v>
      </c>
      <c r="G10" t="s">
        <v>187</v>
      </c>
      <c r="H10" s="52" t="s">
        <v>187</v>
      </c>
      <c r="I10" s="51" t="s">
        <v>187</v>
      </c>
      <c r="J10" s="51">
        <v>1</v>
      </c>
      <c r="K10" s="53">
        <v>10</v>
      </c>
      <c r="L10">
        <v>163</v>
      </c>
      <c r="M10">
        <v>6.4</v>
      </c>
      <c r="N10">
        <v>108</v>
      </c>
      <c r="O10">
        <v>366</v>
      </c>
      <c r="P10">
        <v>7</v>
      </c>
      <c r="Q10">
        <v>7</v>
      </c>
      <c r="R10">
        <v>0.4</v>
      </c>
      <c r="S10">
        <v>0.1</v>
      </c>
      <c r="T10">
        <v>0.8</v>
      </c>
      <c r="U10">
        <v>0</v>
      </c>
      <c r="V10">
        <v>66</v>
      </c>
      <c r="W10" t="e">
        <v>#N/A</v>
      </c>
      <c r="X10" t="e">
        <v>#N/A</v>
      </c>
      <c r="Y10" t="e">
        <v>#N/A</v>
      </c>
      <c r="Z10" t="e">
        <v>#N/A</v>
      </c>
      <c r="AA10" t="e">
        <v>#N/A</v>
      </c>
      <c r="AB10" t="e">
        <v>#N/A</v>
      </c>
      <c r="AC10" t="e">
        <v>#N/A</v>
      </c>
      <c r="AD10" t="e">
        <v>#N/A</v>
      </c>
      <c r="AE10" t="e">
        <v>#N/A</v>
      </c>
      <c r="AF10" t="e">
        <v>#N/A</v>
      </c>
      <c r="AG10" t="e">
        <v>#N/A</v>
      </c>
      <c r="AH10" t="e">
        <v>#N/A</v>
      </c>
      <c r="AI10" t="e">
        <v>#N/A</v>
      </c>
      <c r="AJ10" t="e">
        <v>#N/A</v>
      </c>
      <c r="AK10" t="e">
        <v>#N/A</v>
      </c>
      <c r="AL10" t="e">
        <v>#N/A</v>
      </c>
      <c r="AM10" t="e">
        <v>#N/A</v>
      </c>
      <c r="AN10" t="e">
        <v>#N/A</v>
      </c>
      <c r="AO10" t="e">
        <v>#N/A</v>
      </c>
      <c r="AP10">
        <v>0</v>
      </c>
      <c r="AQ10">
        <v>0</v>
      </c>
    </row>
    <row r="11" spans="1:59" ht="17.25" hidden="1" thickBot="1" x14ac:dyDescent="0.35">
      <c r="A11" t="s">
        <v>192</v>
      </c>
      <c r="B11">
        <v>214</v>
      </c>
      <c r="C11" t="e">
        <v>#N/A</v>
      </c>
      <c r="D11">
        <v>17.21</v>
      </c>
      <c r="E11">
        <v>16.36</v>
      </c>
      <c r="F11" s="47">
        <v>1.3</v>
      </c>
      <c r="G11" t="e">
        <v>#N/A</v>
      </c>
      <c r="H11" s="52" t="e">
        <v>#N/A</v>
      </c>
      <c r="I11" s="51" t="e">
        <v>#N/A</v>
      </c>
      <c r="J11" s="51">
        <v>0.9</v>
      </c>
      <c r="K11" s="53">
        <v>8</v>
      </c>
      <c r="L11">
        <v>183</v>
      </c>
      <c r="M11">
        <v>0.73</v>
      </c>
      <c r="N11">
        <v>51</v>
      </c>
      <c r="O11">
        <v>301</v>
      </c>
      <c r="P11" t="e">
        <v>#N/A</v>
      </c>
      <c r="Q11">
        <v>16</v>
      </c>
      <c r="R11">
        <v>0.66</v>
      </c>
      <c r="S11">
        <v>0.28999999999999998</v>
      </c>
      <c r="T11">
        <v>3.12</v>
      </c>
      <c r="U11">
        <v>0</v>
      </c>
      <c r="V11">
        <v>64.989999999999995</v>
      </c>
      <c r="W11" t="e">
        <v>#N/A</v>
      </c>
      <c r="X11" t="e">
        <v>#N/A</v>
      </c>
      <c r="Y11" t="e">
        <v>#N/A</v>
      </c>
      <c r="Z11" t="e">
        <v>#N/A</v>
      </c>
      <c r="AA11" t="e">
        <v>#N/A</v>
      </c>
      <c r="AB11" t="e">
        <v>#N/A</v>
      </c>
      <c r="AC11" t="e">
        <v>#N/A</v>
      </c>
      <c r="AD11" t="e">
        <v>#N/A</v>
      </c>
      <c r="AE11" t="e">
        <v>#N/A</v>
      </c>
      <c r="AF11" t="e">
        <v>#N/A</v>
      </c>
      <c r="AG11" t="e">
        <v>#N/A</v>
      </c>
      <c r="AH11" t="e">
        <v>#N/A</v>
      </c>
      <c r="AI11" t="e">
        <v>#N/A</v>
      </c>
      <c r="AJ11" t="e">
        <v>#N/A</v>
      </c>
      <c r="AK11" t="e">
        <v>#N/A</v>
      </c>
      <c r="AL11" t="e">
        <v>#N/A</v>
      </c>
      <c r="AM11" t="e">
        <v>#N/A</v>
      </c>
      <c r="AN11" t="e">
        <v>#N/A</v>
      </c>
      <c r="AO11" t="e">
        <v>#N/A</v>
      </c>
      <c r="AP11" t="e">
        <v>#N/A</v>
      </c>
      <c r="AQ11" t="e">
        <v>#N/A</v>
      </c>
    </row>
    <row r="12" spans="1:59" ht="17.25" hidden="1" thickBot="1" x14ac:dyDescent="0.35">
      <c r="A12" t="s">
        <v>193</v>
      </c>
      <c r="B12">
        <v>193</v>
      </c>
      <c r="C12" t="e">
        <v>#N/A</v>
      </c>
      <c r="D12">
        <v>19.170000000000002</v>
      </c>
      <c r="E12">
        <v>13.14</v>
      </c>
      <c r="F12">
        <v>0</v>
      </c>
      <c r="G12" t="e">
        <v>#N/A</v>
      </c>
      <c r="H12" s="52" t="e">
        <v>#N/A</v>
      </c>
      <c r="I12" s="51" t="e">
        <v>#N/A</v>
      </c>
      <c r="J12" s="51">
        <v>0.98</v>
      </c>
      <c r="K12" s="53">
        <v>5</v>
      </c>
      <c r="L12">
        <v>197</v>
      </c>
      <c r="M12">
        <v>2.78</v>
      </c>
      <c r="N12">
        <v>45</v>
      </c>
      <c r="O12">
        <v>337</v>
      </c>
      <c r="P12" t="e">
        <v>#N/A</v>
      </c>
      <c r="Q12">
        <v>5</v>
      </c>
      <c r="R12">
        <v>7.0000000000000007E-2</v>
      </c>
      <c r="S12">
        <v>0.22</v>
      </c>
      <c r="T12">
        <v>2.12</v>
      </c>
      <c r="U12">
        <v>0.38</v>
      </c>
      <c r="V12">
        <v>57.81</v>
      </c>
      <c r="W12" t="e">
        <v>#N/A</v>
      </c>
      <c r="X12" t="e">
        <v>#N/A</v>
      </c>
      <c r="Y12" t="e">
        <v>#N/A</v>
      </c>
      <c r="Z12" t="e">
        <v>#N/A</v>
      </c>
      <c r="AA12" t="e">
        <v>#N/A</v>
      </c>
      <c r="AB12" t="e">
        <v>#N/A</v>
      </c>
      <c r="AC12" t="e">
        <v>#N/A</v>
      </c>
      <c r="AD12" t="e">
        <v>#N/A</v>
      </c>
      <c r="AE12" t="e">
        <v>#N/A</v>
      </c>
      <c r="AF12" t="e">
        <v>#N/A</v>
      </c>
      <c r="AG12" t="e">
        <v>#N/A</v>
      </c>
      <c r="AH12" t="e">
        <v>#N/A</v>
      </c>
      <c r="AI12" t="e">
        <v>#N/A</v>
      </c>
      <c r="AJ12" t="e">
        <v>#N/A</v>
      </c>
      <c r="AK12" t="e">
        <v>#N/A</v>
      </c>
      <c r="AL12" t="e">
        <v>#N/A</v>
      </c>
      <c r="AM12" t="e">
        <v>#N/A</v>
      </c>
      <c r="AN12" t="e">
        <v>#N/A</v>
      </c>
      <c r="AO12" t="e">
        <v>#N/A</v>
      </c>
      <c r="AP12" t="e">
        <v>#N/A</v>
      </c>
      <c r="AQ12" t="e">
        <v>#N/A</v>
      </c>
    </row>
    <row r="13" spans="1:59" ht="17.25" hidden="1" thickBot="1" x14ac:dyDescent="0.35">
      <c r="A13" t="s">
        <v>194</v>
      </c>
      <c r="B13">
        <v>130</v>
      </c>
      <c r="C13" t="e">
        <v>#N/A</v>
      </c>
      <c r="D13">
        <v>12.44</v>
      </c>
      <c r="E13">
        <v>7.37</v>
      </c>
      <c r="F13">
        <v>3.41</v>
      </c>
      <c r="G13" t="e">
        <v>#N/A</v>
      </c>
      <c r="H13" s="52" t="e">
        <v>#N/A</v>
      </c>
      <c r="I13" s="51" t="e">
        <v>#N/A</v>
      </c>
      <c r="J13" s="51">
        <v>0.88</v>
      </c>
      <c r="K13" s="53">
        <v>52</v>
      </c>
      <c r="L13">
        <v>191</v>
      </c>
      <c r="M13">
        <v>1.8</v>
      </c>
      <c r="N13">
        <v>131</v>
      </c>
      <c r="O13">
        <v>131</v>
      </c>
      <c r="P13" t="e">
        <v>#N/A</v>
      </c>
      <c r="Q13">
        <v>136</v>
      </c>
      <c r="R13">
        <v>0.08</v>
      </c>
      <c r="S13">
        <v>0.47</v>
      </c>
      <c r="T13">
        <v>0.1</v>
      </c>
      <c r="U13">
        <v>0</v>
      </c>
      <c r="V13">
        <v>328.83</v>
      </c>
      <c r="W13" t="e">
        <v>#N/A</v>
      </c>
      <c r="X13" t="e">
        <v>#N/A</v>
      </c>
      <c r="Y13" t="e">
        <v>#N/A</v>
      </c>
      <c r="Z13" t="e">
        <v>#N/A</v>
      </c>
      <c r="AA13" t="e">
        <v>#N/A</v>
      </c>
      <c r="AB13" t="e">
        <v>#N/A</v>
      </c>
      <c r="AC13" t="e">
        <v>#N/A</v>
      </c>
      <c r="AD13" t="e">
        <v>#N/A</v>
      </c>
      <c r="AE13" t="e">
        <v>#N/A</v>
      </c>
      <c r="AF13" t="e">
        <v>#N/A</v>
      </c>
      <c r="AG13" t="e">
        <v>#N/A</v>
      </c>
      <c r="AH13" t="e">
        <v>#N/A</v>
      </c>
      <c r="AI13" t="e">
        <v>#N/A</v>
      </c>
      <c r="AJ13" t="e">
        <v>#N/A</v>
      </c>
      <c r="AK13" t="e">
        <v>#N/A</v>
      </c>
      <c r="AL13" t="e">
        <v>#N/A</v>
      </c>
      <c r="AM13" t="e">
        <v>#N/A</v>
      </c>
      <c r="AN13" t="e">
        <v>#N/A</v>
      </c>
      <c r="AO13" t="e">
        <v>#N/A</v>
      </c>
      <c r="AP13" t="e">
        <v>#N/A</v>
      </c>
      <c r="AQ13" t="e">
        <v>#N/A</v>
      </c>
      <c r="AR13">
        <v>11</v>
      </c>
      <c r="AS13">
        <v>0.04</v>
      </c>
      <c r="AT13">
        <v>1.1599999999999999</v>
      </c>
      <c r="AU13">
        <v>0.04</v>
      </c>
      <c r="AV13">
        <v>4.78</v>
      </c>
      <c r="AW13">
        <v>35.44</v>
      </c>
      <c r="AX13">
        <v>0</v>
      </c>
      <c r="AY13">
        <v>0.91</v>
      </c>
      <c r="AZ13">
        <v>0.81</v>
      </c>
      <c r="BA13">
        <v>81</v>
      </c>
      <c r="BB13">
        <v>20.9</v>
      </c>
      <c r="BC13">
        <v>1.77</v>
      </c>
      <c r="BD13">
        <v>0</v>
      </c>
      <c r="BE13">
        <v>20.98</v>
      </c>
      <c r="BF13">
        <v>328.83</v>
      </c>
      <c r="BG13">
        <v>2.56</v>
      </c>
    </row>
    <row r="14" spans="1:59" ht="17.25" hidden="1" thickBot="1" x14ac:dyDescent="0.35">
      <c r="A14" t="s">
        <v>195</v>
      </c>
      <c r="B14">
        <v>98</v>
      </c>
      <c r="C14" t="e">
        <v>#N/A</v>
      </c>
      <c r="D14">
        <v>22.97</v>
      </c>
      <c r="E14">
        <v>0.97</v>
      </c>
      <c r="F14">
        <v>0</v>
      </c>
      <c r="G14" t="e">
        <v>#N/A</v>
      </c>
      <c r="H14" s="52" t="e">
        <v>#N/A</v>
      </c>
      <c r="I14" s="51" t="e">
        <v>#N/A</v>
      </c>
      <c r="J14" s="51">
        <v>1.1299999999999999</v>
      </c>
      <c r="K14" s="53">
        <v>4</v>
      </c>
      <c r="L14">
        <v>251</v>
      </c>
      <c r="M14">
        <v>0.28000000000000003</v>
      </c>
      <c r="N14">
        <v>45</v>
      </c>
      <c r="O14">
        <v>371</v>
      </c>
      <c r="P14" t="e">
        <v>#N/A</v>
      </c>
      <c r="Q14">
        <v>10</v>
      </c>
      <c r="R14">
        <v>0.2</v>
      </c>
      <c r="S14">
        <v>0.05</v>
      </c>
      <c r="T14">
        <v>10.82</v>
      </c>
      <c r="U14">
        <v>0</v>
      </c>
      <c r="V14">
        <v>56.11</v>
      </c>
      <c r="W14" t="e">
        <v>#N/A</v>
      </c>
      <c r="X14" t="e">
        <v>#N/A</v>
      </c>
      <c r="Y14" t="e">
        <v>#N/A</v>
      </c>
      <c r="Z14" t="e">
        <v>#N/A</v>
      </c>
      <c r="AA14" t="e">
        <v>#N/A</v>
      </c>
      <c r="AB14" t="e">
        <v>#N/A</v>
      </c>
      <c r="AC14" t="e">
        <v>#N/A</v>
      </c>
      <c r="AD14" t="e">
        <v>#N/A</v>
      </c>
      <c r="AE14" t="e">
        <v>#N/A</v>
      </c>
      <c r="AF14" t="e">
        <v>#N/A</v>
      </c>
      <c r="AG14" t="e">
        <v>#N/A</v>
      </c>
      <c r="AH14" t="e">
        <v>#N/A</v>
      </c>
      <c r="AI14" t="e">
        <v>#N/A</v>
      </c>
      <c r="AJ14" t="e">
        <v>#N/A</v>
      </c>
      <c r="AK14" t="e">
        <v>#N/A</v>
      </c>
      <c r="AL14" t="e">
        <v>#N/A</v>
      </c>
      <c r="AM14" t="e">
        <v>#N/A</v>
      </c>
      <c r="AN14" t="e">
        <v>#N/A</v>
      </c>
      <c r="AO14" t="e">
        <v>#N/A</v>
      </c>
      <c r="AP14" t="e">
        <v>#N/A</v>
      </c>
      <c r="AQ14" t="e">
        <v>#N/A</v>
      </c>
      <c r="AR14">
        <v>32</v>
      </c>
      <c r="AS14">
        <v>0.01</v>
      </c>
      <c r="AT14">
        <v>0.61</v>
      </c>
      <c r="AU14">
        <v>0.01</v>
      </c>
      <c r="AV14">
        <v>2.95</v>
      </c>
      <c r="AW14">
        <v>10.1</v>
      </c>
      <c r="AX14">
        <v>0.02</v>
      </c>
      <c r="AY14">
        <v>0.8</v>
      </c>
      <c r="AZ14">
        <v>0.26</v>
      </c>
      <c r="BA14">
        <v>0</v>
      </c>
      <c r="BB14">
        <v>0</v>
      </c>
      <c r="BC14">
        <v>0.16</v>
      </c>
      <c r="BD14">
        <v>0</v>
      </c>
      <c r="BE14">
        <v>3.81</v>
      </c>
      <c r="BF14">
        <v>56.11</v>
      </c>
      <c r="BG14">
        <v>0.36</v>
      </c>
    </row>
    <row r="15" spans="1:59" ht="17.25" hidden="1" thickBot="1" x14ac:dyDescent="0.35">
      <c r="A15" t="s">
        <v>196</v>
      </c>
      <c r="B15">
        <v>31</v>
      </c>
      <c r="C15" t="e">
        <v>#N/A</v>
      </c>
      <c r="D15">
        <v>3.81</v>
      </c>
      <c r="E15">
        <v>0.92</v>
      </c>
      <c r="F15">
        <v>3.8</v>
      </c>
      <c r="G15" t="e">
        <v>#N/A</v>
      </c>
      <c r="H15" s="52" t="e">
        <v>#N/A</v>
      </c>
      <c r="I15" s="51" t="e">
        <v>#N/A</v>
      </c>
      <c r="J15" s="51">
        <v>0.56999999999999995</v>
      </c>
      <c r="K15" s="53">
        <v>73</v>
      </c>
      <c r="L15">
        <v>101</v>
      </c>
      <c r="M15">
        <v>0.66</v>
      </c>
      <c r="N15">
        <v>16</v>
      </c>
      <c r="O15">
        <v>85</v>
      </c>
      <c r="P15" t="e">
        <v>#N/A</v>
      </c>
      <c r="Q15">
        <v>0</v>
      </c>
      <c r="R15">
        <v>0.04</v>
      </c>
      <c r="S15">
        <v>0.19</v>
      </c>
      <c r="T15">
        <v>0.92</v>
      </c>
      <c r="U15">
        <v>11.41</v>
      </c>
      <c r="V15">
        <v>0</v>
      </c>
      <c r="W15" t="e">
        <v>#N/A</v>
      </c>
      <c r="X15" t="e">
        <v>#N/A</v>
      </c>
      <c r="Y15" t="e">
        <v>#N/A</v>
      </c>
      <c r="Z15" t="e">
        <v>#N/A</v>
      </c>
      <c r="AA15" t="e">
        <v>#N/A</v>
      </c>
      <c r="AB15" t="e">
        <v>#N/A</v>
      </c>
      <c r="AC15" t="e">
        <v>#N/A</v>
      </c>
      <c r="AD15" t="e">
        <v>#N/A</v>
      </c>
      <c r="AE15" t="e">
        <v>#N/A</v>
      </c>
      <c r="AF15" t="e">
        <v>#N/A</v>
      </c>
      <c r="AG15" t="e">
        <v>#N/A</v>
      </c>
      <c r="AH15" t="e">
        <v>#N/A</v>
      </c>
      <c r="AI15" t="e">
        <v>#N/A</v>
      </c>
      <c r="AJ15" t="e">
        <v>#N/A</v>
      </c>
      <c r="AK15" t="e">
        <v>#N/A</v>
      </c>
      <c r="AL15" t="e">
        <v>#N/A</v>
      </c>
      <c r="AM15" t="e">
        <v>#N/A</v>
      </c>
      <c r="AN15" t="e">
        <v>#N/A</v>
      </c>
      <c r="AO15" t="e">
        <v>#N/A</v>
      </c>
      <c r="AP15" t="e">
        <v>#N/A</v>
      </c>
      <c r="AQ15" t="e">
        <v>#N/A</v>
      </c>
      <c r="AR15">
        <v>50</v>
      </c>
      <c r="AS15">
        <v>0.24</v>
      </c>
      <c r="AT15">
        <v>0.97</v>
      </c>
      <c r="AU15">
        <v>0.02</v>
      </c>
      <c r="AV15">
        <v>2.97</v>
      </c>
      <c r="AW15">
        <v>2.13</v>
      </c>
      <c r="AX15">
        <v>0.05</v>
      </c>
      <c r="AY15">
        <v>0.56000000000000005</v>
      </c>
      <c r="AZ15">
        <v>0</v>
      </c>
      <c r="BA15">
        <v>61</v>
      </c>
      <c r="BB15">
        <v>0</v>
      </c>
      <c r="BC15">
        <v>8.6300000000000008</v>
      </c>
      <c r="BD15">
        <v>188.83</v>
      </c>
      <c r="BE15">
        <v>0</v>
      </c>
      <c r="BF15">
        <v>0</v>
      </c>
      <c r="BG15">
        <v>0.06</v>
      </c>
    </row>
    <row r="16" spans="1:59" ht="17.25" hidden="1" thickBot="1" x14ac:dyDescent="0.35">
      <c r="A16" t="s">
        <v>197</v>
      </c>
      <c r="B16">
        <v>16</v>
      </c>
      <c r="C16" t="e">
        <v>#N/A</v>
      </c>
      <c r="D16">
        <v>1.03</v>
      </c>
      <c r="E16">
        <v>0.18</v>
      </c>
      <c r="F16">
        <v>4.26</v>
      </c>
      <c r="G16" t="e">
        <v>#N/A</v>
      </c>
      <c r="H16" s="52" t="e">
        <v>#N/A</v>
      </c>
      <c r="I16" s="51" t="e">
        <v>#N/A</v>
      </c>
      <c r="J16" s="51">
        <v>0.63</v>
      </c>
      <c r="K16" s="53">
        <v>9</v>
      </c>
      <c r="L16">
        <v>29</v>
      </c>
      <c r="M16">
        <v>0.19</v>
      </c>
      <c r="N16">
        <v>2</v>
      </c>
      <c r="O16">
        <v>250</v>
      </c>
      <c r="P16" t="e">
        <v>#N/A</v>
      </c>
      <c r="Q16">
        <v>0</v>
      </c>
      <c r="R16">
        <v>0.01</v>
      </c>
      <c r="S16">
        <v>0.04</v>
      </c>
      <c r="T16">
        <v>0.31</v>
      </c>
      <c r="U16">
        <v>14.16</v>
      </c>
      <c r="V16">
        <v>0</v>
      </c>
      <c r="W16" t="e">
        <v>#N/A</v>
      </c>
      <c r="X16" t="e">
        <v>#N/A</v>
      </c>
      <c r="Y16" t="e">
        <v>#N/A</v>
      </c>
      <c r="Z16" t="e">
        <v>#N/A</v>
      </c>
      <c r="AA16" t="e">
        <v>#N/A</v>
      </c>
      <c r="AB16" t="e">
        <v>#N/A</v>
      </c>
      <c r="AC16" t="e">
        <v>#N/A</v>
      </c>
      <c r="AD16" t="e">
        <v>#N/A</v>
      </c>
      <c r="AE16" t="e">
        <v>#N/A</v>
      </c>
      <c r="AF16" t="e">
        <v>#N/A</v>
      </c>
      <c r="AG16" t="e">
        <v>#N/A</v>
      </c>
      <c r="AH16" t="e">
        <v>#N/A</v>
      </c>
      <c r="AI16" t="e">
        <v>#N/A</v>
      </c>
      <c r="AJ16" t="e">
        <v>#N/A</v>
      </c>
      <c r="AK16" t="e">
        <v>#N/A</v>
      </c>
      <c r="AL16" t="e">
        <v>#N/A</v>
      </c>
      <c r="AM16" t="e">
        <v>#N/A</v>
      </c>
      <c r="AN16" t="e">
        <v>#N/A</v>
      </c>
      <c r="AO16" t="e">
        <v>#N/A</v>
      </c>
      <c r="AP16" t="e">
        <v>#N/A</v>
      </c>
      <c r="AQ16" t="e">
        <v>#N/A</v>
      </c>
      <c r="AR16">
        <v>10</v>
      </c>
      <c r="AS16">
        <v>7.0000000000000007E-2</v>
      </c>
      <c r="AT16">
        <v>0.15</v>
      </c>
      <c r="AU16">
        <v>0</v>
      </c>
      <c r="AV16">
        <v>1.41</v>
      </c>
      <c r="AW16">
        <v>0.26</v>
      </c>
      <c r="AX16">
        <v>0.02</v>
      </c>
      <c r="AY16">
        <v>0.3</v>
      </c>
      <c r="AZ16">
        <v>0</v>
      </c>
      <c r="BA16">
        <v>15</v>
      </c>
      <c r="BB16">
        <v>0</v>
      </c>
      <c r="BC16">
        <v>0.34</v>
      </c>
      <c r="BD16">
        <v>0</v>
      </c>
      <c r="BE16">
        <v>2.36</v>
      </c>
      <c r="BF16">
        <v>0</v>
      </c>
      <c r="BG16">
        <v>0.04</v>
      </c>
    </row>
    <row r="17" spans="1:60" ht="17.25" hidden="1" thickBot="1" x14ac:dyDescent="0.35">
      <c r="A17" t="s">
        <v>198</v>
      </c>
      <c r="B17">
        <v>25</v>
      </c>
      <c r="C17" t="e">
        <v>#N/A</v>
      </c>
      <c r="D17">
        <v>1.02</v>
      </c>
      <c r="E17">
        <v>0.13</v>
      </c>
      <c r="F17">
        <v>7.03</v>
      </c>
      <c r="G17" t="e">
        <v>#N/A</v>
      </c>
      <c r="H17" s="52" t="e">
        <v>#N/A</v>
      </c>
      <c r="I17" s="51" t="e">
        <v>#N/A</v>
      </c>
      <c r="J17" s="51">
        <v>0.72</v>
      </c>
      <c r="K17" s="53">
        <v>24</v>
      </c>
      <c r="L17">
        <v>42</v>
      </c>
      <c r="M17">
        <v>0.28000000000000003</v>
      </c>
      <c r="N17">
        <v>23</v>
      </c>
      <c r="O17">
        <v>299</v>
      </c>
      <c r="P17" t="e">
        <v>#N/A</v>
      </c>
      <c r="Q17">
        <v>0</v>
      </c>
      <c r="R17">
        <v>0.04</v>
      </c>
      <c r="S17">
        <v>0.06</v>
      </c>
      <c r="T17">
        <v>0.88</v>
      </c>
      <c r="U17">
        <v>3.02</v>
      </c>
      <c r="V17">
        <v>0</v>
      </c>
      <c r="W17" t="e">
        <v>#N/A</v>
      </c>
      <c r="X17" t="e">
        <v>#N/A</v>
      </c>
      <c r="Y17" t="e">
        <v>#N/A</v>
      </c>
      <c r="Z17" t="e">
        <v>#N/A</v>
      </c>
      <c r="AA17" t="e">
        <v>#N/A</v>
      </c>
      <c r="AB17" t="e">
        <v>#N/A</v>
      </c>
      <c r="AC17" t="e">
        <v>#N/A</v>
      </c>
      <c r="AD17" t="e">
        <v>#N/A</v>
      </c>
      <c r="AE17" t="e">
        <v>#N/A</v>
      </c>
      <c r="AF17" t="e">
        <v>#N/A</v>
      </c>
      <c r="AG17" t="e">
        <v>#N/A</v>
      </c>
      <c r="AH17" t="e">
        <v>#N/A</v>
      </c>
      <c r="AI17" t="e">
        <v>#N/A</v>
      </c>
      <c r="AJ17" t="e">
        <v>#N/A</v>
      </c>
      <c r="AK17" t="e">
        <v>#N/A</v>
      </c>
      <c r="AL17" t="e">
        <v>#N/A</v>
      </c>
      <c r="AM17" t="e">
        <v>#N/A</v>
      </c>
      <c r="AN17" t="e">
        <v>#N/A</v>
      </c>
      <c r="AO17" t="e">
        <v>#N/A</v>
      </c>
      <c r="AP17" t="e">
        <v>#N/A</v>
      </c>
      <c r="AQ17" t="e">
        <v>#N/A</v>
      </c>
      <c r="AR17">
        <v>14</v>
      </c>
      <c r="AS17">
        <v>0.05</v>
      </c>
      <c r="AT17">
        <v>0.11</v>
      </c>
      <c r="AU17">
        <v>0.02</v>
      </c>
      <c r="AV17">
        <v>2.29</v>
      </c>
      <c r="AW17">
        <v>2.74</v>
      </c>
      <c r="AX17">
        <v>0.01</v>
      </c>
      <c r="AY17">
        <v>0.19</v>
      </c>
      <c r="AZ17">
        <v>0</v>
      </c>
      <c r="BA17">
        <v>22</v>
      </c>
      <c r="BB17">
        <v>0</v>
      </c>
      <c r="BC17">
        <v>0.73</v>
      </c>
      <c r="BD17">
        <v>14.46</v>
      </c>
      <c r="BE17">
        <v>0.89</v>
      </c>
      <c r="BF17">
        <v>0</v>
      </c>
      <c r="BG17">
        <v>0.03</v>
      </c>
    </row>
    <row r="18" spans="1:60" ht="17.25" hidden="1" thickBot="1" x14ac:dyDescent="0.35">
      <c r="A18" t="s">
        <v>199</v>
      </c>
      <c r="B18">
        <v>25</v>
      </c>
      <c r="C18" t="e">
        <v>#N/A</v>
      </c>
      <c r="D18">
        <v>1.4</v>
      </c>
      <c r="E18">
        <v>0.2</v>
      </c>
      <c r="F18">
        <v>4.4000000000000004</v>
      </c>
      <c r="G18" t="e">
        <v>#N/A</v>
      </c>
      <c r="H18" s="52" t="e">
        <v>#N/A</v>
      </c>
      <c r="I18" s="51" t="e">
        <v>#N/A</v>
      </c>
      <c r="J18" s="51">
        <v>1.2</v>
      </c>
      <c r="K18" s="53">
        <v>64</v>
      </c>
      <c r="L18">
        <v>39</v>
      </c>
      <c r="M18">
        <v>0.8</v>
      </c>
      <c r="N18">
        <v>232</v>
      </c>
      <c r="O18">
        <v>196</v>
      </c>
      <c r="P18" t="e">
        <v>#N/A</v>
      </c>
      <c r="Q18">
        <v>0</v>
      </c>
      <c r="R18">
        <v>0.09</v>
      </c>
      <c r="S18">
        <v>0.06</v>
      </c>
      <c r="T18">
        <v>0.4</v>
      </c>
      <c r="U18">
        <v>7</v>
      </c>
      <c r="V18" t="s">
        <v>187</v>
      </c>
      <c r="W18" t="e">
        <v>#N/A</v>
      </c>
      <c r="X18" t="e">
        <v>#N/A</v>
      </c>
      <c r="Y18" t="e">
        <v>#N/A</v>
      </c>
      <c r="Z18" t="e">
        <v>#N/A</v>
      </c>
      <c r="AA18" t="e">
        <v>#N/A</v>
      </c>
      <c r="AB18" t="e">
        <v>#N/A</v>
      </c>
      <c r="AC18" t="e">
        <v>#N/A</v>
      </c>
      <c r="AD18" t="e">
        <v>#N/A</v>
      </c>
      <c r="AE18" t="e">
        <v>#N/A</v>
      </c>
      <c r="AF18" t="e">
        <v>#N/A</v>
      </c>
      <c r="AG18" t="e">
        <v>#N/A</v>
      </c>
      <c r="AH18" t="e">
        <v>#N/A</v>
      </c>
      <c r="AI18" t="e">
        <v>#N/A</v>
      </c>
      <c r="AJ18" t="e">
        <v>#N/A</v>
      </c>
      <c r="AK18" t="e">
        <v>#N/A</v>
      </c>
      <c r="AL18" t="e">
        <v>#N/A</v>
      </c>
      <c r="AM18" t="e">
        <v>#N/A</v>
      </c>
      <c r="AN18" t="e">
        <v>#N/A</v>
      </c>
      <c r="AO18" t="e">
        <v>#N/A</v>
      </c>
      <c r="AP18" t="e">
        <v>#N/A</v>
      </c>
      <c r="AQ18" t="e">
        <v>#N/A</v>
      </c>
      <c r="AR18" t="s">
        <v>187</v>
      </c>
      <c r="AS18" t="s">
        <v>187</v>
      </c>
      <c r="AT18" t="s">
        <v>187</v>
      </c>
      <c r="AU18" t="s">
        <v>187</v>
      </c>
      <c r="AV18" t="s">
        <v>187</v>
      </c>
      <c r="AW18" t="s">
        <v>187</v>
      </c>
      <c r="AX18" t="s">
        <v>187</v>
      </c>
      <c r="AY18" t="s">
        <v>187</v>
      </c>
      <c r="AZ18" t="s">
        <v>187</v>
      </c>
      <c r="BA18" t="s">
        <v>187</v>
      </c>
      <c r="BB18" t="s">
        <v>187</v>
      </c>
      <c r="BC18" t="s">
        <v>187</v>
      </c>
      <c r="BD18" t="s">
        <v>187</v>
      </c>
      <c r="BE18" t="s">
        <v>187</v>
      </c>
      <c r="BF18" t="s">
        <v>187</v>
      </c>
      <c r="BG18" t="s">
        <v>187</v>
      </c>
    </row>
    <row r="19" spans="1:60" ht="17.25" hidden="1" thickBot="1" x14ac:dyDescent="0.35">
      <c r="A19" t="s">
        <v>200</v>
      </c>
      <c r="B19">
        <v>49</v>
      </c>
      <c r="C19" t="e">
        <v>#N/A</v>
      </c>
      <c r="D19">
        <v>0.2</v>
      </c>
      <c r="E19">
        <v>0.03</v>
      </c>
      <c r="F19">
        <v>14.36</v>
      </c>
      <c r="G19" t="e">
        <v>#N/A</v>
      </c>
      <c r="H19" s="52" t="e">
        <v>#N/A</v>
      </c>
      <c r="I19" s="51" t="e">
        <v>#N/A</v>
      </c>
      <c r="J19" s="51">
        <v>0.21</v>
      </c>
      <c r="K19" s="53">
        <v>4</v>
      </c>
      <c r="L19">
        <v>11</v>
      </c>
      <c r="M19">
        <v>0.1</v>
      </c>
      <c r="N19">
        <v>0</v>
      </c>
      <c r="O19">
        <v>107</v>
      </c>
      <c r="P19" t="e">
        <v>#N/A</v>
      </c>
      <c r="Q19">
        <v>0</v>
      </c>
      <c r="R19" t="s">
        <v>187</v>
      </c>
      <c r="S19">
        <v>0.02</v>
      </c>
      <c r="T19">
        <v>0.39</v>
      </c>
      <c r="U19">
        <v>1.41</v>
      </c>
      <c r="V19">
        <v>0</v>
      </c>
      <c r="W19" t="e">
        <v>#N/A</v>
      </c>
      <c r="X19" t="e">
        <v>#N/A</v>
      </c>
      <c r="Y19" t="e">
        <v>#N/A</v>
      </c>
      <c r="Z19" t="e">
        <v>#N/A</v>
      </c>
      <c r="AA19" t="e">
        <v>#N/A</v>
      </c>
      <c r="AB19" t="e">
        <v>#N/A</v>
      </c>
      <c r="AC19" t="e">
        <v>#N/A</v>
      </c>
      <c r="AD19" t="e">
        <v>#N/A</v>
      </c>
      <c r="AE19" t="e">
        <v>#N/A</v>
      </c>
      <c r="AF19" t="e">
        <v>#N/A</v>
      </c>
      <c r="AG19" t="e">
        <v>#N/A</v>
      </c>
      <c r="AH19" t="e">
        <v>#N/A</v>
      </c>
      <c r="AI19" t="e">
        <v>#N/A</v>
      </c>
      <c r="AJ19" t="e">
        <v>#N/A</v>
      </c>
      <c r="AK19" t="e">
        <v>#N/A</v>
      </c>
      <c r="AL19" t="e">
        <v>#N/A</v>
      </c>
      <c r="AM19" t="e">
        <v>#N/A</v>
      </c>
      <c r="AN19" t="e">
        <v>#N/A</v>
      </c>
      <c r="AO19" t="e">
        <v>#N/A</v>
      </c>
      <c r="AP19" t="e">
        <v>#N/A</v>
      </c>
      <c r="AQ19" t="e">
        <v>#N/A</v>
      </c>
      <c r="AR19">
        <v>3</v>
      </c>
      <c r="AS19">
        <v>0.04</v>
      </c>
      <c r="AT19">
        <v>0.05</v>
      </c>
      <c r="AU19">
        <v>0.01</v>
      </c>
      <c r="AV19">
        <v>4.3600000000000003</v>
      </c>
      <c r="AW19">
        <v>0.18</v>
      </c>
      <c r="AX19">
        <v>0.02</v>
      </c>
      <c r="AY19">
        <v>0</v>
      </c>
      <c r="AZ19">
        <v>0</v>
      </c>
      <c r="BA19">
        <v>3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0.01</v>
      </c>
    </row>
    <row r="20" spans="1:60" ht="17.25" hidden="1" thickBot="1" x14ac:dyDescent="0.35">
      <c r="A20" t="s">
        <v>201</v>
      </c>
      <c r="B20">
        <v>79</v>
      </c>
      <c r="C20" t="e">
        <v>#N/A</v>
      </c>
      <c r="D20">
        <v>1.1000000000000001</v>
      </c>
      <c r="E20">
        <v>0.1</v>
      </c>
      <c r="F20">
        <v>21.94</v>
      </c>
      <c r="G20" t="e">
        <v>#N/A</v>
      </c>
      <c r="H20" s="52" t="e">
        <v>#N/A</v>
      </c>
      <c r="I20" s="51" t="e">
        <v>#N/A</v>
      </c>
      <c r="J20" s="51">
        <v>0.76</v>
      </c>
      <c r="K20" s="53">
        <v>7</v>
      </c>
      <c r="L20">
        <v>26</v>
      </c>
      <c r="M20">
        <v>0.28999999999999998</v>
      </c>
      <c r="N20">
        <v>0</v>
      </c>
      <c r="O20">
        <v>346</v>
      </c>
      <c r="P20" t="e">
        <v>#N/A</v>
      </c>
      <c r="Q20">
        <v>0</v>
      </c>
      <c r="R20">
        <v>0.05</v>
      </c>
      <c r="S20">
        <v>0.08</v>
      </c>
      <c r="T20">
        <v>0.49</v>
      </c>
      <c r="U20">
        <v>5.94</v>
      </c>
      <c r="V20">
        <v>0</v>
      </c>
      <c r="W20" t="e">
        <v>#N/A</v>
      </c>
      <c r="X20" t="e">
        <v>#N/A</v>
      </c>
      <c r="Y20" t="e">
        <v>#N/A</v>
      </c>
      <c r="Z20" t="e">
        <v>#N/A</v>
      </c>
      <c r="AA20" t="e">
        <v>#N/A</v>
      </c>
      <c r="AB20" t="e">
        <v>#N/A</v>
      </c>
      <c r="AC20" t="e">
        <v>#N/A</v>
      </c>
      <c r="AD20" t="e">
        <v>#N/A</v>
      </c>
      <c r="AE20" t="e">
        <v>#N/A</v>
      </c>
      <c r="AF20" t="e">
        <v>#N/A</v>
      </c>
      <c r="AG20" t="e">
        <v>#N/A</v>
      </c>
      <c r="AH20" t="e">
        <v>#N/A</v>
      </c>
      <c r="AI20" t="e">
        <v>#N/A</v>
      </c>
      <c r="AJ20" t="e">
        <v>#N/A</v>
      </c>
      <c r="AK20" t="e">
        <v>#N/A</v>
      </c>
      <c r="AL20" t="e">
        <v>#N/A</v>
      </c>
      <c r="AM20" t="e">
        <v>#N/A</v>
      </c>
      <c r="AN20" t="e">
        <v>#N/A</v>
      </c>
      <c r="AO20" t="e">
        <v>#N/A</v>
      </c>
      <c r="AP20" t="e">
        <v>#N/A</v>
      </c>
      <c r="AQ20" t="e">
        <v>#N/A</v>
      </c>
      <c r="AR20">
        <v>28</v>
      </c>
      <c r="AS20">
        <v>0.13</v>
      </c>
      <c r="AT20">
        <v>0.19</v>
      </c>
      <c r="AU20">
        <v>0.09</v>
      </c>
      <c r="AV20">
        <v>6.19</v>
      </c>
      <c r="AW20">
        <v>0.27</v>
      </c>
      <c r="AX20">
        <v>0.09</v>
      </c>
      <c r="AY20">
        <v>0</v>
      </c>
      <c r="AZ20">
        <v>0</v>
      </c>
      <c r="BA20">
        <v>3</v>
      </c>
      <c r="BB20">
        <v>0</v>
      </c>
      <c r="BC20">
        <v>0.14000000000000001</v>
      </c>
      <c r="BD20">
        <v>0</v>
      </c>
      <c r="BE20">
        <v>0</v>
      </c>
      <c r="BF20">
        <v>0</v>
      </c>
      <c r="BG20">
        <v>0.04</v>
      </c>
    </row>
    <row r="21" spans="1:60" ht="17.25" hidden="1" thickBot="1" x14ac:dyDescent="0.35">
      <c r="A21" t="s">
        <v>202</v>
      </c>
      <c r="B21">
        <v>42</v>
      </c>
      <c r="C21" t="e">
        <v>#N/A</v>
      </c>
      <c r="D21">
        <v>3.43</v>
      </c>
      <c r="E21">
        <v>0.9</v>
      </c>
      <c r="F21">
        <v>4.8600000000000003</v>
      </c>
      <c r="G21" t="e">
        <v>#N/A</v>
      </c>
      <c r="H21" s="52" t="e">
        <v>#N/A</v>
      </c>
      <c r="I21" s="51" t="e">
        <v>#N/A</v>
      </c>
      <c r="J21" s="51">
        <v>0.71</v>
      </c>
      <c r="K21" s="53">
        <v>116</v>
      </c>
      <c r="L21">
        <v>87</v>
      </c>
      <c r="M21">
        <v>0.03</v>
      </c>
      <c r="N21">
        <v>37</v>
      </c>
      <c r="O21">
        <v>149</v>
      </c>
      <c r="P21" t="e">
        <v>#N/A</v>
      </c>
      <c r="Q21">
        <v>13</v>
      </c>
      <c r="R21">
        <v>0.02</v>
      </c>
      <c r="S21">
        <v>0.13</v>
      </c>
      <c r="T21">
        <v>0.26</v>
      </c>
      <c r="U21">
        <v>0.27</v>
      </c>
      <c r="V21">
        <v>9.1</v>
      </c>
      <c r="W21" t="e">
        <v>#N/A</v>
      </c>
      <c r="X21" t="e">
        <v>#N/A</v>
      </c>
      <c r="Y21" t="e">
        <v>#N/A</v>
      </c>
      <c r="Z21" t="e">
        <v>#N/A</v>
      </c>
      <c r="AA21" t="e">
        <v>#N/A</v>
      </c>
      <c r="AB21" t="e">
        <v>#N/A</v>
      </c>
      <c r="AC21" t="e">
        <v>#N/A</v>
      </c>
      <c r="AD21" t="e">
        <v>#N/A</v>
      </c>
      <c r="AE21" t="e">
        <v>#N/A</v>
      </c>
      <c r="AF21" t="e">
        <v>#N/A</v>
      </c>
      <c r="AG21" t="e">
        <v>#N/A</v>
      </c>
      <c r="AH21" t="e">
        <v>#N/A</v>
      </c>
      <c r="AI21" t="e">
        <v>#N/A</v>
      </c>
      <c r="AJ21" t="e">
        <v>#N/A</v>
      </c>
      <c r="AK21" t="e">
        <v>#N/A</v>
      </c>
      <c r="AL21" t="e">
        <v>#N/A</v>
      </c>
      <c r="AM21" t="e">
        <v>#N/A</v>
      </c>
      <c r="AN21" t="e">
        <v>#N/A</v>
      </c>
      <c r="AO21" t="e">
        <v>#N/A</v>
      </c>
      <c r="AP21" t="e">
        <v>#N/A</v>
      </c>
      <c r="AQ21" t="e">
        <v>#N/A</v>
      </c>
      <c r="AR21">
        <v>11</v>
      </c>
      <c r="AS21">
        <v>0</v>
      </c>
      <c r="AT21">
        <v>0.38</v>
      </c>
      <c r="AU21">
        <v>0</v>
      </c>
      <c r="AV21">
        <v>1.99</v>
      </c>
      <c r="AW21">
        <v>4.6500000000000004</v>
      </c>
      <c r="AX21">
        <v>0</v>
      </c>
      <c r="AY21">
        <v>0.3</v>
      </c>
      <c r="AZ21">
        <v>1.08</v>
      </c>
      <c r="BA21">
        <v>0</v>
      </c>
      <c r="BB21">
        <v>0</v>
      </c>
      <c r="BC21">
        <v>0.06</v>
      </c>
      <c r="BD21">
        <v>0</v>
      </c>
      <c r="BE21">
        <v>2.5099999999999998</v>
      </c>
      <c r="BF21">
        <v>9.1</v>
      </c>
      <c r="BG21">
        <v>0.59</v>
      </c>
    </row>
    <row r="22" spans="1:60" ht="17.25" hidden="1" thickBot="1" x14ac:dyDescent="0.35">
      <c r="A22" t="s">
        <v>203</v>
      </c>
      <c r="B22">
        <v>583</v>
      </c>
      <c r="C22" t="e">
        <v>#N/A</v>
      </c>
      <c r="D22">
        <v>23.44</v>
      </c>
      <c r="E22">
        <v>49.96</v>
      </c>
      <c r="F22">
        <v>20.09</v>
      </c>
      <c r="G22" t="e">
        <v>#N/A</v>
      </c>
      <c r="H22" s="52" t="e">
        <v>#N/A</v>
      </c>
      <c r="I22" s="51" t="e">
        <v>#N/A</v>
      </c>
      <c r="J22" s="51">
        <v>3.11</v>
      </c>
      <c r="K22" s="53">
        <v>368</v>
      </c>
      <c r="L22">
        <v>523</v>
      </c>
      <c r="M22">
        <v>4.76</v>
      </c>
      <c r="N22">
        <v>6</v>
      </c>
      <c r="O22">
        <v>780</v>
      </c>
      <c r="P22" t="e">
        <v>#N/A</v>
      </c>
      <c r="Q22">
        <v>0</v>
      </c>
      <c r="R22">
        <v>0.03</v>
      </c>
      <c r="S22">
        <v>1.55</v>
      </c>
      <c r="T22">
        <v>3.79</v>
      </c>
      <c r="U22">
        <v>0</v>
      </c>
      <c r="V22">
        <v>0</v>
      </c>
      <c r="W22" t="e">
        <v>#N/A</v>
      </c>
      <c r="X22" t="e">
        <v>#N/A</v>
      </c>
      <c r="Y22" t="e">
        <v>#N/A</v>
      </c>
      <c r="Z22" t="e">
        <v>#N/A</v>
      </c>
      <c r="AA22" t="e">
        <v>#N/A</v>
      </c>
      <c r="AB22" t="e">
        <v>#N/A</v>
      </c>
      <c r="AC22" t="e">
        <v>#N/A</v>
      </c>
      <c r="AD22" t="e">
        <v>#N/A</v>
      </c>
      <c r="AE22" t="e">
        <v>#N/A</v>
      </c>
      <c r="AF22" t="e">
        <v>#N/A</v>
      </c>
      <c r="AG22" t="e">
        <v>#N/A</v>
      </c>
      <c r="AH22" t="e">
        <v>#N/A</v>
      </c>
      <c r="AI22" t="e">
        <v>#N/A</v>
      </c>
      <c r="AJ22" t="e">
        <v>#N/A</v>
      </c>
      <c r="AK22" t="e">
        <v>#N/A</v>
      </c>
      <c r="AL22" t="e">
        <v>#N/A</v>
      </c>
      <c r="AM22" t="e">
        <v>#N/A</v>
      </c>
      <c r="AN22" t="e">
        <v>#N/A</v>
      </c>
      <c r="AO22" t="e">
        <v>#N/A</v>
      </c>
      <c r="AP22" t="e">
        <v>#N/A</v>
      </c>
      <c r="AQ22" t="e">
        <v>#N/A</v>
      </c>
      <c r="AR22">
        <v>335</v>
      </c>
      <c r="AS22">
        <v>2.46</v>
      </c>
      <c r="AT22">
        <v>4.01</v>
      </c>
      <c r="AU22">
        <v>1.23</v>
      </c>
      <c r="AV22">
        <v>26.7</v>
      </c>
      <c r="AW22">
        <v>0</v>
      </c>
      <c r="AX22">
        <v>0</v>
      </c>
      <c r="AY22">
        <v>0.49</v>
      </c>
      <c r="AZ22">
        <v>0</v>
      </c>
      <c r="BA22">
        <v>74</v>
      </c>
      <c r="BB22">
        <v>0</v>
      </c>
      <c r="BC22">
        <v>8.9</v>
      </c>
      <c r="BD22">
        <v>0</v>
      </c>
      <c r="BE22">
        <v>25.39</v>
      </c>
      <c r="BF22">
        <v>0</v>
      </c>
      <c r="BG22">
        <v>3.82</v>
      </c>
    </row>
    <row r="23" spans="1:60" ht="17.25" hidden="1" thickBot="1" x14ac:dyDescent="0.35">
      <c r="A23" t="s">
        <v>204</v>
      </c>
      <c r="B23">
        <v>693</v>
      </c>
      <c r="C23" t="e">
        <v>#N/A</v>
      </c>
      <c r="D23">
        <v>15.47</v>
      </c>
      <c r="E23">
        <v>71.989999999999995</v>
      </c>
      <c r="F23">
        <v>7.92</v>
      </c>
      <c r="G23" t="e">
        <v>#N/A</v>
      </c>
      <c r="H23" s="52" t="e">
        <v>#N/A</v>
      </c>
      <c r="I23" s="51" t="e">
        <v>#N/A</v>
      </c>
      <c r="J23" s="51">
        <v>1.72</v>
      </c>
      <c r="K23" s="53">
        <v>81</v>
      </c>
      <c r="L23">
        <v>355</v>
      </c>
      <c r="M23">
        <v>2.4900000000000002</v>
      </c>
      <c r="N23">
        <v>3</v>
      </c>
      <c r="O23">
        <v>353</v>
      </c>
      <c r="P23" t="e">
        <v>#N/A</v>
      </c>
      <c r="Q23">
        <v>0</v>
      </c>
      <c r="R23">
        <v>0.05</v>
      </c>
      <c r="S23">
        <v>0.28000000000000003</v>
      </c>
      <c r="T23">
        <v>2.87</v>
      </c>
      <c r="U23">
        <v>0</v>
      </c>
      <c r="V23">
        <v>0</v>
      </c>
      <c r="W23" t="e">
        <v>#N/A</v>
      </c>
      <c r="X23" t="e">
        <v>#N/A</v>
      </c>
      <c r="Y23" t="e">
        <v>#N/A</v>
      </c>
      <c r="Z23" t="e">
        <v>#N/A</v>
      </c>
      <c r="AA23" t="e">
        <v>#N/A</v>
      </c>
      <c r="AB23" t="e">
        <v>#N/A</v>
      </c>
      <c r="AC23" t="e">
        <v>#N/A</v>
      </c>
      <c r="AD23" t="e">
        <v>#N/A</v>
      </c>
      <c r="AE23" t="e">
        <v>#N/A</v>
      </c>
      <c r="AF23" t="e">
        <v>#N/A</v>
      </c>
      <c r="AG23" t="e">
        <v>#N/A</v>
      </c>
      <c r="AH23" t="e">
        <v>#N/A</v>
      </c>
      <c r="AI23" t="e">
        <v>#N/A</v>
      </c>
      <c r="AJ23" t="e">
        <v>#N/A</v>
      </c>
      <c r="AK23" t="e">
        <v>#N/A</v>
      </c>
      <c r="AL23" t="e">
        <v>#N/A</v>
      </c>
      <c r="AM23" t="e">
        <v>#N/A</v>
      </c>
      <c r="AN23" t="e">
        <v>#N/A</v>
      </c>
      <c r="AO23" t="e">
        <v>#N/A</v>
      </c>
      <c r="AP23" t="e">
        <v>#N/A</v>
      </c>
      <c r="AQ23" t="e">
        <v>#N/A</v>
      </c>
      <c r="AR23">
        <v>129</v>
      </c>
      <c r="AS23">
        <v>2.78</v>
      </c>
      <c r="AT23">
        <v>2.92</v>
      </c>
      <c r="AU23">
        <v>1.17</v>
      </c>
      <c r="AV23">
        <v>10.84</v>
      </c>
      <c r="AW23">
        <v>4.6500000000000004</v>
      </c>
      <c r="AX23">
        <v>0.04</v>
      </c>
      <c r="AY23">
        <v>0</v>
      </c>
      <c r="AZ23">
        <v>0</v>
      </c>
      <c r="BA23">
        <v>156</v>
      </c>
      <c r="BB23">
        <v>0</v>
      </c>
      <c r="BC23">
        <v>19.41</v>
      </c>
      <c r="BD23">
        <v>0</v>
      </c>
      <c r="BE23">
        <v>18.8</v>
      </c>
      <c r="BF23">
        <v>0</v>
      </c>
      <c r="BG23">
        <v>5.87</v>
      </c>
    </row>
    <row r="24" spans="1:60" ht="17.25" hidden="1" thickBot="1" x14ac:dyDescent="0.35">
      <c r="A24" t="s">
        <v>205</v>
      </c>
      <c r="B24">
        <v>43</v>
      </c>
      <c r="C24" t="e">
        <v>#N/A</v>
      </c>
      <c r="D24">
        <v>1.19</v>
      </c>
      <c r="E24">
        <v>0.65</v>
      </c>
      <c r="F24">
        <v>13.63</v>
      </c>
      <c r="G24" t="e">
        <v>#N/A</v>
      </c>
      <c r="H24" s="52" t="e">
        <v>#N/A</v>
      </c>
      <c r="I24" s="51" t="e">
        <v>#N/A</v>
      </c>
      <c r="J24" s="51">
        <v>0.93</v>
      </c>
      <c r="K24" s="53">
        <v>12</v>
      </c>
      <c r="L24">
        <v>37</v>
      </c>
      <c r="M24">
        <v>0.36</v>
      </c>
      <c r="N24">
        <v>0</v>
      </c>
      <c r="O24">
        <v>419</v>
      </c>
      <c r="P24" t="e">
        <v>#N/A</v>
      </c>
      <c r="Q24">
        <v>0</v>
      </c>
      <c r="R24">
        <v>0.03</v>
      </c>
      <c r="S24">
        <v>0.14000000000000001</v>
      </c>
      <c r="T24">
        <v>0.5</v>
      </c>
      <c r="U24">
        <v>12.13</v>
      </c>
      <c r="V24">
        <v>0</v>
      </c>
      <c r="W24" t="e">
        <v>#N/A</v>
      </c>
      <c r="X24" t="e">
        <v>#N/A</v>
      </c>
      <c r="Y24" t="e">
        <v>#N/A</v>
      </c>
      <c r="Z24" t="e">
        <v>#N/A</v>
      </c>
      <c r="AA24" t="e">
        <v>#N/A</v>
      </c>
      <c r="AB24" t="e">
        <v>#N/A</v>
      </c>
      <c r="AC24" t="e">
        <v>#N/A</v>
      </c>
      <c r="AD24" t="e">
        <v>#N/A</v>
      </c>
      <c r="AE24" t="e">
        <v>#N/A</v>
      </c>
      <c r="AF24" t="e">
        <v>#N/A</v>
      </c>
      <c r="AG24" t="e">
        <v>#N/A</v>
      </c>
      <c r="AH24" t="e">
        <v>#N/A</v>
      </c>
      <c r="AI24" t="e">
        <v>#N/A</v>
      </c>
      <c r="AJ24" t="e">
        <v>#N/A</v>
      </c>
      <c r="AK24" t="e">
        <v>#N/A</v>
      </c>
      <c r="AL24" t="e">
        <v>#N/A</v>
      </c>
      <c r="AM24" t="e">
        <v>#N/A</v>
      </c>
      <c r="AN24" t="e">
        <v>#N/A</v>
      </c>
      <c r="AO24" t="e">
        <v>#N/A</v>
      </c>
      <c r="AP24" t="e">
        <v>#N/A</v>
      </c>
      <c r="AQ24" t="e">
        <v>#N/A</v>
      </c>
      <c r="AR24">
        <v>17</v>
      </c>
      <c r="AS24">
        <v>0.05</v>
      </c>
      <c r="AT24">
        <v>0.59</v>
      </c>
      <c r="AU24">
        <v>0.05</v>
      </c>
      <c r="AV24">
        <v>4.47</v>
      </c>
      <c r="AW24">
        <v>0.91</v>
      </c>
      <c r="AX24">
        <v>0.02</v>
      </c>
      <c r="AY24">
        <v>0.72</v>
      </c>
      <c r="AZ24">
        <v>0</v>
      </c>
      <c r="BA24">
        <v>19</v>
      </c>
      <c r="BB24">
        <v>0</v>
      </c>
      <c r="BC24">
        <v>3.94</v>
      </c>
      <c r="BD24">
        <v>0</v>
      </c>
      <c r="BE24">
        <v>0</v>
      </c>
      <c r="BF24">
        <v>0</v>
      </c>
      <c r="BG24">
        <v>0.12</v>
      </c>
      <c r="BH24">
        <f>VLOOKUP(BH23,$E$15:$I$71,2,FALSE)</f>
        <v>0</v>
      </c>
    </row>
    <row r="25" spans="1:60" ht="17.25" thickBot="1" x14ac:dyDescent="0.35">
      <c r="A25" s="842" t="s">
        <v>383</v>
      </c>
      <c r="B25" s="843"/>
      <c r="C25" s="843"/>
      <c r="D25" s="843"/>
      <c r="E25" s="843"/>
      <c r="F25" s="844"/>
      <c r="G25" s="48"/>
      <c r="H25" s="52" t="s">
        <v>229</v>
      </c>
      <c r="I25" s="193" t="s">
        <v>125</v>
      </c>
      <c r="J25" s="192"/>
      <c r="K25" s="53"/>
    </row>
    <row r="26" spans="1:60" ht="17.25" thickBot="1" x14ac:dyDescent="0.35">
      <c r="A26" s="110" t="s">
        <v>216</v>
      </c>
      <c r="B26" s="109" t="s">
        <v>217</v>
      </c>
      <c r="C26" s="849" t="s">
        <v>240</v>
      </c>
      <c r="D26" s="110" t="s">
        <v>45</v>
      </c>
      <c r="E26" s="111" t="s">
        <v>46</v>
      </c>
      <c r="F26" s="109" t="s">
        <v>208</v>
      </c>
      <c r="G26" s="48"/>
      <c r="H26" s="9" t="s">
        <v>230</v>
      </c>
      <c r="I26" s="20"/>
      <c r="J26" s="20"/>
      <c r="K26" s="22"/>
    </row>
    <row r="27" spans="1:60" ht="17.25" thickBot="1" x14ac:dyDescent="0.35">
      <c r="A27" s="189" t="s">
        <v>620</v>
      </c>
      <c r="B27" s="190">
        <v>412</v>
      </c>
      <c r="C27" s="850"/>
      <c r="D27" s="190">
        <v>82</v>
      </c>
      <c r="E27" s="190">
        <v>7.5</v>
      </c>
      <c r="F27" s="191">
        <v>4</v>
      </c>
    </row>
    <row r="28" spans="1:60" ht="17.25" thickBot="1" x14ac:dyDescent="0.35">
      <c r="A28" s="189" t="s">
        <v>219</v>
      </c>
      <c r="B28" s="190">
        <v>384</v>
      </c>
      <c r="C28" s="850"/>
      <c r="D28" s="190">
        <v>11</v>
      </c>
      <c r="E28" s="190">
        <v>7.7</v>
      </c>
      <c r="F28" s="191">
        <v>62</v>
      </c>
      <c r="H28" s="836" t="s">
        <v>237</v>
      </c>
      <c r="I28" s="837"/>
    </row>
    <row r="29" spans="1:60" x14ac:dyDescent="0.3">
      <c r="A29" s="189" t="s">
        <v>220</v>
      </c>
      <c r="B29" s="190">
        <v>0</v>
      </c>
      <c r="C29" s="850"/>
      <c r="D29" s="190">
        <v>0</v>
      </c>
      <c r="E29" s="190">
        <v>0</v>
      </c>
      <c r="F29" s="191">
        <v>0</v>
      </c>
      <c r="H29" s="838" t="s">
        <v>239</v>
      </c>
      <c r="I29" s="839"/>
    </row>
    <row r="30" spans="1:60" ht="17.25" thickBot="1" x14ac:dyDescent="0.35">
      <c r="A30" s="189" t="s">
        <v>221</v>
      </c>
      <c r="B30" s="190">
        <v>0</v>
      </c>
      <c r="C30" s="850"/>
      <c r="D30" s="190">
        <v>0</v>
      </c>
      <c r="E30" s="190">
        <v>0</v>
      </c>
      <c r="F30" s="191">
        <v>0</v>
      </c>
      <c r="H30" s="840" t="s">
        <v>238</v>
      </c>
      <c r="I30" s="841"/>
    </row>
    <row r="31" spans="1:60" x14ac:dyDescent="0.3">
      <c r="A31" s="189" t="s">
        <v>243</v>
      </c>
      <c r="B31" s="190">
        <v>0</v>
      </c>
      <c r="C31" s="850"/>
      <c r="D31" s="190">
        <v>0</v>
      </c>
      <c r="E31" s="190">
        <v>0</v>
      </c>
      <c r="F31" s="191">
        <v>0</v>
      </c>
    </row>
    <row r="32" spans="1:60" x14ac:dyDescent="0.3">
      <c r="A32" s="189" t="s">
        <v>222</v>
      </c>
      <c r="B32" s="190">
        <v>0</v>
      </c>
      <c r="C32" s="850"/>
      <c r="D32" s="190">
        <v>0</v>
      </c>
      <c r="E32" s="190">
        <v>0</v>
      </c>
      <c r="F32" s="191">
        <v>0</v>
      </c>
    </row>
    <row r="33" spans="1:11" ht="17.25" thickBot="1" x14ac:dyDescent="0.35">
      <c r="A33" s="9"/>
      <c r="B33" s="68"/>
      <c r="C33" s="851"/>
      <c r="D33" s="68"/>
      <c r="E33" s="68"/>
      <c r="F33" s="112"/>
    </row>
    <row r="34" spans="1:11" ht="17.25" thickBot="1" x14ac:dyDescent="0.35"/>
    <row r="35" spans="1:11" ht="17.25" thickBot="1" x14ac:dyDescent="0.35">
      <c r="A35" s="78"/>
      <c r="B35" s="79" t="s">
        <v>206</v>
      </c>
      <c r="C35" s="80" t="s">
        <v>207</v>
      </c>
      <c r="D35" s="80" t="s">
        <v>217</v>
      </c>
      <c r="E35" s="80" t="s">
        <v>208</v>
      </c>
      <c r="F35" s="80" t="s">
        <v>45</v>
      </c>
      <c r="G35" s="81" t="s">
        <v>46</v>
      </c>
    </row>
    <row r="36" spans="1:11" x14ac:dyDescent="0.3">
      <c r="A36" s="54" t="s">
        <v>209</v>
      </c>
      <c r="B36" s="194" t="s">
        <v>531</v>
      </c>
      <c r="C36" s="190">
        <f>90*4</f>
        <v>360</v>
      </c>
      <c r="D36" s="69">
        <f t="shared" ref="D36:D55" si="0">VLOOKUP($B36,$A$4:$BG$33,2,FALSE)*C36/100</f>
        <v>1306.8</v>
      </c>
      <c r="E36" s="82">
        <f t="shared" ref="E36:E55" si="1">VLOOKUP($B36,$A$4:$BG$33,6,FALSE)*C36/100</f>
        <v>286.2</v>
      </c>
      <c r="F36" s="82">
        <f t="shared" ref="F36:F55" si="2">VLOOKUP($B36,$A$4:$BG$33,4,FALSE)*C36/100</f>
        <v>23.04</v>
      </c>
      <c r="G36" s="83">
        <f t="shared" ref="G36:G55" si="3">VLOOKUP($B36,$A$4:$BG$33,5,FALSE)*C36/100</f>
        <v>1.44</v>
      </c>
      <c r="H36" s="113" t="s">
        <v>233</v>
      </c>
      <c r="I36" s="845">
        <f>SUM(D36:D40)</f>
        <v>2698.8</v>
      </c>
      <c r="J36" s="847" t="s">
        <v>217</v>
      </c>
      <c r="K36" s="829" t="s">
        <v>213</v>
      </c>
    </row>
    <row r="37" spans="1:11" x14ac:dyDescent="0.3">
      <c r="A37" s="54"/>
      <c r="B37" s="194" t="s">
        <v>195</v>
      </c>
      <c r="C37" s="190"/>
      <c r="D37" s="69">
        <f t="shared" si="0"/>
        <v>0</v>
      </c>
      <c r="E37" s="82">
        <f t="shared" si="1"/>
        <v>0</v>
      </c>
      <c r="F37" s="82">
        <f t="shared" si="2"/>
        <v>0</v>
      </c>
      <c r="G37" s="83">
        <f t="shared" si="3"/>
        <v>0</v>
      </c>
      <c r="H37" s="114" t="s">
        <v>217</v>
      </c>
      <c r="I37" s="846"/>
      <c r="J37" s="848"/>
      <c r="K37" s="761"/>
    </row>
    <row r="38" spans="1:11" x14ac:dyDescent="0.3">
      <c r="A38" s="54"/>
      <c r="B38" s="194" t="s">
        <v>533</v>
      </c>
      <c r="C38" s="190">
        <v>300</v>
      </c>
      <c r="D38" s="69">
        <f t="shared" si="0"/>
        <v>540</v>
      </c>
      <c r="E38" s="82">
        <f t="shared" si="1"/>
        <v>3.9</v>
      </c>
      <c r="F38" s="82">
        <f t="shared" si="2"/>
        <v>60.6</v>
      </c>
      <c r="G38" s="83">
        <f t="shared" si="3"/>
        <v>28.5</v>
      </c>
      <c r="H38" s="114" t="s">
        <v>208</v>
      </c>
      <c r="I38" s="129">
        <f>SUM(E36:E40)</f>
        <v>302.23799999999994</v>
      </c>
      <c r="J38" s="72">
        <f>I38*4</f>
        <v>1208.9519999999998</v>
      </c>
      <c r="K38" s="127">
        <f>J38/$I$36</f>
        <v>0.44795909293019109</v>
      </c>
    </row>
    <row r="39" spans="1:11" x14ac:dyDescent="0.3">
      <c r="A39" s="54"/>
      <c r="B39" s="194" t="s">
        <v>619</v>
      </c>
      <c r="C39" s="190">
        <v>150</v>
      </c>
      <c r="D39" s="69">
        <f t="shared" si="0"/>
        <v>618</v>
      </c>
      <c r="E39" s="82">
        <f t="shared" si="1"/>
        <v>6</v>
      </c>
      <c r="F39" s="82">
        <f t="shared" si="2"/>
        <v>123</v>
      </c>
      <c r="G39" s="83">
        <f t="shared" si="3"/>
        <v>11.25</v>
      </c>
      <c r="H39" s="114" t="s">
        <v>45</v>
      </c>
      <c r="I39" s="129">
        <f>SUM(F36:F40)</f>
        <v>229.03199999999998</v>
      </c>
      <c r="J39" s="72">
        <f>I39*4</f>
        <v>916.12799999999993</v>
      </c>
      <c r="K39" s="127">
        <f>J39/$I$36</f>
        <v>0.33945753668297018</v>
      </c>
    </row>
    <row r="40" spans="1:11" ht="17.25" thickBot="1" x14ac:dyDescent="0.35">
      <c r="A40" s="55"/>
      <c r="B40" s="195" t="s">
        <v>241</v>
      </c>
      <c r="C40" s="196">
        <v>180</v>
      </c>
      <c r="D40" s="70">
        <f t="shared" si="0"/>
        <v>234</v>
      </c>
      <c r="E40" s="84">
        <f t="shared" si="1"/>
        <v>6.1380000000000008</v>
      </c>
      <c r="F40" s="84">
        <f t="shared" si="2"/>
        <v>22.391999999999999</v>
      </c>
      <c r="G40" s="85">
        <f t="shared" si="3"/>
        <v>13.265999999999998</v>
      </c>
      <c r="H40" s="114" t="s">
        <v>46</v>
      </c>
      <c r="I40" s="130">
        <f>SUM(G36:G40)</f>
        <v>54.455999999999996</v>
      </c>
      <c r="J40" s="73">
        <f>I40*9</f>
        <v>490.10399999999998</v>
      </c>
      <c r="K40" s="128">
        <f>J40/$I$36</f>
        <v>0.181600711427301</v>
      </c>
    </row>
    <row r="41" spans="1:11" x14ac:dyDescent="0.3">
      <c r="A41" s="56" t="s">
        <v>210</v>
      </c>
      <c r="B41" s="197" t="s">
        <v>531</v>
      </c>
      <c r="C41" s="198">
        <v>100</v>
      </c>
      <c r="D41" s="71">
        <f t="shared" si="0"/>
        <v>363</v>
      </c>
      <c r="E41" s="86">
        <f t="shared" si="1"/>
        <v>79.5</v>
      </c>
      <c r="F41" s="86">
        <f t="shared" si="2"/>
        <v>6.4</v>
      </c>
      <c r="G41" s="87">
        <f t="shared" si="3"/>
        <v>0.4</v>
      </c>
      <c r="H41" s="115" t="s">
        <v>234</v>
      </c>
      <c r="I41" s="845">
        <f>SUM(D41:D45)</f>
        <v>461</v>
      </c>
      <c r="J41" s="847" t="s">
        <v>217</v>
      </c>
      <c r="K41" s="829" t="s">
        <v>213</v>
      </c>
    </row>
    <row r="42" spans="1:11" x14ac:dyDescent="0.3">
      <c r="A42" s="57"/>
      <c r="B42" s="194" t="s">
        <v>195</v>
      </c>
      <c r="C42" s="190">
        <v>100</v>
      </c>
      <c r="D42" s="72">
        <f t="shared" si="0"/>
        <v>98</v>
      </c>
      <c r="E42" s="88">
        <f t="shared" si="1"/>
        <v>0</v>
      </c>
      <c r="F42" s="88">
        <f t="shared" si="2"/>
        <v>22.97</v>
      </c>
      <c r="G42" s="89">
        <f t="shared" si="3"/>
        <v>0.97</v>
      </c>
      <c r="H42" s="115" t="s">
        <v>217</v>
      </c>
      <c r="I42" s="846"/>
      <c r="J42" s="848"/>
      <c r="K42" s="761"/>
    </row>
    <row r="43" spans="1:11" x14ac:dyDescent="0.3">
      <c r="A43" s="57"/>
      <c r="B43" s="194" t="s">
        <v>533</v>
      </c>
      <c r="C43" s="190"/>
      <c r="D43" s="72">
        <f t="shared" si="0"/>
        <v>0</v>
      </c>
      <c r="E43" s="88">
        <f t="shared" si="1"/>
        <v>0</v>
      </c>
      <c r="F43" s="88">
        <f t="shared" si="2"/>
        <v>0</v>
      </c>
      <c r="G43" s="89">
        <f t="shared" si="3"/>
        <v>0</v>
      </c>
      <c r="H43" s="115" t="s">
        <v>208</v>
      </c>
      <c r="I43" s="129">
        <f>SUM(E41:E45)</f>
        <v>79.5</v>
      </c>
      <c r="J43" s="72">
        <f>I43*4</f>
        <v>318</v>
      </c>
      <c r="K43" s="127">
        <f>J43/$I$41</f>
        <v>0.68980477223427328</v>
      </c>
    </row>
    <row r="44" spans="1:11" x14ac:dyDescent="0.3">
      <c r="A44" s="57"/>
      <c r="B44" s="194" t="s">
        <v>215</v>
      </c>
      <c r="C44" s="190"/>
      <c r="D44" s="72">
        <f t="shared" si="0"/>
        <v>0</v>
      </c>
      <c r="E44" s="88">
        <f t="shared" si="1"/>
        <v>0</v>
      </c>
      <c r="F44" s="88">
        <f t="shared" si="2"/>
        <v>0</v>
      </c>
      <c r="G44" s="89">
        <f t="shared" si="3"/>
        <v>0</v>
      </c>
      <c r="H44" s="115" t="s">
        <v>45</v>
      </c>
      <c r="I44" s="129">
        <f>SUM(F41:F45)</f>
        <v>29.369999999999997</v>
      </c>
      <c r="J44" s="72">
        <f>I44*4</f>
        <v>117.47999999999999</v>
      </c>
      <c r="K44" s="127">
        <f>J44/$I$41</f>
        <v>0.25483731019522776</v>
      </c>
    </row>
    <row r="45" spans="1:11" ht="17.25" thickBot="1" x14ac:dyDescent="0.35">
      <c r="A45" s="58"/>
      <c r="B45" s="195" t="s">
        <v>190</v>
      </c>
      <c r="C45" s="196"/>
      <c r="D45" s="73">
        <f t="shared" si="0"/>
        <v>0</v>
      </c>
      <c r="E45" s="90">
        <f t="shared" si="1"/>
        <v>0</v>
      </c>
      <c r="F45" s="90">
        <f t="shared" si="2"/>
        <v>0</v>
      </c>
      <c r="G45" s="91">
        <f t="shared" si="3"/>
        <v>0</v>
      </c>
      <c r="H45" s="115" t="s">
        <v>46</v>
      </c>
      <c r="I45" s="130">
        <f>SUM(G41:G45)</f>
        <v>1.37</v>
      </c>
      <c r="J45" s="73">
        <f>I45*9</f>
        <v>12.330000000000002</v>
      </c>
      <c r="K45" s="128">
        <f>J45/$I$41</f>
        <v>2.6746203904555319E-2</v>
      </c>
    </row>
    <row r="46" spans="1:11" x14ac:dyDescent="0.3">
      <c r="A46" s="59" t="s">
        <v>223</v>
      </c>
      <c r="B46" s="197" t="s">
        <v>531</v>
      </c>
      <c r="C46" s="198"/>
      <c r="D46" s="74">
        <f t="shared" si="0"/>
        <v>0</v>
      </c>
      <c r="E46" s="92">
        <f t="shared" si="1"/>
        <v>0</v>
      </c>
      <c r="F46" s="92">
        <f t="shared" si="2"/>
        <v>0</v>
      </c>
      <c r="G46" s="93">
        <f t="shared" si="3"/>
        <v>0</v>
      </c>
      <c r="H46" s="116" t="s">
        <v>235</v>
      </c>
      <c r="I46" s="845">
        <f>SUM(D46:D50)</f>
        <v>0</v>
      </c>
      <c r="J46" s="847" t="s">
        <v>217</v>
      </c>
      <c r="K46" s="829" t="s">
        <v>213</v>
      </c>
    </row>
    <row r="47" spans="1:11" x14ac:dyDescent="0.3">
      <c r="A47" s="60"/>
      <c r="B47" s="194" t="s">
        <v>532</v>
      </c>
      <c r="C47" s="190"/>
      <c r="D47" s="75">
        <f t="shared" si="0"/>
        <v>0</v>
      </c>
      <c r="E47" s="94">
        <f t="shared" si="1"/>
        <v>0</v>
      </c>
      <c r="F47" s="94">
        <f t="shared" si="2"/>
        <v>0</v>
      </c>
      <c r="G47" s="95">
        <f t="shared" si="3"/>
        <v>0</v>
      </c>
      <c r="H47" s="116" t="s">
        <v>217</v>
      </c>
      <c r="I47" s="846"/>
      <c r="J47" s="848"/>
      <c r="K47" s="761"/>
    </row>
    <row r="48" spans="1:11" x14ac:dyDescent="0.3">
      <c r="A48" s="60"/>
      <c r="B48" s="194" t="s">
        <v>533</v>
      </c>
      <c r="C48" s="190"/>
      <c r="D48" s="75">
        <f t="shared" si="0"/>
        <v>0</v>
      </c>
      <c r="E48" s="94">
        <f t="shared" si="1"/>
        <v>0</v>
      </c>
      <c r="F48" s="94">
        <f t="shared" si="2"/>
        <v>0</v>
      </c>
      <c r="G48" s="95">
        <f t="shared" si="3"/>
        <v>0</v>
      </c>
      <c r="H48" s="116" t="s">
        <v>208</v>
      </c>
      <c r="I48" s="129">
        <f>SUM(E46:E50)</f>
        <v>0</v>
      </c>
      <c r="J48" s="72">
        <f>I48*4</f>
        <v>0</v>
      </c>
      <c r="K48" s="127">
        <f>J48/$I$41</f>
        <v>0</v>
      </c>
    </row>
    <row r="49" spans="1:11" x14ac:dyDescent="0.3">
      <c r="A49" s="60"/>
      <c r="B49" s="194" t="s">
        <v>218</v>
      </c>
      <c r="C49" s="190">
        <v>0</v>
      </c>
      <c r="D49" s="75">
        <f t="shared" si="0"/>
        <v>0</v>
      </c>
      <c r="E49" s="94">
        <f t="shared" si="1"/>
        <v>0</v>
      </c>
      <c r="F49" s="94">
        <f t="shared" si="2"/>
        <v>0</v>
      </c>
      <c r="G49" s="95">
        <f t="shared" si="3"/>
        <v>0</v>
      </c>
      <c r="H49" s="116" t="s">
        <v>45</v>
      </c>
      <c r="I49" s="129">
        <f>SUM(F46:F50)</f>
        <v>0</v>
      </c>
      <c r="J49" s="72">
        <f>I49*4</f>
        <v>0</v>
      </c>
      <c r="K49" s="127">
        <f>J49/$I$41</f>
        <v>0</v>
      </c>
    </row>
    <row r="50" spans="1:11" ht="17.25" thickBot="1" x14ac:dyDescent="0.35">
      <c r="A50" s="61"/>
      <c r="B50" s="195" t="s">
        <v>215</v>
      </c>
      <c r="C50" s="196"/>
      <c r="D50" s="18">
        <f t="shared" si="0"/>
        <v>0</v>
      </c>
      <c r="E50" s="96">
        <f t="shared" si="1"/>
        <v>0</v>
      </c>
      <c r="F50" s="96">
        <f t="shared" si="2"/>
        <v>0</v>
      </c>
      <c r="G50" s="97">
        <f t="shared" si="3"/>
        <v>0</v>
      </c>
      <c r="H50" s="116" t="s">
        <v>46</v>
      </c>
      <c r="I50" s="130">
        <f>SUM(G46:G50)</f>
        <v>0</v>
      </c>
      <c r="J50" s="73">
        <f>I50*9</f>
        <v>0</v>
      </c>
      <c r="K50" s="128">
        <f>J50/$I$41</f>
        <v>0</v>
      </c>
    </row>
    <row r="51" spans="1:11" x14ac:dyDescent="0.3">
      <c r="A51" s="102" t="s">
        <v>224</v>
      </c>
      <c r="B51" s="197" t="s">
        <v>531</v>
      </c>
      <c r="C51" s="198"/>
      <c r="D51" s="103">
        <f t="shared" si="0"/>
        <v>0</v>
      </c>
      <c r="E51" s="104">
        <f t="shared" si="1"/>
        <v>0</v>
      </c>
      <c r="F51" s="104">
        <f t="shared" si="2"/>
        <v>0</v>
      </c>
      <c r="G51" s="105">
        <f t="shared" si="3"/>
        <v>0</v>
      </c>
      <c r="H51" s="117" t="s">
        <v>236</v>
      </c>
      <c r="I51" s="845">
        <f>SUM(D51:D55)</f>
        <v>0</v>
      </c>
      <c r="J51" s="847" t="s">
        <v>217</v>
      </c>
      <c r="K51" s="829" t="s">
        <v>213</v>
      </c>
    </row>
    <row r="52" spans="1:11" x14ac:dyDescent="0.3">
      <c r="A52" s="62"/>
      <c r="B52" s="199" t="s">
        <v>532</v>
      </c>
      <c r="C52" s="190"/>
      <c r="D52" s="76">
        <f t="shared" si="0"/>
        <v>0</v>
      </c>
      <c r="E52" s="98">
        <f t="shared" si="1"/>
        <v>0</v>
      </c>
      <c r="F52" s="98">
        <f t="shared" si="2"/>
        <v>0</v>
      </c>
      <c r="G52" s="99">
        <f t="shared" si="3"/>
        <v>0</v>
      </c>
      <c r="H52" s="117" t="s">
        <v>217</v>
      </c>
      <c r="I52" s="846"/>
      <c r="J52" s="848"/>
      <c r="K52" s="761"/>
    </row>
    <row r="53" spans="1:11" x14ac:dyDescent="0.3">
      <c r="A53" s="62"/>
      <c r="B53" s="199" t="s">
        <v>533</v>
      </c>
      <c r="C53" s="190"/>
      <c r="D53" s="76">
        <f t="shared" si="0"/>
        <v>0</v>
      </c>
      <c r="E53" s="98">
        <f t="shared" si="1"/>
        <v>0</v>
      </c>
      <c r="F53" s="98">
        <f t="shared" si="2"/>
        <v>0</v>
      </c>
      <c r="G53" s="99">
        <f t="shared" si="3"/>
        <v>0</v>
      </c>
      <c r="H53" s="117" t="s">
        <v>208</v>
      </c>
      <c r="I53" s="129">
        <f>SUM(E51:E55)</f>
        <v>0</v>
      </c>
      <c r="J53" s="72">
        <f>I53*4</f>
        <v>0</v>
      </c>
      <c r="K53" s="127">
        <f>J53/$I$41</f>
        <v>0</v>
      </c>
    </row>
    <row r="54" spans="1:11" x14ac:dyDescent="0.3">
      <c r="A54" s="62"/>
      <c r="B54" s="199" t="s">
        <v>241</v>
      </c>
      <c r="C54" s="190"/>
      <c r="D54" s="76">
        <f t="shared" si="0"/>
        <v>0</v>
      </c>
      <c r="E54" s="98">
        <f t="shared" si="1"/>
        <v>0</v>
      </c>
      <c r="F54" s="98">
        <f t="shared" si="2"/>
        <v>0</v>
      </c>
      <c r="G54" s="99">
        <f t="shared" si="3"/>
        <v>0</v>
      </c>
      <c r="H54" s="117" t="s">
        <v>45</v>
      </c>
      <c r="I54" s="129">
        <f>SUM(F51:F55)</f>
        <v>0</v>
      </c>
      <c r="J54" s="72">
        <f>I54*4</f>
        <v>0</v>
      </c>
      <c r="K54" s="127">
        <f>J54/$I$41</f>
        <v>0</v>
      </c>
    </row>
    <row r="55" spans="1:11" ht="17.25" thickBot="1" x14ac:dyDescent="0.35">
      <c r="A55" s="63"/>
      <c r="B55" s="200" t="s">
        <v>242</v>
      </c>
      <c r="C55" s="196"/>
      <c r="D55" s="77">
        <f t="shared" si="0"/>
        <v>0</v>
      </c>
      <c r="E55" s="100">
        <f t="shared" si="1"/>
        <v>0</v>
      </c>
      <c r="F55" s="100">
        <f t="shared" si="2"/>
        <v>0</v>
      </c>
      <c r="G55" s="101">
        <f t="shared" si="3"/>
        <v>0</v>
      </c>
      <c r="H55" s="118" t="s">
        <v>46</v>
      </c>
      <c r="I55" s="130">
        <f>SUM(G51:G55)</f>
        <v>0</v>
      </c>
      <c r="J55" s="73">
        <f>I55*9</f>
        <v>0</v>
      </c>
      <c r="K55" s="128">
        <f>J55/$I$41</f>
        <v>0</v>
      </c>
    </row>
    <row r="57" spans="1:11" x14ac:dyDescent="0.3">
      <c r="C57" s="44" t="s">
        <v>211</v>
      </c>
      <c r="D57" s="45"/>
      <c r="E57" s="65">
        <f>SUM(E36:E56)</f>
        <v>381.73799999999994</v>
      </c>
      <c r="F57" s="65">
        <f t="shared" ref="F57:G57" si="4">SUM(F36:F56)</f>
        <v>258.40199999999999</v>
      </c>
      <c r="G57" s="65">
        <f t="shared" si="4"/>
        <v>55.825999999999993</v>
      </c>
    </row>
    <row r="58" spans="1:11" x14ac:dyDescent="0.3">
      <c r="C58" s="46" t="s">
        <v>212</v>
      </c>
      <c r="D58" s="66">
        <f>SUM(D36:D56)</f>
        <v>3159.8</v>
      </c>
      <c r="E58" s="66">
        <f>SUM(E36:E56)*4</f>
        <v>1526.9519999999998</v>
      </c>
      <c r="F58" s="66">
        <f>SUM(F36:F56)*4</f>
        <v>1033.6079999999999</v>
      </c>
      <c r="G58" s="66">
        <f>SUM(G36:G56)*9</f>
        <v>502.43399999999997</v>
      </c>
    </row>
    <row r="59" spans="1:11" ht="17.25" thickBot="1" x14ac:dyDescent="0.35">
      <c r="D59" s="49" t="s">
        <v>213</v>
      </c>
      <c r="E59" s="67">
        <f>E58/$D$58</f>
        <v>0.48324324324324314</v>
      </c>
      <c r="F59" s="67">
        <f>F58/$D$58</f>
        <v>0.32711184252167858</v>
      </c>
      <c r="G59" s="67">
        <f>G58/$D$58</f>
        <v>0.15900816507373883</v>
      </c>
    </row>
    <row r="60" spans="1:11" x14ac:dyDescent="0.3">
      <c r="C60" s="119"/>
      <c r="D60" s="131" t="s">
        <v>226</v>
      </c>
      <c r="E60" s="132" t="s">
        <v>214</v>
      </c>
      <c r="F60" s="133" t="s">
        <v>225</v>
      </c>
      <c r="G60" s="1"/>
    </row>
    <row r="61" spans="1:11" x14ac:dyDescent="0.3">
      <c r="C61" s="50" t="s">
        <v>217</v>
      </c>
      <c r="D61" s="201">
        <v>2400</v>
      </c>
      <c r="E61" s="134">
        <f>D58</f>
        <v>3159.8</v>
      </c>
      <c r="F61" s="135">
        <f>D61-E61</f>
        <v>-759.80000000000018</v>
      </c>
      <c r="G61" s="1"/>
    </row>
    <row r="62" spans="1:11" x14ac:dyDescent="0.3">
      <c r="C62" s="50" t="s">
        <v>208</v>
      </c>
      <c r="D62" s="202">
        <v>360</v>
      </c>
      <c r="E62" s="136">
        <f>E57</f>
        <v>381.73799999999994</v>
      </c>
      <c r="F62" s="137">
        <f>D62-E62</f>
        <v>-21.737999999999943</v>
      </c>
      <c r="G62" s="1"/>
    </row>
    <row r="63" spans="1:11" x14ac:dyDescent="0.3">
      <c r="C63" s="50" t="s">
        <v>45</v>
      </c>
      <c r="D63" s="202">
        <v>120</v>
      </c>
      <c r="E63" s="136">
        <f>F57</f>
        <v>258.40199999999999</v>
      </c>
      <c r="F63" s="135">
        <f>D63-E63</f>
        <v>-138.40199999999999</v>
      </c>
      <c r="G63" s="1"/>
    </row>
    <row r="64" spans="1:11" ht="17.25" thickBot="1" x14ac:dyDescent="0.35">
      <c r="C64" s="140" t="s">
        <v>46</v>
      </c>
      <c r="D64" s="203">
        <v>53.3</v>
      </c>
      <c r="E64" s="138">
        <f>G57</f>
        <v>55.825999999999993</v>
      </c>
      <c r="F64" s="139">
        <f>D64-E64</f>
        <v>-2.5259999999999962</v>
      </c>
      <c r="G64" s="1"/>
    </row>
    <row r="71" spans="2:7" x14ac:dyDescent="0.3">
      <c r="B71" s="106"/>
      <c r="C71" s="106"/>
      <c r="D71" s="106"/>
      <c r="E71" s="106"/>
      <c r="F71" s="106"/>
      <c r="G71" s="106"/>
    </row>
    <row r="72" spans="2:7" x14ac:dyDescent="0.3">
      <c r="B72" s="106"/>
      <c r="C72" s="106"/>
      <c r="D72" s="106"/>
      <c r="E72" s="106"/>
      <c r="F72" s="106"/>
      <c r="G72" s="106"/>
    </row>
    <row r="73" spans="2:7" x14ac:dyDescent="0.3">
      <c r="B73" s="106"/>
      <c r="C73" s="106"/>
      <c r="D73" s="106"/>
      <c r="E73" s="106"/>
      <c r="F73" s="106"/>
      <c r="G73" s="106"/>
    </row>
    <row r="74" spans="2:7" x14ac:dyDescent="0.3">
      <c r="B74" s="106"/>
      <c r="C74" s="106"/>
      <c r="D74" s="106"/>
      <c r="E74" s="106"/>
      <c r="F74" s="106"/>
      <c r="G74" s="106"/>
    </row>
    <row r="75" spans="2:7" x14ac:dyDescent="0.3">
      <c r="B75" s="106"/>
      <c r="C75" s="106"/>
      <c r="D75" s="106"/>
      <c r="E75" s="106"/>
      <c r="F75" s="106"/>
      <c r="G75" s="106"/>
    </row>
    <row r="76" spans="2:7" x14ac:dyDescent="0.3">
      <c r="B76" s="106"/>
      <c r="C76" s="106"/>
      <c r="D76" s="106"/>
      <c r="E76" s="106"/>
      <c r="F76" s="106"/>
      <c r="G76" s="106"/>
    </row>
    <row r="77" spans="2:7" x14ac:dyDescent="0.3">
      <c r="B77" s="106"/>
      <c r="C77" s="106"/>
      <c r="D77" s="106"/>
      <c r="E77" s="106"/>
      <c r="F77" s="106"/>
      <c r="G77" s="106"/>
    </row>
    <row r="78" spans="2:7" x14ac:dyDescent="0.3">
      <c r="B78" s="106"/>
      <c r="C78" s="106"/>
      <c r="D78" s="106"/>
      <c r="E78" s="106"/>
      <c r="F78" s="106"/>
      <c r="G78" s="106"/>
    </row>
    <row r="79" spans="2:7" x14ac:dyDescent="0.3">
      <c r="B79" s="106"/>
      <c r="C79" s="106"/>
      <c r="D79" s="106"/>
      <c r="E79" s="106"/>
      <c r="F79" s="106"/>
      <c r="G79" s="106"/>
    </row>
    <row r="80" spans="2:7" x14ac:dyDescent="0.3">
      <c r="B80" s="106"/>
      <c r="C80" s="106"/>
      <c r="D80" s="106"/>
      <c r="E80" s="106"/>
      <c r="F80" s="106"/>
      <c r="G80" s="106"/>
    </row>
    <row r="81" spans="2:7" x14ac:dyDescent="0.3">
      <c r="B81" s="106"/>
      <c r="C81" s="106"/>
      <c r="D81" s="106"/>
      <c r="E81" s="106"/>
      <c r="F81" s="106"/>
      <c r="G81" s="106"/>
    </row>
    <row r="82" spans="2:7" x14ac:dyDescent="0.3">
      <c r="B82" s="106"/>
      <c r="C82" s="106"/>
      <c r="D82" s="106"/>
      <c r="E82" s="106"/>
      <c r="F82" s="106"/>
      <c r="G82" s="106"/>
    </row>
    <row r="83" spans="2:7" x14ac:dyDescent="0.3">
      <c r="B83" s="106"/>
      <c r="C83" s="106"/>
      <c r="D83" s="106"/>
      <c r="E83" s="106"/>
      <c r="F83" s="106"/>
      <c r="G83" s="106"/>
    </row>
    <row r="84" spans="2:7" x14ac:dyDescent="0.3">
      <c r="B84" s="106"/>
      <c r="C84" s="28"/>
      <c r="D84" s="106"/>
      <c r="E84" s="106"/>
      <c r="F84" s="106"/>
      <c r="G84" s="106"/>
    </row>
    <row r="85" spans="2:7" x14ac:dyDescent="0.3">
      <c r="B85" s="106"/>
      <c r="C85" s="28"/>
      <c r="D85" s="28"/>
      <c r="E85" s="28"/>
      <c r="F85" s="28"/>
      <c r="G85" s="28"/>
    </row>
    <row r="86" spans="2:7" x14ac:dyDescent="0.3">
      <c r="B86" s="106"/>
      <c r="C86" s="106"/>
      <c r="D86" s="106"/>
      <c r="E86" s="107"/>
      <c r="F86" s="107"/>
      <c r="G86" s="107"/>
    </row>
    <row r="87" spans="2:7" x14ac:dyDescent="0.3">
      <c r="B87" s="106"/>
      <c r="C87" s="106"/>
      <c r="D87" s="106"/>
      <c r="E87" s="106"/>
      <c r="F87" s="106"/>
      <c r="G87" s="106"/>
    </row>
    <row r="88" spans="2:7" x14ac:dyDescent="0.3">
      <c r="B88" s="106"/>
      <c r="C88" s="106"/>
      <c r="D88" s="106"/>
      <c r="E88" s="106"/>
      <c r="F88" s="106"/>
      <c r="G88" s="106"/>
    </row>
    <row r="89" spans="2:7" x14ac:dyDescent="0.3">
      <c r="B89" s="106"/>
      <c r="C89" s="106"/>
      <c r="D89" s="106"/>
      <c r="E89" s="106"/>
      <c r="F89" s="106"/>
      <c r="G89" s="106"/>
    </row>
    <row r="90" spans="2:7" x14ac:dyDescent="0.3">
      <c r="B90" s="106"/>
      <c r="C90" s="106"/>
      <c r="D90" s="106"/>
      <c r="E90" s="106"/>
      <c r="F90" s="106"/>
      <c r="G90" s="106"/>
    </row>
    <row r="91" spans="2:7" x14ac:dyDescent="0.3">
      <c r="B91" s="106"/>
      <c r="C91" s="106"/>
      <c r="D91" s="106"/>
      <c r="E91" s="106"/>
      <c r="F91" s="106"/>
      <c r="G91" s="106"/>
    </row>
    <row r="92" spans="2:7" x14ac:dyDescent="0.3">
      <c r="B92" s="106"/>
      <c r="C92" s="106"/>
      <c r="D92" s="106"/>
      <c r="E92" s="106"/>
      <c r="F92" s="106"/>
      <c r="G92" s="106"/>
    </row>
    <row r="93" spans="2:7" x14ac:dyDescent="0.3">
      <c r="B93" s="106"/>
      <c r="C93" s="106"/>
      <c r="D93" s="106"/>
      <c r="E93" s="108"/>
      <c r="F93" s="106"/>
      <c r="G93" s="106"/>
    </row>
    <row r="94" spans="2:7" x14ac:dyDescent="0.3">
      <c r="B94" s="106"/>
      <c r="C94" s="106"/>
      <c r="D94" s="106"/>
      <c r="E94" s="108"/>
      <c r="F94" s="106"/>
      <c r="G94" s="106"/>
    </row>
    <row r="95" spans="2:7" x14ac:dyDescent="0.3">
      <c r="B95" s="106"/>
      <c r="C95" s="106"/>
      <c r="D95" s="106"/>
      <c r="E95" s="106"/>
      <c r="F95" s="106"/>
      <c r="G95" s="106"/>
    </row>
    <row r="96" spans="2:7" x14ac:dyDescent="0.3">
      <c r="B96" s="106"/>
      <c r="C96" s="106"/>
      <c r="D96" s="106"/>
      <c r="E96" s="108"/>
      <c r="F96" s="106"/>
      <c r="G96" s="106"/>
    </row>
    <row r="97" spans="2:7" x14ac:dyDescent="0.3">
      <c r="B97" s="106"/>
      <c r="C97" s="106"/>
      <c r="D97" s="106"/>
      <c r="E97" s="108"/>
      <c r="F97" s="106"/>
      <c r="G97" s="106"/>
    </row>
    <row r="98" spans="2:7" x14ac:dyDescent="0.3">
      <c r="B98" s="106"/>
      <c r="C98" s="106"/>
      <c r="D98" s="106"/>
      <c r="E98" s="106"/>
      <c r="F98" s="106"/>
      <c r="G98" s="106"/>
    </row>
    <row r="99" spans="2:7" x14ac:dyDescent="0.3">
      <c r="B99" s="106"/>
      <c r="C99" s="106"/>
      <c r="D99" s="106"/>
      <c r="E99" s="108"/>
      <c r="F99" s="106"/>
      <c r="G99" s="106"/>
    </row>
    <row r="100" spans="2:7" x14ac:dyDescent="0.3">
      <c r="B100" s="106"/>
      <c r="C100" s="106"/>
      <c r="D100" s="106"/>
      <c r="E100" s="106"/>
      <c r="F100" s="106"/>
      <c r="G100" s="106"/>
    </row>
    <row r="101" spans="2:7" x14ac:dyDescent="0.3">
      <c r="B101" s="106"/>
      <c r="C101" s="106"/>
      <c r="D101" s="106"/>
      <c r="E101" s="106"/>
      <c r="F101" s="106"/>
      <c r="G101" s="106"/>
    </row>
    <row r="102" spans="2:7" x14ac:dyDescent="0.3">
      <c r="B102" s="106"/>
      <c r="C102" s="106"/>
      <c r="D102" s="106"/>
      <c r="E102" s="108"/>
      <c r="F102" s="106"/>
      <c r="G102" s="106"/>
    </row>
    <row r="103" spans="2:7" x14ac:dyDescent="0.3">
      <c r="B103" s="106"/>
      <c r="C103" s="106"/>
      <c r="D103" s="106"/>
      <c r="E103" s="106"/>
      <c r="F103" s="106"/>
      <c r="G103" s="106"/>
    </row>
    <row r="104" spans="2:7" x14ac:dyDescent="0.3">
      <c r="B104" s="106"/>
      <c r="C104" s="106"/>
      <c r="D104" s="106"/>
      <c r="E104" s="106"/>
      <c r="F104" s="106"/>
      <c r="G104" s="106"/>
    </row>
    <row r="105" spans="2:7" x14ac:dyDescent="0.3">
      <c r="B105" s="106"/>
      <c r="C105" s="28"/>
      <c r="D105" s="106"/>
      <c r="E105" s="106"/>
      <c r="F105" s="106"/>
      <c r="G105" s="106"/>
    </row>
    <row r="106" spans="2:7" x14ac:dyDescent="0.3">
      <c r="B106" s="106"/>
      <c r="C106" s="28"/>
      <c r="D106" s="28"/>
      <c r="E106" s="28"/>
      <c r="F106" s="28"/>
      <c r="G106" s="28"/>
    </row>
    <row r="107" spans="2:7" x14ac:dyDescent="0.3">
      <c r="B107" s="106"/>
      <c r="C107" s="106"/>
      <c r="D107" s="106"/>
      <c r="E107" s="107"/>
      <c r="F107" s="107"/>
      <c r="G107" s="107"/>
    </row>
  </sheetData>
  <sheetProtection algorithmName="SHA-512" hashValue="Xgw4cRuALdDNTVTNyMwVusOFkJHqDSGGp602gjj6w9bEH14u1Rs3vgpVzR4umyCx6Q9hLV/uNynuq/QiFqIpIw==" saltValue="A++pYevYYK3abRgIbslCzw==" spinCount="100000" sheet="1" scenarios="1" selectLockedCells="1"/>
  <mergeCells count="19">
    <mergeCell ref="K51:K52"/>
    <mergeCell ref="A25:F25"/>
    <mergeCell ref="I36:I37"/>
    <mergeCell ref="I41:I42"/>
    <mergeCell ref="I46:I47"/>
    <mergeCell ref="I51:I52"/>
    <mergeCell ref="J51:J52"/>
    <mergeCell ref="J36:J37"/>
    <mergeCell ref="K36:K37"/>
    <mergeCell ref="J41:J42"/>
    <mergeCell ref="K41:K42"/>
    <mergeCell ref="J46:J47"/>
    <mergeCell ref="K46:K47"/>
    <mergeCell ref="C26:C33"/>
    <mergeCell ref="H1:K1"/>
    <mergeCell ref="A1:F2"/>
    <mergeCell ref="H28:I28"/>
    <mergeCell ref="H29:I29"/>
    <mergeCell ref="H30:I30"/>
  </mergeCells>
  <phoneticPr fontId="4" type="noConversion"/>
  <dataValidations count="1">
    <dataValidation type="list" allowBlank="1" showInputMessage="1" showErrorMessage="1" sqref="B36:B55" xr:uid="{725AEEB2-99CB-4638-A6F3-B602CF0BE04B}">
      <formula1>$A$4:$A$33</formula1>
    </dataValidation>
  </dataValidations>
  <hyperlinks>
    <hyperlink ref="I25" r:id="rId1" xr:uid="{BE32B5CE-51F8-451B-9C5F-3B08EA1672B8}"/>
    <hyperlink ref="H30" r:id="rId2" xr:uid="{156874A6-9BCC-4780-A75C-2EACFD8731A9}"/>
  </hyperlinks>
  <pageMargins left="0.7" right="0.7" top="0.75" bottom="0.75" header="0.3" footer="0.3"/>
  <pageSetup paperSize="9" orientation="portrait" horizontalDpi="1200" verticalDpi="1200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05DA4-25E1-41EB-AAE8-C87F10BDE644}">
  <dimension ref="A1:BH129"/>
  <sheetViews>
    <sheetView zoomScaleNormal="100" workbookViewId="0">
      <selection activeCell="A27" sqref="A27"/>
    </sheetView>
  </sheetViews>
  <sheetFormatPr defaultRowHeight="16.5" x14ac:dyDescent="0.3"/>
  <cols>
    <col min="1" max="1" width="14.375" bestFit="1" customWidth="1"/>
    <col min="2" max="2" width="14.375" customWidth="1"/>
    <col min="3" max="3" width="12" customWidth="1"/>
    <col min="4" max="4" width="13.625" customWidth="1"/>
    <col min="5" max="5" width="10.25" customWidth="1"/>
    <col min="6" max="6" width="9.875" customWidth="1"/>
    <col min="7" max="7" width="11" bestFit="1" customWidth="1"/>
    <col min="8" max="9" width="15.125" bestFit="1" customWidth="1"/>
    <col min="10" max="10" width="10.75" customWidth="1"/>
    <col min="11" max="11" width="7.5" customWidth="1"/>
    <col min="12" max="12" width="4.875" customWidth="1"/>
    <col min="13" max="13" width="3.5" customWidth="1"/>
    <col min="14" max="14" width="7.125" bestFit="1" customWidth="1"/>
    <col min="15" max="15" width="5.25" bestFit="1" customWidth="1"/>
    <col min="16" max="16" width="8.375" bestFit="1" customWidth="1"/>
    <col min="17" max="18" width="7.125" bestFit="1" customWidth="1"/>
    <col min="19" max="19" width="11" bestFit="1" customWidth="1"/>
    <col min="21" max="21" width="8.375" bestFit="1" customWidth="1"/>
    <col min="22" max="22" width="11" bestFit="1" customWidth="1"/>
    <col min="23" max="23" width="11.75" bestFit="1" customWidth="1"/>
    <col min="24" max="24" width="7.125" customWidth="1"/>
  </cols>
  <sheetData>
    <row r="1" spans="1:59" x14ac:dyDescent="0.3">
      <c r="A1" s="830" t="s">
        <v>227</v>
      </c>
      <c r="B1" s="831"/>
      <c r="C1" s="831"/>
      <c r="D1" s="831"/>
      <c r="E1" s="831"/>
      <c r="F1" s="832"/>
      <c r="H1" s="827" t="s">
        <v>228</v>
      </c>
      <c r="I1" s="828"/>
      <c r="J1" s="828"/>
      <c r="K1" s="829"/>
    </row>
    <row r="2" spans="1:59" ht="17.25" thickBot="1" x14ac:dyDescent="0.35">
      <c r="A2" s="833"/>
      <c r="B2" s="834"/>
      <c r="C2" s="834"/>
      <c r="D2" s="834"/>
      <c r="E2" s="834"/>
      <c r="F2" s="835"/>
      <c r="H2" s="50" t="s">
        <v>231</v>
      </c>
      <c r="I2" s="852" t="s">
        <v>638</v>
      </c>
      <c r="J2" s="852"/>
      <c r="K2" s="853"/>
    </row>
    <row r="3" spans="1:59" ht="17.25" hidden="1" thickBot="1" x14ac:dyDescent="0.35">
      <c r="B3" t="s">
        <v>127</v>
      </c>
      <c r="C3" t="s">
        <v>128</v>
      </c>
      <c r="D3" t="s">
        <v>129</v>
      </c>
      <c r="E3" t="s">
        <v>130</v>
      </c>
      <c r="F3" t="s">
        <v>131</v>
      </c>
      <c r="G3" t="s">
        <v>132</v>
      </c>
      <c r="H3" s="50" t="s">
        <v>133</v>
      </c>
      <c r="I3" s="45" t="s">
        <v>134</v>
      </c>
      <c r="J3" s="45" t="s">
        <v>135</v>
      </c>
      <c r="K3" s="53" t="s">
        <v>136</v>
      </c>
      <c r="L3" t="s">
        <v>137</v>
      </c>
      <c r="M3" t="s">
        <v>138</v>
      </c>
      <c r="N3" t="s">
        <v>139</v>
      </c>
      <c r="O3" t="s">
        <v>140</v>
      </c>
      <c r="P3" t="s">
        <v>141</v>
      </c>
      <c r="Q3" t="s">
        <v>142</v>
      </c>
      <c r="R3" t="s">
        <v>143</v>
      </c>
      <c r="S3" t="s">
        <v>144</v>
      </c>
      <c r="T3" t="s">
        <v>145</v>
      </c>
      <c r="U3" t="s">
        <v>146</v>
      </c>
      <c r="V3" t="s">
        <v>147</v>
      </c>
      <c r="W3" t="s">
        <v>148</v>
      </c>
      <c r="X3" t="s">
        <v>149</v>
      </c>
      <c r="Y3" t="s">
        <v>150</v>
      </c>
      <c r="Z3" t="s">
        <v>151</v>
      </c>
      <c r="AA3" t="s">
        <v>152</v>
      </c>
      <c r="AB3" t="s">
        <v>153</v>
      </c>
      <c r="AC3" t="s">
        <v>154</v>
      </c>
      <c r="AD3" t="s">
        <v>155</v>
      </c>
      <c r="AE3" t="s">
        <v>156</v>
      </c>
      <c r="AF3" t="s">
        <v>157</v>
      </c>
      <c r="AG3" t="s">
        <v>158</v>
      </c>
      <c r="AH3" t="s">
        <v>159</v>
      </c>
      <c r="AI3" t="s">
        <v>160</v>
      </c>
      <c r="AJ3" t="s">
        <v>161</v>
      </c>
      <c r="AK3" t="s">
        <v>162</v>
      </c>
      <c r="AL3" t="s">
        <v>163</v>
      </c>
      <c r="AM3" t="s">
        <v>164</v>
      </c>
      <c r="AN3" t="s">
        <v>165</v>
      </c>
      <c r="AO3" t="s">
        <v>166</v>
      </c>
      <c r="AP3" t="s">
        <v>167</v>
      </c>
      <c r="AQ3" t="s">
        <v>168</v>
      </c>
      <c r="AR3" t="s">
        <v>169</v>
      </c>
      <c r="AS3" t="s">
        <v>170</v>
      </c>
      <c r="AT3" t="s">
        <v>171</v>
      </c>
      <c r="AU3" t="s">
        <v>172</v>
      </c>
      <c r="AV3" t="s">
        <v>173</v>
      </c>
      <c r="AW3" t="s">
        <v>174</v>
      </c>
      <c r="AX3" t="s">
        <v>175</v>
      </c>
      <c r="AY3" t="s">
        <v>176</v>
      </c>
      <c r="AZ3" t="s">
        <v>177</v>
      </c>
      <c r="BA3" t="s">
        <v>178</v>
      </c>
      <c r="BB3" t="s">
        <v>179</v>
      </c>
      <c r="BC3" t="s">
        <v>180</v>
      </c>
      <c r="BD3" t="s">
        <v>181</v>
      </c>
      <c r="BE3" t="s">
        <v>182</v>
      </c>
      <c r="BF3" t="s">
        <v>147</v>
      </c>
      <c r="BG3" t="s">
        <v>183</v>
      </c>
    </row>
    <row r="4" spans="1:59" ht="17.25" hidden="1" thickBot="1" x14ac:dyDescent="0.35">
      <c r="A4" t="s">
        <v>184</v>
      </c>
      <c r="B4">
        <v>145</v>
      </c>
      <c r="C4">
        <v>58.5</v>
      </c>
      <c r="D4">
        <v>3.3</v>
      </c>
      <c r="E4">
        <v>0.2</v>
      </c>
      <c r="F4">
        <v>37.299999999999997</v>
      </c>
      <c r="H4" s="50"/>
      <c r="I4" s="45"/>
      <c r="J4" s="45">
        <v>0.7</v>
      </c>
      <c r="K4" s="53">
        <v>3</v>
      </c>
      <c r="L4">
        <v>143</v>
      </c>
      <c r="M4">
        <v>0.9</v>
      </c>
      <c r="N4">
        <v>2</v>
      </c>
      <c r="O4">
        <v>118</v>
      </c>
      <c r="P4">
        <v>0</v>
      </c>
      <c r="Q4">
        <v>0</v>
      </c>
      <c r="R4">
        <v>0.14000000000000001</v>
      </c>
      <c r="S4">
        <v>0.02</v>
      </c>
      <c r="T4">
        <v>1.1000000000000001</v>
      </c>
      <c r="U4">
        <v>0</v>
      </c>
      <c r="V4">
        <v>0</v>
      </c>
      <c r="W4">
        <v>0</v>
      </c>
      <c r="X4">
        <v>0</v>
      </c>
    </row>
    <row r="5" spans="1:59" ht="17.25" hidden="1" thickBot="1" x14ac:dyDescent="0.35">
      <c r="A5" t="s">
        <v>185</v>
      </c>
      <c r="B5">
        <v>361</v>
      </c>
      <c r="D5">
        <v>7.3</v>
      </c>
      <c r="E5">
        <v>2.8</v>
      </c>
      <c r="F5">
        <v>75.7</v>
      </c>
      <c r="G5">
        <v>4</v>
      </c>
      <c r="H5" s="50">
        <v>3.8</v>
      </c>
      <c r="I5" s="45">
        <v>0.2</v>
      </c>
      <c r="J5" s="45">
        <v>1.3</v>
      </c>
      <c r="K5" s="53">
        <v>15</v>
      </c>
      <c r="L5">
        <v>228</v>
      </c>
      <c r="M5">
        <v>1.3</v>
      </c>
      <c r="N5">
        <v>5</v>
      </c>
      <c r="O5">
        <v>218</v>
      </c>
      <c r="Q5">
        <v>0</v>
      </c>
      <c r="R5">
        <v>0.33</v>
      </c>
      <c r="S5">
        <v>0.05</v>
      </c>
      <c r="T5">
        <v>6</v>
      </c>
      <c r="U5">
        <v>0</v>
      </c>
    </row>
    <row r="6" spans="1:59" ht="17.25" hidden="1" thickBot="1" x14ac:dyDescent="0.35">
      <c r="A6" t="s">
        <v>186</v>
      </c>
      <c r="B6">
        <v>152</v>
      </c>
      <c r="C6">
        <v>63.6</v>
      </c>
      <c r="D6">
        <v>3</v>
      </c>
      <c r="E6">
        <v>0.1</v>
      </c>
      <c r="F6">
        <v>33.200000000000003</v>
      </c>
      <c r="G6" t="s">
        <v>187</v>
      </c>
      <c r="H6" s="50" t="s">
        <v>187</v>
      </c>
      <c r="I6" s="45" t="s">
        <v>187</v>
      </c>
      <c r="J6" s="45">
        <v>0.1</v>
      </c>
      <c r="K6" s="53">
        <v>2</v>
      </c>
      <c r="L6">
        <v>23</v>
      </c>
      <c r="M6">
        <v>0.4</v>
      </c>
      <c r="N6">
        <v>3</v>
      </c>
      <c r="O6">
        <v>19</v>
      </c>
      <c r="P6">
        <v>0</v>
      </c>
      <c r="Q6">
        <v>0</v>
      </c>
      <c r="R6">
        <v>0.02</v>
      </c>
      <c r="S6">
        <v>0.01</v>
      </c>
      <c r="T6">
        <v>0.3</v>
      </c>
      <c r="U6">
        <v>0</v>
      </c>
      <c r="V6">
        <v>0</v>
      </c>
      <c r="W6">
        <v>91</v>
      </c>
      <c r="X6">
        <v>190</v>
      </c>
      <c r="Y6">
        <v>83</v>
      </c>
      <c r="Z6">
        <v>61</v>
      </c>
      <c r="AA6">
        <v>53</v>
      </c>
      <c r="AB6">
        <v>120</v>
      </c>
      <c r="AC6">
        <v>96</v>
      </c>
      <c r="AD6">
        <v>84</v>
      </c>
      <c r="AE6">
        <v>35</v>
      </c>
      <c r="AF6">
        <v>130</v>
      </c>
      <c r="AG6">
        <v>61</v>
      </c>
      <c r="AH6">
        <v>190</v>
      </c>
      <c r="AI6">
        <v>130</v>
      </c>
      <c r="AJ6">
        <v>220</v>
      </c>
      <c r="AK6">
        <v>410</v>
      </c>
      <c r="AL6">
        <v>110</v>
      </c>
      <c r="AM6">
        <v>110</v>
      </c>
      <c r="AN6">
        <v>130</v>
      </c>
      <c r="AO6" t="s">
        <v>187</v>
      </c>
      <c r="AP6">
        <v>0</v>
      </c>
      <c r="AQ6">
        <v>0</v>
      </c>
    </row>
    <row r="7" spans="1:59" ht="17.25" hidden="1" thickBot="1" x14ac:dyDescent="0.35">
      <c r="A7" t="s">
        <v>188</v>
      </c>
      <c r="B7">
        <v>363</v>
      </c>
      <c r="C7">
        <v>13.4</v>
      </c>
      <c r="D7">
        <v>6.4</v>
      </c>
      <c r="E7">
        <v>0.4</v>
      </c>
      <c r="F7">
        <v>79.5</v>
      </c>
      <c r="G7" t="s">
        <v>187</v>
      </c>
      <c r="H7" s="50" t="s">
        <v>187</v>
      </c>
      <c r="I7" s="45" t="s">
        <v>187</v>
      </c>
      <c r="J7" s="45">
        <v>0.4</v>
      </c>
      <c r="K7" s="53">
        <v>7</v>
      </c>
      <c r="L7">
        <v>87</v>
      </c>
      <c r="M7">
        <v>1.3</v>
      </c>
      <c r="N7">
        <v>8</v>
      </c>
      <c r="O7">
        <v>170</v>
      </c>
      <c r="P7">
        <v>1</v>
      </c>
      <c r="Q7">
        <v>0</v>
      </c>
      <c r="R7">
        <v>0.23</v>
      </c>
      <c r="S7">
        <v>0.02</v>
      </c>
      <c r="T7">
        <v>1.2</v>
      </c>
      <c r="U7">
        <v>0</v>
      </c>
      <c r="V7">
        <v>0</v>
      </c>
      <c r="W7">
        <v>409</v>
      </c>
      <c r="X7">
        <v>657</v>
      </c>
      <c r="Y7">
        <v>74</v>
      </c>
      <c r="Z7">
        <v>90</v>
      </c>
      <c r="AA7">
        <v>55</v>
      </c>
      <c r="AB7">
        <v>365</v>
      </c>
      <c r="AC7">
        <v>113</v>
      </c>
      <c r="AD7">
        <v>84</v>
      </c>
      <c r="AE7">
        <v>35</v>
      </c>
      <c r="AF7">
        <v>646</v>
      </c>
      <c r="AG7">
        <v>132</v>
      </c>
      <c r="AH7">
        <v>504</v>
      </c>
      <c r="AI7">
        <v>669</v>
      </c>
      <c r="AJ7">
        <v>535</v>
      </c>
      <c r="AK7">
        <v>554</v>
      </c>
      <c r="AL7">
        <v>25</v>
      </c>
      <c r="AM7">
        <v>806</v>
      </c>
      <c r="AN7">
        <v>139</v>
      </c>
      <c r="AO7" t="s">
        <v>187</v>
      </c>
      <c r="AP7">
        <v>4</v>
      </c>
      <c r="AQ7">
        <v>0</v>
      </c>
    </row>
    <row r="8" spans="1:59" ht="17.25" hidden="1" thickBot="1" x14ac:dyDescent="0.35">
      <c r="A8" t="s">
        <v>189</v>
      </c>
      <c r="B8">
        <v>348</v>
      </c>
      <c r="C8" t="e">
        <v>#N/A</v>
      </c>
      <c r="D8">
        <v>13.2</v>
      </c>
      <c r="E8">
        <v>8.1999999999999993</v>
      </c>
      <c r="F8">
        <v>64.900000000000006</v>
      </c>
      <c r="G8" t="e">
        <v>#N/A</v>
      </c>
      <c r="H8" s="50" t="e">
        <v>#N/A</v>
      </c>
      <c r="I8" s="45" t="e">
        <v>#N/A</v>
      </c>
      <c r="J8" s="45">
        <v>1.7</v>
      </c>
      <c r="K8" s="53">
        <v>60</v>
      </c>
      <c r="L8">
        <v>381</v>
      </c>
      <c r="M8">
        <v>5.8</v>
      </c>
      <c r="N8">
        <v>4</v>
      </c>
      <c r="O8">
        <v>383</v>
      </c>
      <c r="P8" t="e">
        <v>#N/A</v>
      </c>
      <c r="Q8">
        <v>0</v>
      </c>
      <c r="R8" t="s">
        <v>187</v>
      </c>
      <c r="S8">
        <v>7.0000000000000007E-2</v>
      </c>
      <c r="T8">
        <v>1.1000000000000001</v>
      </c>
      <c r="U8" t="e">
        <v>#N/A</v>
      </c>
      <c r="V8" t="s">
        <v>187</v>
      </c>
      <c r="W8" t="e">
        <v>#N/A</v>
      </c>
      <c r="X8" t="e">
        <v>#N/A</v>
      </c>
      <c r="Y8" t="e">
        <v>#N/A</v>
      </c>
      <c r="Z8" t="e">
        <v>#N/A</v>
      </c>
      <c r="AA8" t="e">
        <v>#N/A</v>
      </c>
      <c r="AB8" t="e">
        <v>#N/A</v>
      </c>
      <c r="AC8" t="e">
        <v>#N/A</v>
      </c>
      <c r="AD8" t="e">
        <v>#N/A</v>
      </c>
      <c r="AE8" t="e">
        <v>#N/A</v>
      </c>
      <c r="AF8" t="e">
        <v>#N/A</v>
      </c>
      <c r="AG8" t="e">
        <v>#N/A</v>
      </c>
      <c r="AH8" t="e">
        <v>#N/A</v>
      </c>
      <c r="AI8" t="e">
        <v>#N/A</v>
      </c>
      <c r="AJ8" t="e">
        <v>#N/A</v>
      </c>
      <c r="AK8" t="e">
        <v>#N/A</v>
      </c>
      <c r="AL8" t="e">
        <v>#N/A</v>
      </c>
      <c r="AM8" t="e">
        <v>#N/A</v>
      </c>
      <c r="AN8" t="e">
        <v>#N/A</v>
      </c>
      <c r="AO8" t="e">
        <v>#N/A</v>
      </c>
      <c r="AP8" t="e">
        <v>#N/A</v>
      </c>
      <c r="AQ8" t="e">
        <v>#N/A</v>
      </c>
    </row>
    <row r="9" spans="1:59" ht="17.25" hidden="1" thickBot="1" x14ac:dyDescent="0.35">
      <c r="A9" t="s">
        <v>190</v>
      </c>
      <c r="B9">
        <v>131</v>
      </c>
      <c r="C9">
        <v>66.3</v>
      </c>
      <c r="D9">
        <v>1.4</v>
      </c>
      <c r="E9">
        <v>0.2</v>
      </c>
      <c r="F9">
        <v>31.2</v>
      </c>
      <c r="G9">
        <v>2.6</v>
      </c>
      <c r="H9" s="50">
        <v>2.4</v>
      </c>
      <c r="I9" s="45">
        <v>0.2</v>
      </c>
      <c r="J9" s="45">
        <v>0.9</v>
      </c>
      <c r="K9" s="53">
        <v>24</v>
      </c>
      <c r="L9">
        <v>54</v>
      </c>
      <c r="M9">
        <v>0.5</v>
      </c>
      <c r="N9">
        <v>15</v>
      </c>
      <c r="O9">
        <v>429</v>
      </c>
      <c r="P9">
        <v>19</v>
      </c>
      <c r="Q9">
        <v>0</v>
      </c>
      <c r="R9">
        <v>0.06</v>
      </c>
      <c r="S9">
        <v>0.05</v>
      </c>
      <c r="T9">
        <v>0.7</v>
      </c>
      <c r="U9">
        <v>25</v>
      </c>
      <c r="V9" t="e">
        <v>#N/A</v>
      </c>
      <c r="W9" t="e">
        <v>#N/A</v>
      </c>
      <c r="X9" t="e">
        <v>#N/A</v>
      </c>
      <c r="Y9" t="e">
        <v>#N/A</v>
      </c>
      <c r="Z9" t="e">
        <v>#N/A</v>
      </c>
      <c r="AA9" t="e">
        <v>#N/A</v>
      </c>
      <c r="AB9" t="e">
        <v>#N/A</v>
      </c>
      <c r="AC9" t="e">
        <v>#N/A</v>
      </c>
      <c r="AD9" t="e">
        <v>#N/A</v>
      </c>
      <c r="AE9" t="e">
        <v>#N/A</v>
      </c>
      <c r="AF9" t="e">
        <v>#N/A</v>
      </c>
      <c r="AG9" t="e">
        <v>#N/A</v>
      </c>
      <c r="AH9" t="e">
        <v>#N/A</v>
      </c>
      <c r="AI9" t="e">
        <v>#N/A</v>
      </c>
      <c r="AJ9" t="e">
        <v>#N/A</v>
      </c>
      <c r="AK9" t="e">
        <v>#N/A</v>
      </c>
      <c r="AL9" t="e">
        <v>#N/A</v>
      </c>
      <c r="AM9" t="e">
        <v>#N/A</v>
      </c>
      <c r="AN9" t="e">
        <v>#N/A</v>
      </c>
      <c r="AO9" t="e">
        <v>#N/A</v>
      </c>
      <c r="AP9">
        <v>113</v>
      </c>
      <c r="AQ9">
        <v>0</v>
      </c>
      <c r="AR9" t="e">
        <v>#N/A</v>
      </c>
      <c r="AS9" t="e">
        <v>#N/A</v>
      </c>
      <c r="AT9" t="e">
        <v>#N/A</v>
      </c>
      <c r="AU9" t="e">
        <v>#N/A</v>
      </c>
      <c r="AV9" t="e">
        <v>#N/A</v>
      </c>
      <c r="AW9" t="e">
        <v>#N/A</v>
      </c>
      <c r="AX9" t="e">
        <v>#N/A</v>
      </c>
      <c r="AY9" t="e">
        <v>#N/A</v>
      </c>
      <c r="AZ9" t="e">
        <v>#N/A</v>
      </c>
      <c r="BA9" t="e">
        <v>#N/A</v>
      </c>
      <c r="BB9" t="e">
        <v>#N/A</v>
      </c>
      <c r="BC9" t="e">
        <v>#N/A</v>
      </c>
      <c r="BD9" t="e">
        <v>#N/A</v>
      </c>
      <c r="BE9" t="e">
        <v>#N/A</v>
      </c>
      <c r="BF9" t="e">
        <v>#N/A</v>
      </c>
      <c r="BG9" t="e">
        <v>#N/A</v>
      </c>
    </row>
    <row r="10" spans="1:59" ht="17.25" hidden="1" thickBot="1" x14ac:dyDescent="0.35">
      <c r="A10" t="s">
        <v>191</v>
      </c>
      <c r="B10">
        <v>180</v>
      </c>
      <c r="C10">
        <v>69.2</v>
      </c>
      <c r="D10">
        <v>20.2</v>
      </c>
      <c r="E10">
        <v>9.5</v>
      </c>
      <c r="F10">
        <v>1.3</v>
      </c>
      <c r="G10" t="s">
        <v>187</v>
      </c>
      <c r="H10" s="50" t="s">
        <v>187</v>
      </c>
      <c r="I10" s="45" t="s">
        <v>187</v>
      </c>
      <c r="J10" s="45">
        <v>1</v>
      </c>
      <c r="K10" s="53">
        <v>10</v>
      </c>
      <c r="L10">
        <v>163</v>
      </c>
      <c r="M10">
        <v>6.4</v>
      </c>
      <c r="N10">
        <v>108</v>
      </c>
      <c r="O10">
        <v>366</v>
      </c>
      <c r="P10">
        <v>7</v>
      </c>
      <c r="Q10">
        <v>7</v>
      </c>
      <c r="R10">
        <v>0.4</v>
      </c>
      <c r="S10">
        <v>0.1</v>
      </c>
      <c r="T10">
        <v>0.8</v>
      </c>
      <c r="U10">
        <v>0</v>
      </c>
      <c r="V10">
        <v>66</v>
      </c>
      <c r="W10" t="e">
        <v>#N/A</v>
      </c>
      <c r="X10" t="e">
        <v>#N/A</v>
      </c>
      <c r="Y10" t="e">
        <v>#N/A</v>
      </c>
      <c r="Z10" t="e">
        <v>#N/A</v>
      </c>
      <c r="AA10" t="e">
        <v>#N/A</v>
      </c>
      <c r="AB10" t="e">
        <v>#N/A</v>
      </c>
      <c r="AC10" t="e">
        <v>#N/A</v>
      </c>
      <c r="AD10" t="e">
        <v>#N/A</v>
      </c>
      <c r="AE10" t="e">
        <v>#N/A</v>
      </c>
      <c r="AF10" t="e">
        <v>#N/A</v>
      </c>
      <c r="AG10" t="e">
        <v>#N/A</v>
      </c>
      <c r="AH10" t="e">
        <v>#N/A</v>
      </c>
      <c r="AI10" t="e">
        <v>#N/A</v>
      </c>
      <c r="AJ10" t="e">
        <v>#N/A</v>
      </c>
      <c r="AK10" t="e">
        <v>#N/A</v>
      </c>
      <c r="AL10" t="e">
        <v>#N/A</v>
      </c>
      <c r="AM10" t="e">
        <v>#N/A</v>
      </c>
      <c r="AN10" t="e">
        <v>#N/A</v>
      </c>
      <c r="AO10" t="e">
        <v>#N/A</v>
      </c>
      <c r="AP10">
        <v>0</v>
      </c>
      <c r="AQ10">
        <v>0</v>
      </c>
    </row>
    <row r="11" spans="1:59" ht="17.25" hidden="1" thickBot="1" x14ac:dyDescent="0.35">
      <c r="A11" t="s">
        <v>192</v>
      </c>
      <c r="B11">
        <v>214</v>
      </c>
      <c r="C11" t="e">
        <v>#N/A</v>
      </c>
      <c r="D11">
        <v>17.21</v>
      </c>
      <c r="E11">
        <v>16.36</v>
      </c>
      <c r="F11" s="47">
        <v>1.3</v>
      </c>
      <c r="G11" t="e">
        <v>#N/A</v>
      </c>
      <c r="H11" s="50" t="e">
        <v>#N/A</v>
      </c>
      <c r="I11" s="45" t="e">
        <v>#N/A</v>
      </c>
      <c r="J11" s="45">
        <v>0.9</v>
      </c>
      <c r="K11" s="53">
        <v>8</v>
      </c>
      <c r="L11">
        <v>183</v>
      </c>
      <c r="M11">
        <v>0.73</v>
      </c>
      <c r="N11">
        <v>51</v>
      </c>
      <c r="O11">
        <v>301</v>
      </c>
      <c r="P11" t="e">
        <v>#N/A</v>
      </c>
      <c r="Q11">
        <v>16</v>
      </c>
      <c r="R11">
        <v>0.66</v>
      </c>
      <c r="S11">
        <v>0.28999999999999998</v>
      </c>
      <c r="T11">
        <v>3.12</v>
      </c>
      <c r="U11">
        <v>0</v>
      </c>
      <c r="V11">
        <v>64.989999999999995</v>
      </c>
      <c r="W11" t="e">
        <v>#N/A</v>
      </c>
      <c r="X11" t="e">
        <v>#N/A</v>
      </c>
      <c r="Y11" t="e">
        <v>#N/A</v>
      </c>
      <c r="Z11" t="e">
        <v>#N/A</v>
      </c>
      <c r="AA11" t="e">
        <v>#N/A</v>
      </c>
      <c r="AB11" t="e">
        <v>#N/A</v>
      </c>
      <c r="AC11" t="e">
        <v>#N/A</v>
      </c>
      <c r="AD11" t="e">
        <v>#N/A</v>
      </c>
      <c r="AE11" t="e">
        <v>#N/A</v>
      </c>
      <c r="AF11" t="e">
        <v>#N/A</v>
      </c>
      <c r="AG11" t="e">
        <v>#N/A</v>
      </c>
      <c r="AH11" t="e">
        <v>#N/A</v>
      </c>
      <c r="AI11" t="e">
        <v>#N/A</v>
      </c>
      <c r="AJ11" t="e">
        <v>#N/A</v>
      </c>
      <c r="AK11" t="e">
        <v>#N/A</v>
      </c>
      <c r="AL11" t="e">
        <v>#N/A</v>
      </c>
      <c r="AM11" t="e">
        <v>#N/A</v>
      </c>
      <c r="AN11" t="e">
        <v>#N/A</v>
      </c>
      <c r="AO11" t="e">
        <v>#N/A</v>
      </c>
      <c r="AP11" t="e">
        <v>#N/A</v>
      </c>
      <c r="AQ11" t="e">
        <v>#N/A</v>
      </c>
    </row>
    <row r="12" spans="1:59" ht="17.25" hidden="1" thickBot="1" x14ac:dyDescent="0.35">
      <c r="A12" t="s">
        <v>193</v>
      </c>
      <c r="B12">
        <v>193</v>
      </c>
      <c r="C12" t="e">
        <v>#N/A</v>
      </c>
      <c r="D12">
        <v>19.170000000000002</v>
      </c>
      <c r="E12">
        <v>13.14</v>
      </c>
      <c r="F12">
        <v>0</v>
      </c>
      <c r="G12" t="e">
        <v>#N/A</v>
      </c>
      <c r="H12" s="50" t="e">
        <v>#N/A</v>
      </c>
      <c r="I12" s="45" t="e">
        <v>#N/A</v>
      </c>
      <c r="J12" s="45">
        <v>0.98</v>
      </c>
      <c r="K12" s="53">
        <v>5</v>
      </c>
      <c r="L12">
        <v>197</v>
      </c>
      <c r="M12">
        <v>2.78</v>
      </c>
      <c r="N12">
        <v>45</v>
      </c>
      <c r="O12">
        <v>337</v>
      </c>
      <c r="P12" t="e">
        <v>#N/A</v>
      </c>
      <c r="Q12">
        <v>5</v>
      </c>
      <c r="R12">
        <v>7.0000000000000007E-2</v>
      </c>
      <c r="S12">
        <v>0.22</v>
      </c>
      <c r="T12">
        <v>2.12</v>
      </c>
      <c r="U12">
        <v>0.38</v>
      </c>
      <c r="V12">
        <v>57.81</v>
      </c>
      <c r="W12" t="e">
        <v>#N/A</v>
      </c>
      <c r="X12" t="e">
        <v>#N/A</v>
      </c>
      <c r="Y12" t="e">
        <v>#N/A</v>
      </c>
      <c r="Z12" t="e">
        <v>#N/A</v>
      </c>
      <c r="AA12" t="e">
        <v>#N/A</v>
      </c>
      <c r="AB12" t="e">
        <v>#N/A</v>
      </c>
      <c r="AC12" t="e">
        <v>#N/A</v>
      </c>
      <c r="AD12" t="e">
        <v>#N/A</v>
      </c>
      <c r="AE12" t="e">
        <v>#N/A</v>
      </c>
      <c r="AF12" t="e">
        <v>#N/A</v>
      </c>
      <c r="AG12" t="e">
        <v>#N/A</v>
      </c>
      <c r="AH12" t="e">
        <v>#N/A</v>
      </c>
      <c r="AI12" t="e">
        <v>#N/A</v>
      </c>
      <c r="AJ12" t="e">
        <v>#N/A</v>
      </c>
      <c r="AK12" t="e">
        <v>#N/A</v>
      </c>
      <c r="AL12" t="e">
        <v>#N/A</v>
      </c>
      <c r="AM12" t="e">
        <v>#N/A</v>
      </c>
      <c r="AN12" t="e">
        <v>#N/A</v>
      </c>
      <c r="AO12" t="e">
        <v>#N/A</v>
      </c>
      <c r="AP12" t="e">
        <v>#N/A</v>
      </c>
      <c r="AQ12" t="e">
        <v>#N/A</v>
      </c>
    </row>
    <row r="13" spans="1:59" ht="17.25" hidden="1" thickBot="1" x14ac:dyDescent="0.35">
      <c r="A13" t="s">
        <v>194</v>
      </c>
      <c r="B13">
        <v>130</v>
      </c>
      <c r="C13" t="e">
        <v>#N/A</v>
      </c>
      <c r="D13">
        <v>12.44</v>
      </c>
      <c r="E13">
        <v>7.37</v>
      </c>
      <c r="F13">
        <v>3.41</v>
      </c>
      <c r="G13" t="e">
        <v>#N/A</v>
      </c>
      <c r="H13" s="50" t="e">
        <v>#N/A</v>
      </c>
      <c r="I13" s="45" t="e">
        <v>#N/A</v>
      </c>
      <c r="J13" s="45">
        <v>0.88</v>
      </c>
      <c r="K13" s="53">
        <v>52</v>
      </c>
      <c r="L13">
        <v>191</v>
      </c>
      <c r="M13">
        <v>1.8</v>
      </c>
      <c r="N13">
        <v>131</v>
      </c>
      <c r="O13">
        <v>131</v>
      </c>
      <c r="P13" t="e">
        <v>#N/A</v>
      </c>
      <c r="Q13">
        <v>136</v>
      </c>
      <c r="R13">
        <v>0.08</v>
      </c>
      <c r="S13">
        <v>0.47</v>
      </c>
      <c r="T13">
        <v>0.1</v>
      </c>
      <c r="U13">
        <v>0</v>
      </c>
      <c r="V13">
        <v>328.83</v>
      </c>
      <c r="W13" t="e">
        <v>#N/A</v>
      </c>
      <c r="X13" t="e">
        <v>#N/A</v>
      </c>
      <c r="Y13" t="e">
        <v>#N/A</v>
      </c>
      <c r="Z13" t="e">
        <v>#N/A</v>
      </c>
      <c r="AA13" t="e">
        <v>#N/A</v>
      </c>
      <c r="AB13" t="e">
        <v>#N/A</v>
      </c>
      <c r="AC13" t="e">
        <v>#N/A</v>
      </c>
      <c r="AD13" t="e">
        <v>#N/A</v>
      </c>
      <c r="AE13" t="e">
        <v>#N/A</v>
      </c>
      <c r="AF13" t="e">
        <v>#N/A</v>
      </c>
      <c r="AG13" t="e">
        <v>#N/A</v>
      </c>
      <c r="AH13" t="e">
        <v>#N/A</v>
      </c>
      <c r="AI13" t="e">
        <v>#N/A</v>
      </c>
      <c r="AJ13" t="e">
        <v>#N/A</v>
      </c>
      <c r="AK13" t="e">
        <v>#N/A</v>
      </c>
      <c r="AL13" t="e">
        <v>#N/A</v>
      </c>
      <c r="AM13" t="e">
        <v>#N/A</v>
      </c>
      <c r="AN13" t="e">
        <v>#N/A</v>
      </c>
      <c r="AO13" t="e">
        <v>#N/A</v>
      </c>
      <c r="AP13" t="e">
        <v>#N/A</v>
      </c>
      <c r="AQ13" t="e">
        <v>#N/A</v>
      </c>
      <c r="AR13">
        <v>11</v>
      </c>
      <c r="AS13">
        <v>0.04</v>
      </c>
      <c r="AT13">
        <v>1.1599999999999999</v>
      </c>
      <c r="AU13">
        <v>0.04</v>
      </c>
      <c r="AV13">
        <v>4.78</v>
      </c>
      <c r="AW13">
        <v>35.44</v>
      </c>
      <c r="AX13">
        <v>0</v>
      </c>
      <c r="AY13">
        <v>0.91</v>
      </c>
      <c r="AZ13">
        <v>0.81</v>
      </c>
      <c r="BA13">
        <v>81</v>
      </c>
      <c r="BB13">
        <v>20.9</v>
      </c>
      <c r="BC13">
        <v>1.77</v>
      </c>
      <c r="BD13">
        <v>0</v>
      </c>
      <c r="BE13">
        <v>20.98</v>
      </c>
      <c r="BF13">
        <v>328.83</v>
      </c>
      <c r="BG13">
        <v>2.56</v>
      </c>
    </row>
    <row r="14" spans="1:59" ht="17.25" hidden="1" thickBot="1" x14ac:dyDescent="0.35">
      <c r="A14" t="s">
        <v>195</v>
      </c>
      <c r="B14">
        <v>98</v>
      </c>
      <c r="C14" t="e">
        <v>#N/A</v>
      </c>
      <c r="D14">
        <v>22.97</v>
      </c>
      <c r="E14">
        <v>0.97</v>
      </c>
      <c r="F14">
        <v>0</v>
      </c>
      <c r="G14" t="e">
        <v>#N/A</v>
      </c>
      <c r="H14" s="50" t="e">
        <v>#N/A</v>
      </c>
      <c r="I14" s="45" t="e">
        <v>#N/A</v>
      </c>
      <c r="J14" s="45">
        <v>1.1299999999999999</v>
      </c>
      <c r="K14" s="53">
        <v>4</v>
      </c>
      <c r="L14">
        <v>251</v>
      </c>
      <c r="M14">
        <v>0.28000000000000003</v>
      </c>
      <c r="N14">
        <v>45</v>
      </c>
      <c r="O14">
        <v>371</v>
      </c>
      <c r="P14" t="e">
        <v>#N/A</v>
      </c>
      <c r="Q14">
        <v>10</v>
      </c>
      <c r="R14">
        <v>0.2</v>
      </c>
      <c r="S14">
        <v>0.05</v>
      </c>
      <c r="T14">
        <v>10.82</v>
      </c>
      <c r="U14">
        <v>0</v>
      </c>
      <c r="V14">
        <v>56.11</v>
      </c>
      <c r="W14" t="e">
        <v>#N/A</v>
      </c>
      <c r="X14" t="e">
        <v>#N/A</v>
      </c>
      <c r="Y14" t="e">
        <v>#N/A</v>
      </c>
      <c r="Z14" t="e">
        <v>#N/A</v>
      </c>
      <c r="AA14" t="e">
        <v>#N/A</v>
      </c>
      <c r="AB14" t="e">
        <v>#N/A</v>
      </c>
      <c r="AC14" t="e">
        <v>#N/A</v>
      </c>
      <c r="AD14" t="e">
        <v>#N/A</v>
      </c>
      <c r="AE14" t="e">
        <v>#N/A</v>
      </c>
      <c r="AF14" t="e">
        <v>#N/A</v>
      </c>
      <c r="AG14" t="e">
        <v>#N/A</v>
      </c>
      <c r="AH14" t="e">
        <v>#N/A</v>
      </c>
      <c r="AI14" t="e">
        <v>#N/A</v>
      </c>
      <c r="AJ14" t="e">
        <v>#N/A</v>
      </c>
      <c r="AK14" t="e">
        <v>#N/A</v>
      </c>
      <c r="AL14" t="e">
        <v>#N/A</v>
      </c>
      <c r="AM14" t="e">
        <v>#N/A</v>
      </c>
      <c r="AN14" t="e">
        <v>#N/A</v>
      </c>
      <c r="AO14" t="e">
        <v>#N/A</v>
      </c>
      <c r="AP14" t="e">
        <v>#N/A</v>
      </c>
      <c r="AQ14" t="e">
        <v>#N/A</v>
      </c>
      <c r="AR14">
        <v>32</v>
      </c>
      <c r="AS14">
        <v>0.01</v>
      </c>
      <c r="AT14">
        <v>0.61</v>
      </c>
      <c r="AU14">
        <v>0.01</v>
      </c>
      <c r="AV14">
        <v>2.95</v>
      </c>
      <c r="AW14">
        <v>10.1</v>
      </c>
      <c r="AX14">
        <v>0.02</v>
      </c>
      <c r="AY14">
        <v>0.8</v>
      </c>
      <c r="AZ14">
        <v>0.26</v>
      </c>
      <c r="BA14">
        <v>0</v>
      </c>
      <c r="BB14">
        <v>0</v>
      </c>
      <c r="BC14">
        <v>0.16</v>
      </c>
      <c r="BD14">
        <v>0</v>
      </c>
      <c r="BE14">
        <v>3.81</v>
      </c>
      <c r="BF14">
        <v>56.11</v>
      </c>
      <c r="BG14">
        <v>0.36</v>
      </c>
    </row>
    <row r="15" spans="1:59" ht="17.25" hidden="1" thickBot="1" x14ac:dyDescent="0.35">
      <c r="A15" t="s">
        <v>196</v>
      </c>
      <c r="B15">
        <v>31</v>
      </c>
      <c r="C15" t="e">
        <v>#N/A</v>
      </c>
      <c r="D15">
        <v>3.81</v>
      </c>
      <c r="E15">
        <v>0.92</v>
      </c>
      <c r="F15">
        <v>3.8</v>
      </c>
      <c r="G15" t="e">
        <v>#N/A</v>
      </c>
      <c r="H15" s="50" t="e">
        <v>#N/A</v>
      </c>
      <c r="I15" s="45" t="e">
        <v>#N/A</v>
      </c>
      <c r="J15" s="45">
        <v>0.56999999999999995</v>
      </c>
      <c r="K15" s="53">
        <v>73</v>
      </c>
      <c r="L15">
        <v>101</v>
      </c>
      <c r="M15">
        <v>0.66</v>
      </c>
      <c r="N15">
        <v>16</v>
      </c>
      <c r="O15">
        <v>85</v>
      </c>
      <c r="P15" t="e">
        <v>#N/A</v>
      </c>
      <c r="Q15">
        <v>0</v>
      </c>
      <c r="R15">
        <v>0.04</v>
      </c>
      <c r="S15">
        <v>0.19</v>
      </c>
      <c r="T15">
        <v>0.92</v>
      </c>
      <c r="U15">
        <v>11.41</v>
      </c>
      <c r="V15">
        <v>0</v>
      </c>
      <c r="W15" t="e">
        <v>#N/A</v>
      </c>
      <c r="X15" t="e">
        <v>#N/A</v>
      </c>
      <c r="Y15" t="e">
        <v>#N/A</v>
      </c>
      <c r="Z15" t="e">
        <v>#N/A</v>
      </c>
      <c r="AA15" t="e">
        <v>#N/A</v>
      </c>
      <c r="AB15" t="e">
        <v>#N/A</v>
      </c>
      <c r="AC15" t="e">
        <v>#N/A</v>
      </c>
      <c r="AD15" t="e">
        <v>#N/A</v>
      </c>
      <c r="AE15" t="e">
        <v>#N/A</v>
      </c>
      <c r="AF15" t="e">
        <v>#N/A</v>
      </c>
      <c r="AG15" t="e">
        <v>#N/A</v>
      </c>
      <c r="AH15" t="e">
        <v>#N/A</v>
      </c>
      <c r="AI15" t="e">
        <v>#N/A</v>
      </c>
      <c r="AJ15" t="e">
        <v>#N/A</v>
      </c>
      <c r="AK15" t="e">
        <v>#N/A</v>
      </c>
      <c r="AL15" t="e">
        <v>#N/A</v>
      </c>
      <c r="AM15" t="e">
        <v>#N/A</v>
      </c>
      <c r="AN15" t="e">
        <v>#N/A</v>
      </c>
      <c r="AO15" t="e">
        <v>#N/A</v>
      </c>
      <c r="AP15" t="e">
        <v>#N/A</v>
      </c>
      <c r="AQ15" t="e">
        <v>#N/A</v>
      </c>
      <c r="AR15">
        <v>50</v>
      </c>
      <c r="AS15">
        <v>0.24</v>
      </c>
      <c r="AT15">
        <v>0.97</v>
      </c>
      <c r="AU15">
        <v>0.02</v>
      </c>
      <c r="AV15">
        <v>2.97</v>
      </c>
      <c r="AW15">
        <v>2.13</v>
      </c>
      <c r="AX15">
        <v>0.05</v>
      </c>
      <c r="AY15">
        <v>0.56000000000000005</v>
      </c>
      <c r="AZ15">
        <v>0</v>
      </c>
      <c r="BA15">
        <v>61</v>
      </c>
      <c r="BB15">
        <v>0</v>
      </c>
      <c r="BC15">
        <v>8.6300000000000008</v>
      </c>
      <c r="BD15">
        <v>188.83</v>
      </c>
      <c r="BE15">
        <v>0</v>
      </c>
      <c r="BF15">
        <v>0</v>
      </c>
      <c r="BG15">
        <v>0.06</v>
      </c>
    </row>
    <row r="16" spans="1:59" ht="17.25" hidden="1" thickBot="1" x14ac:dyDescent="0.35">
      <c r="A16" t="s">
        <v>197</v>
      </c>
      <c r="B16">
        <v>16</v>
      </c>
      <c r="C16" t="e">
        <v>#N/A</v>
      </c>
      <c r="D16">
        <v>1.03</v>
      </c>
      <c r="E16">
        <v>0.18</v>
      </c>
      <c r="F16">
        <v>4.26</v>
      </c>
      <c r="G16" t="e">
        <v>#N/A</v>
      </c>
      <c r="H16" s="50" t="e">
        <v>#N/A</v>
      </c>
      <c r="I16" s="45" t="e">
        <v>#N/A</v>
      </c>
      <c r="J16" s="45">
        <v>0.63</v>
      </c>
      <c r="K16" s="53">
        <v>9</v>
      </c>
      <c r="L16">
        <v>29</v>
      </c>
      <c r="M16">
        <v>0.19</v>
      </c>
      <c r="N16">
        <v>2</v>
      </c>
      <c r="O16">
        <v>250</v>
      </c>
      <c r="P16" t="e">
        <v>#N/A</v>
      </c>
      <c r="Q16">
        <v>0</v>
      </c>
      <c r="R16">
        <v>0.01</v>
      </c>
      <c r="S16">
        <v>0.04</v>
      </c>
      <c r="T16">
        <v>0.31</v>
      </c>
      <c r="U16">
        <v>14.16</v>
      </c>
      <c r="V16">
        <v>0</v>
      </c>
      <c r="W16" t="e">
        <v>#N/A</v>
      </c>
      <c r="X16" t="e">
        <v>#N/A</v>
      </c>
      <c r="Y16" t="e">
        <v>#N/A</v>
      </c>
      <c r="Z16" t="e">
        <v>#N/A</v>
      </c>
      <c r="AA16" t="e">
        <v>#N/A</v>
      </c>
      <c r="AB16" t="e">
        <v>#N/A</v>
      </c>
      <c r="AC16" t="e">
        <v>#N/A</v>
      </c>
      <c r="AD16" t="e">
        <v>#N/A</v>
      </c>
      <c r="AE16" t="e">
        <v>#N/A</v>
      </c>
      <c r="AF16" t="e">
        <v>#N/A</v>
      </c>
      <c r="AG16" t="e">
        <v>#N/A</v>
      </c>
      <c r="AH16" t="e">
        <v>#N/A</v>
      </c>
      <c r="AI16" t="e">
        <v>#N/A</v>
      </c>
      <c r="AJ16" t="e">
        <v>#N/A</v>
      </c>
      <c r="AK16" t="e">
        <v>#N/A</v>
      </c>
      <c r="AL16" t="e">
        <v>#N/A</v>
      </c>
      <c r="AM16" t="e">
        <v>#N/A</v>
      </c>
      <c r="AN16" t="e">
        <v>#N/A</v>
      </c>
      <c r="AO16" t="e">
        <v>#N/A</v>
      </c>
      <c r="AP16" t="e">
        <v>#N/A</v>
      </c>
      <c r="AQ16" t="e">
        <v>#N/A</v>
      </c>
      <c r="AR16">
        <v>10</v>
      </c>
      <c r="AS16">
        <v>7.0000000000000007E-2</v>
      </c>
      <c r="AT16">
        <v>0.15</v>
      </c>
      <c r="AU16">
        <v>0</v>
      </c>
      <c r="AV16">
        <v>1.41</v>
      </c>
      <c r="AW16">
        <v>0.26</v>
      </c>
      <c r="AX16">
        <v>0.02</v>
      </c>
      <c r="AY16">
        <v>0.3</v>
      </c>
      <c r="AZ16">
        <v>0</v>
      </c>
      <c r="BA16">
        <v>15</v>
      </c>
      <c r="BB16">
        <v>0</v>
      </c>
      <c r="BC16">
        <v>0.34</v>
      </c>
      <c r="BD16">
        <v>0</v>
      </c>
      <c r="BE16">
        <v>2.36</v>
      </c>
      <c r="BF16">
        <v>0</v>
      </c>
      <c r="BG16">
        <v>0.04</v>
      </c>
    </row>
    <row r="17" spans="1:60" ht="17.25" hidden="1" thickBot="1" x14ac:dyDescent="0.35">
      <c r="A17" t="s">
        <v>198</v>
      </c>
      <c r="B17">
        <v>25</v>
      </c>
      <c r="C17" t="e">
        <v>#N/A</v>
      </c>
      <c r="D17">
        <v>1.02</v>
      </c>
      <c r="E17">
        <v>0.13</v>
      </c>
      <c r="F17">
        <v>7.03</v>
      </c>
      <c r="G17" t="e">
        <v>#N/A</v>
      </c>
      <c r="H17" s="50" t="e">
        <v>#N/A</v>
      </c>
      <c r="I17" s="45" t="e">
        <v>#N/A</v>
      </c>
      <c r="J17" s="45">
        <v>0.72</v>
      </c>
      <c r="K17" s="53">
        <v>24</v>
      </c>
      <c r="L17">
        <v>42</v>
      </c>
      <c r="M17">
        <v>0.28000000000000003</v>
      </c>
      <c r="N17">
        <v>23</v>
      </c>
      <c r="O17">
        <v>299</v>
      </c>
      <c r="P17" t="e">
        <v>#N/A</v>
      </c>
      <c r="Q17">
        <v>0</v>
      </c>
      <c r="R17">
        <v>0.04</v>
      </c>
      <c r="S17">
        <v>0.06</v>
      </c>
      <c r="T17">
        <v>0.88</v>
      </c>
      <c r="U17">
        <v>3.02</v>
      </c>
      <c r="V17">
        <v>0</v>
      </c>
      <c r="W17" t="e">
        <v>#N/A</v>
      </c>
      <c r="X17" t="e">
        <v>#N/A</v>
      </c>
      <c r="Y17" t="e">
        <v>#N/A</v>
      </c>
      <c r="Z17" t="e">
        <v>#N/A</v>
      </c>
      <c r="AA17" t="e">
        <v>#N/A</v>
      </c>
      <c r="AB17" t="e">
        <v>#N/A</v>
      </c>
      <c r="AC17" t="e">
        <v>#N/A</v>
      </c>
      <c r="AD17" t="e">
        <v>#N/A</v>
      </c>
      <c r="AE17" t="e">
        <v>#N/A</v>
      </c>
      <c r="AF17" t="e">
        <v>#N/A</v>
      </c>
      <c r="AG17" t="e">
        <v>#N/A</v>
      </c>
      <c r="AH17" t="e">
        <v>#N/A</v>
      </c>
      <c r="AI17" t="e">
        <v>#N/A</v>
      </c>
      <c r="AJ17" t="e">
        <v>#N/A</v>
      </c>
      <c r="AK17" t="e">
        <v>#N/A</v>
      </c>
      <c r="AL17" t="e">
        <v>#N/A</v>
      </c>
      <c r="AM17" t="e">
        <v>#N/A</v>
      </c>
      <c r="AN17" t="e">
        <v>#N/A</v>
      </c>
      <c r="AO17" t="e">
        <v>#N/A</v>
      </c>
      <c r="AP17" t="e">
        <v>#N/A</v>
      </c>
      <c r="AQ17" t="e">
        <v>#N/A</v>
      </c>
      <c r="AR17">
        <v>14</v>
      </c>
      <c r="AS17">
        <v>0.05</v>
      </c>
      <c r="AT17">
        <v>0.11</v>
      </c>
      <c r="AU17">
        <v>0.02</v>
      </c>
      <c r="AV17">
        <v>2.29</v>
      </c>
      <c r="AW17">
        <v>2.74</v>
      </c>
      <c r="AX17">
        <v>0.01</v>
      </c>
      <c r="AY17">
        <v>0.19</v>
      </c>
      <c r="AZ17">
        <v>0</v>
      </c>
      <c r="BA17">
        <v>22</v>
      </c>
      <c r="BB17">
        <v>0</v>
      </c>
      <c r="BC17">
        <v>0.73</v>
      </c>
      <c r="BD17">
        <v>14.46</v>
      </c>
      <c r="BE17">
        <v>0.89</v>
      </c>
      <c r="BF17">
        <v>0</v>
      </c>
      <c r="BG17">
        <v>0.03</v>
      </c>
    </row>
    <row r="18" spans="1:60" ht="17.25" hidden="1" thickBot="1" x14ac:dyDescent="0.35">
      <c r="A18" t="s">
        <v>199</v>
      </c>
      <c r="B18">
        <v>25</v>
      </c>
      <c r="C18" t="e">
        <v>#N/A</v>
      </c>
      <c r="D18">
        <v>1.4</v>
      </c>
      <c r="E18">
        <v>0.2</v>
      </c>
      <c r="F18">
        <v>4.4000000000000004</v>
      </c>
      <c r="G18" t="e">
        <v>#N/A</v>
      </c>
      <c r="H18" s="50" t="e">
        <v>#N/A</v>
      </c>
      <c r="I18" s="45" t="e">
        <v>#N/A</v>
      </c>
      <c r="J18" s="45">
        <v>1.2</v>
      </c>
      <c r="K18" s="53">
        <v>64</v>
      </c>
      <c r="L18">
        <v>39</v>
      </c>
      <c r="M18">
        <v>0.8</v>
      </c>
      <c r="N18">
        <v>232</v>
      </c>
      <c r="O18">
        <v>196</v>
      </c>
      <c r="P18" t="e">
        <v>#N/A</v>
      </c>
      <c r="Q18">
        <v>0</v>
      </c>
      <c r="R18">
        <v>0.09</v>
      </c>
      <c r="S18">
        <v>0.06</v>
      </c>
      <c r="T18">
        <v>0.4</v>
      </c>
      <c r="U18">
        <v>7</v>
      </c>
      <c r="V18" t="s">
        <v>187</v>
      </c>
      <c r="W18" t="e">
        <v>#N/A</v>
      </c>
      <c r="X18" t="e">
        <v>#N/A</v>
      </c>
      <c r="Y18" t="e">
        <v>#N/A</v>
      </c>
      <c r="Z18" t="e">
        <v>#N/A</v>
      </c>
      <c r="AA18" t="e">
        <v>#N/A</v>
      </c>
      <c r="AB18" t="e">
        <v>#N/A</v>
      </c>
      <c r="AC18" t="e">
        <v>#N/A</v>
      </c>
      <c r="AD18" t="e">
        <v>#N/A</v>
      </c>
      <c r="AE18" t="e">
        <v>#N/A</v>
      </c>
      <c r="AF18" t="e">
        <v>#N/A</v>
      </c>
      <c r="AG18" t="e">
        <v>#N/A</v>
      </c>
      <c r="AH18" t="e">
        <v>#N/A</v>
      </c>
      <c r="AI18" t="e">
        <v>#N/A</v>
      </c>
      <c r="AJ18" t="e">
        <v>#N/A</v>
      </c>
      <c r="AK18" t="e">
        <v>#N/A</v>
      </c>
      <c r="AL18" t="e">
        <v>#N/A</v>
      </c>
      <c r="AM18" t="e">
        <v>#N/A</v>
      </c>
      <c r="AN18" t="e">
        <v>#N/A</v>
      </c>
      <c r="AO18" t="e">
        <v>#N/A</v>
      </c>
      <c r="AP18" t="e">
        <v>#N/A</v>
      </c>
      <c r="AQ18" t="e">
        <v>#N/A</v>
      </c>
      <c r="AR18" t="s">
        <v>187</v>
      </c>
      <c r="AS18" t="s">
        <v>187</v>
      </c>
      <c r="AT18" t="s">
        <v>187</v>
      </c>
      <c r="AU18" t="s">
        <v>187</v>
      </c>
      <c r="AV18" t="s">
        <v>187</v>
      </c>
      <c r="AW18" t="s">
        <v>187</v>
      </c>
      <c r="AX18" t="s">
        <v>187</v>
      </c>
      <c r="AY18" t="s">
        <v>187</v>
      </c>
      <c r="AZ18" t="s">
        <v>187</v>
      </c>
      <c r="BA18" t="s">
        <v>187</v>
      </c>
      <c r="BB18" t="s">
        <v>187</v>
      </c>
      <c r="BC18" t="s">
        <v>187</v>
      </c>
      <c r="BD18" t="s">
        <v>187</v>
      </c>
      <c r="BE18" t="s">
        <v>187</v>
      </c>
      <c r="BF18" t="s">
        <v>187</v>
      </c>
      <c r="BG18" t="s">
        <v>187</v>
      </c>
    </row>
    <row r="19" spans="1:60" ht="17.25" hidden="1" thickBot="1" x14ac:dyDescent="0.35">
      <c r="A19" t="s">
        <v>200</v>
      </c>
      <c r="B19">
        <v>49</v>
      </c>
      <c r="C19" t="e">
        <v>#N/A</v>
      </c>
      <c r="D19">
        <v>0.2</v>
      </c>
      <c r="E19">
        <v>0.03</v>
      </c>
      <c r="F19">
        <v>14.36</v>
      </c>
      <c r="G19" t="e">
        <v>#N/A</v>
      </c>
      <c r="H19" s="50" t="e">
        <v>#N/A</v>
      </c>
      <c r="I19" s="45" t="e">
        <v>#N/A</v>
      </c>
      <c r="J19" s="45">
        <v>0.21</v>
      </c>
      <c r="K19" s="53">
        <v>4</v>
      </c>
      <c r="L19">
        <v>11</v>
      </c>
      <c r="M19">
        <v>0.1</v>
      </c>
      <c r="N19">
        <v>0</v>
      </c>
      <c r="O19">
        <v>107</v>
      </c>
      <c r="P19" t="e">
        <v>#N/A</v>
      </c>
      <c r="Q19">
        <v>0</v>
      </c>
      <c r="R19" t="s">
        <v>187</v>
      </c>
      <c r="S19">
        <v>0.02</v>
      </c>
      <c r="T19">
        <v>0.39</v>
      </c>
      <c r="U19">
        <v>1.41</v>
      </c>
      <c r="V19">
        <v>0</v>
      </c>
      <c r="W19" t="e">
        <v>#N/A</v>
      </c>
      <c r="X19" t="e">
        <v>#N/A</v>
      </c>
      <c r="Y19" t="e">
        <v>#N/A</v>
      </c>
      <c r="Z19" t="e">
        <v>#N/A</v>
      </c>
      <c r="AA19" t="e">
        <v>#N/A</v>
      </c>
      <c r="AB19" t="e">
        <v>#N/A</v>
      </c>
      <c r="AC19" t="e">
        <v>#N/A</v>
      </c>
      <c r="AD19" t="e">
        <v>#N/A</v>
      </c>
      <c r="AE19" t="e">
        <v>#N/A</v>
      </c>
      <c r="AF19" t="e">
        <v>#N/A</v>
      </c>
      <c r="AG19" t="e">
        <v>#N/A</v>
      </c>
      <c r="AH19" t="e">
        <v>#N/A</v>
      </c>
      <c r="AI19" t="e">
        <v>#N/A</v>
      </c>
      <c r="AJ19" t="e">
        <v>#N/A</v>
      </c>
      <c r="AK19" t="e">
        <v>#N/A</v>
      </c>
      <c r="AL19" t="e">
        <v>#N/A</v>
      </c>
      <c r="AM19" t="e">
        <v>#N/A</v>
      </c>
      <c r="AN19" t="e">
        <v>#N/A</v>
      </c>
      <c r="AO19" t="e">
        <v>#N/A</v>
      </c>
      <c r="AP19" t="e">
        <v>#N/A</v>
      </c>
      <c r="AQ19" t="e">
        <v>#N/A</v>
      </c>
      <c r="AR19">
        <v>3</v>
      </c>
      <c r="AS19">
        <v>0.04</v>
      </c>
      <c r="AT19">
        <v>0.05</v>
      </c>
      <c r="AU19">
        <v>0.01</v>
      </c>
      <c r="AV19">
        <v>4.3600000000000003</v>
      </c>
      <c r="AW19">
        <v>0.18</v>
      </c>
      <c r="AX19">
        <v>0.02</v>
      </c>
      <c r="AY19">
        <v>0</v>
      </c>
      <c r="AZ19">
        <v>0</v>
      </c>
      <c r="BA19">
        <v>3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0.01</v>
      </c>
    </row>
    <row r="20" spans="1:60" ht="17.25" hidden="1" thickBot="1" x14ac:dyDescent="0.35">
      <c r="A20" t="s">
        <v>201</v>
      </c>
      <c r="B20">
        <v>79</v>
      </c>
      <c r="C20" t="e">
        <v>#N/A</v>
      </c>
      <c r="D20">
        <v>1.1000000000000001</v>
      </c>
      <c r="E20">
        <v>0.1</v>
      </c>
      <c r="F20">
        <v>21.94</v>
      </c>
      <c r="G20" t="e">
        <v>#N/A</v>
      </c>
      <c r="H20" s="50" t="e">
        <v>#N/A</v>
      </c>
      <c r="I20" s="45" t="e">
        <v>#N/A</v>
      </c>
      <c r="J20" s="45">
        <v>0.76</v>
      </c>
      <c r="K20" s="53">
        <v>7</v>
      </c>
      <c r="L20">
        <v>26</v>
      </c>
      <c r="M20">
        <v>0.28999999999999998</v>
      </c>
      <c r="N20">
        <v>0</v>
      </c>
      <c r="O20">
        <v>346</v>
      </c>
      <c r="P20" t="e">
        <v>#N/A</v>
      </c>
      <c r="Q20">
        <v>0</v>
      </c>
      <c r="R20">
        <v>0.05</v>
      </c>
      <c r="S20">
        <v>0.08</v>
      </c>
      <c r="T20">
        <v>0.49</v>
      </c>
      <c r="U20">
        <v>5.94</v>
      </c>
      <c r="V20">
        <v>0</v>
      </c>
      <c r="W20" t="e">
        <v>#N/A</v>
      </c>
      <c r="X20" t="e">
        <v>#N/A</v>
      </c>
      <c r="Y20" t="e">
        <v>#N/A</v>
      </c>
      <c r="Z20" t="e">
        <v>#N/A</v>
      </c>
      <c r="AA20" t="e">
        <v>#N/A</v>
      </c>
      <c r="AB20" t="e">
        <v>#N/A</v>
      </c>
      <c r="AC20" t="e">
        <v>#N/A</v>
      </c>
      <c r="AD20" t="e">
        <v>#N/A</v>
      </c>
      <c r="AE20" t="e">
        <v>#N/A</v>
      </c>
      <c r="AF20" t="e">
        <v>#N/A</v>
      </c>
      <c r="AG20" t="e">
        <v>#N/A</v>
      </c>
      <c r="AH20" t="e">
        <v>#N/A</v>
      </c>
      <c r="AI20" t="e">
        <v>#N/A</v>
      </c>
      <c r="AJ20" t="e">
        <v>#N/A</v>
      </c>
      <c r="AK20" t="e">
        <v>#N/A</v>
      </c>
      <c r="AL20" t="e">
        <v>#N/A</v>
      </c>
      <c r="AM20" t="e">
        <v>#N/A</v>
      </c>
      <c r="AN20" t="e">
        <v>#N/A</v>
      </c>
      <c r="AO20" t="e">
        <v>#N/A</v>
      </c>
      <c r="AP20" t="e">
        <v>#N/A</v>
      </c>
      <c r="AQ20" t="e">
        <v>#N/A</v>
      </c>
      <c r="AR20">
        <v>28</v>
      </c>
      <c r="AS20">
        <v>0.13</v>
      </c>
      <c r="AT20">
        <v>0.19</v>
      </c>
      <c r="AU20">
        <v>0.09</v>
      </c>
      <c r="AV20">
        <v>6.19</v>
      </c>
      <c r="AW20">
        <v>0.27</v>
      </c>
      <c r="AX20">
        <v>0.09</v>
      </c>
      <c r="AY20">
        <v>0</v>
      </c>
      <c r="AZ20">
        <v>0</v>
      </c>
      <c r="BA20">
        <v>3</v>
      </c>
      <c r="BB20">
        <v>0</v>
      </c>
      <c r="BC20">
        <v>0.14000000000000001</v>
      </c>
      <c r="BD20">
        <v>0</v>
      </c>
      <c r="BE20">
        <v>0</v>
      </c>
      <c r="BF20">
        <v>0</v>
      </c>
      <c r="BG20">
        <v>0.04</v>
      </c>
    </row>
    <row r="21" spans="1:60" ht="17.25" hidden="1" thickBot="1" x14ac:dyDescent="0.35">
      <c r="A21" t="s">
        <v>202</v>
      </c>
      <c r="B21">
        <v>42</v>
      </c>
      <c r="C21" t="e">
        <v>#N/A</v>
      </c>
      <c r="D21">
        <v>3.43</v>
      </c>
      <c r="E21">
        <v>0.9</v>
      </c>
      <c r="F21">
        <v>4.8600000000000003</v>
      </c>
      <c r="G21" t="e">
        <v>#N/A</v>
      </c>
      <c r="H21" s="50" t="e">
        <v>#N/A</v>
      </c>
      <c r="I21" s="45" t="e">
        <v>#N/A</v>
      </c>
      <c r="J21" s="45">
        <v>0.71</v>
      </c>
      <c r="K21" s="53">
        <v>116</v>
      </c>
      <c r="L21">
        <v>87</v>
      </c>
      <c r="M21">
        <v>0.03</v>
      </c>
      <c r="N21">
        <v>37</v>
      </c>
      <c r="O21">
        <v>149</v>
      </c>
      <c r="P21" t="e">
        <v>#N/A</v>
      </c>
      <c r="Q21">
        <v>13</v>
      </c>
      <c r="R21">
        <v>0.02</v>
      </c>
      <c r="S21">
        <v>0.13</v>
      </c>
      <c r="T21">
        <v>0.26</v>
      </c>
      <c r="U21">
        <v>0.27</v>
      </c>
      <c r="V21">
        <v>9.1</v>
      </c>
      <c r="W21" t="e">
        <v>#N/A</v>
      </c>
      <c r="X21" t="e">
        <v>#N/A</v>
      </c>
      <c r="Y21" t="e">
        <v>#N/A</v>
      </c>
      <c r="Z21" t="e">
        <v>#N/A</v>
      </c>
      <c r="AA21" t="e">
        <v>#N/A</v>
      </c>
      <c r="AB21" t="e">
        <v>#N/A</v>
      </c>
      <c r="AC21" t="e">
        <v>#N/A</v>
      </c>
      <c r="AD21" t="e">
        <v>#N/A</v>
      </c>
      <c r="AE21" t="e">
        <v>#N/A</v>
      </c>
      <c r="AF21" t="e">
        <v>#N/A</v>
      </c>
      <c r="AG21" t="e">
        <v>#N/A</v>
      </c>
      <c r="AH21" t="e">
        <v>#N/A</v>
      </c>
      <c r="AI21" t="e">
        <v>#N/A</v>
      </c>
      <c r="AJ21" t="e">
        <v>#N/A</v>
      </c>
      <c r="AK21" t="e">
        <v>#N/A</v>
      </c>
      <c r="AL21" t="e">
        <v>#N/A</v>
      </c>
      <c r="AM21" t="e">
        <v>#N/A</v>
      </c>
      <c r="AN21" t="e">
        <v>#N/A</v>
      </c>
      <c r="AO21" t="e">
        <v>#N/A</v>
      </c>
      <c r="AP21" t="e">
        <v>#N/A</v>
      </c>
      <c r="AQ21" t="e">
        <v>#N/A</v>
      </c>
      <c r="AR21">
        <v>11</v>
      </c>
      <c r="AS21">
        <v>0</v>
      </c>
      <c r="AT21">
        <v>0.38</v>
      </c>
      <c r="AU21">
        <v>0</v>
      </c>
      <c r="AV21">
        <v>1.99</v>
      </c>
      <c r="AW21">
        <v>4.6500000000000004</v>
      </c>
      <c r="AX21">
        <v>0</v>
      </c>
      <c r="AY21">
        <v>0.3</v>
      </c>
      <c r="AZ21">
        <v>1.08</v>
      </c>
      <c r="BA21">
        <v>0</v>
      </c>
      <c r="BB21">
        <v>0</v>
      </c>
      <c r="BC21">
        <v>0.06</v>
      </c>
      <c r="BD21">
        <v>0</v>
      </c>
      <c r="BE21">
        <v>2.5099999999999998</v>
      </c>
      <c r="BF21">
        <v>9.1</v>
      </c>
      <c r="BG21">
        <v>0.59</v>
      </c>
    </row>
    <row r="22" spans="1:60" ht="17.25" hidden="1" thickBot="1" x14ac:dyDescent="0.35">
      <c r="A22" t="s">
        <v>203</v>
      </c>
      <c r="B22">
        <v>583</v>
      </c>
      <c r="C22" t="e">
        <v>#N/A</v>
      </c>
      <c r="D22">
        <v>23.44</v>
      </c>
      <c r="E22">
        <v>49.96</v>
      </c>
      <c r="F22">
        <v>20.09</v>
      </c>
      <c r="G22" t="e">
        <v>#N/A</v>
      </c>
      <c r="H22" s="50" t="e">
        <v>#N/A</v>
      </c>
      <c r="I22" s="45" t="e">
        <v>#N/A</v>
      </c>
      <c r="J22" s="45">
        <v>3.11</v>
      </c>
      <c r="K22" s="53">
        <v>368</v>
      </c>
      <c r="L22">
        <v>523</v>
      </c>
      <c r="M22">
        <v>4.76</v>
      </c>
      <c r="N22">
        <v>6</v>
      </c>
      <c r="O22">
        <v>780</v>
      </c>
      <c r="P22" t="e">
        <v>#N/A</v>
      </c>
      <c r="Q22">
        <v>0</v>
      </c>
      <c r="R22">
        <v>0.03</v>
      </c>
      <c r="S22">
        <v>1.55</v>
      </c>
      <c r="T22">
        <v>3.79</v>
      </c>
      <c r="U22">
        <v>0</v>
      </c>
      <c r="V22">
        <v>0</v>
      </c>
      <c r="W22" t="e">
        <v>#N/A</v>
      </c>
      <c r="X22" t="e">
        <v>#N/A</v>
      </c>
      <c r="Y22" t="e">
        <v>#N/A</v>
      </c>
      <c r="Z22" t="e">
        <v>#N/A</v>
      </c>
      <c r="AA22" t="e">
        <v>#N/A</v>
      </c>
      <c r="AB22" t="e">
        <v>#N/A</v>
      </c>
      <c r="AC22" t="e">
        <v>#N/A</v>
      </c>
      <c r="AD22" t="e">
        <v>#N/A</v>
      </c>
      <c r="AE22" t="e">
        <v>#N/A</v>
      </c>
      <c r="AF22" t="e">
        <v>#N/A</v>
      </c>
      <c r="AG22" t="e">
        <v>#N/A</v>
      </c>
      <c r="AH22" t="e">
        <v>#N/A</v>
      </c>
      <c r="AI22" t="e">
        <v>#N/A</v>
      </c>
      <c r="AJ22" t="e">
        <v>#N/A</v>
      </c>
      <c r="AK22" t="e">
        <v>#N/A</v>
      </c>
      <c r="AL22" t="e">
        <v>#N/A</v>
      </c>
      <c r="AM22" t="e">
        <v>#N/A</v>
      </c>
      <c r="AN22" t="e">
        <v>#N/A</v>
      </c>
      <c r="AO22" t="e">
        <v>#N/A</v>
      </c>
      <c r="AP22" t="e">
        <v>#N/A</v>
      </c>
      <c r="AQ22" t="e">
        <v>#N/A</v>
      </c>
      <c r="AR22">
        <v>335</v>
      </c>
      <c r="AS22">
        <v>2.46</v>
      </c>
      <c r="AT22">
        <v>4.01</v>
      </c>
      <c r="AU22">
        <v>1.23</v>
      </c>
      <c r="AV22">
        <v>26.7</v>
      </c>
      <c r="AW22">
        <v>0</v>
      </c>
      <c r="AX22">
        <v>0</v>
      </c>
      <c r="AY22">
        <v>0.49</v>
      </c>
      <c r="AZ22">
        <v>0</v>
      </c>
      <c r="BA22">
        <v>74</v>
      </c>
      <c r="BB22">
        <v>0</v>
      </c>
      <c r="BC22">
        <v>8.9</v>
      </c>
      <c r="BD22">
        <v>0</v>
      </c>
      <c r="BE22">
        <v>25.39</v>
      </c>
      <c r="BF22">
        <v>0</v>
      </c>
      <c r="BG22">
        <v>3.82</v>
      </c>
    </row>
    <row r="23" spans="1:60" ht="17.25" hidden="1" thickBot="1" x14ac:dyDescent="0.35">
      <c r="A23" t="s">
        <v>204</v>
      </c>
      <c r="B23">
        <v>693</v>
      </c>
      <c r="C23" t="e">
        <v>#N/A</v>
      </c>
      <c r="D23">
        <v>15.47</v>
      </c>
      <c r="E23">
        <v>71.989999999999995</v>
      </c>
      <c r="F23">
        <v>7.92</v>
      </c>
      <c r="G23" t="e">
        <v>#N/A</v>
      </c>
      <c r="H23" s="50" t="e">
        <v>#N/A</v>
      </c>
      <c r="I23" s="45" t="e">
        <v>#N/A</v>
      </c>
      <c r="J23" s="45">
        <v>1.72</v>
      </c>
      <c r="K23" s="53">
        <v>81</v>
      </c>
      <c r="L23">
        <v>355</v>
      </c>
      <c r="M23">
        <v>2.4900000000000002</v>
      </c>
      <c r="N23">
        <v>3</v>
      </c>
      <c r="O23">
        <v>353</v>
      </c>
      <c r="P23" t="e">
        <v>#N/A</v>
      </c>
      <c r="Q23">
        <v>0</v>
      </c>
      <c r="R23">
        <v>0.05</v>
      </c>
      <c r="S23">
        <v>0.28000000000000003</v>
      </c>
      <c r="T23">
        <v>2.87</v>
      </c>
      <c r="U23">
        <v>0</v>
      </c>
      <c r="V23">
        <v>0</v>
      </c>
      <c r="W23" t="e">
        <v>#N/A</v>
      </c>
      <c r="X23" t="e">
        <v>#N/A</v>
      </c>
      <c r="Y23" t="e">
        <v>#N/A</v>
      </c>
      <c r="Z23" t="e">
        <v>#N/A</v>
      </c>
      <c r="AA23" t="e">
        <v>#N/A</v>
      </c>
      <c r="AB23" t="e">
        <v>#N/A</v>
      </c>
      <c r="AC23" t="e">
        <v>#N/A</v>
      </c>
      <c r="AD23" t="e">
        <v>#N/A</v>
      </c>
      <c r="AE23" t="e">
        <v>#N/A</v>
      </c>
      <c r="AF23" t="e">
        <v>#N/A</v>
      </c>
      <c r="AG23" t="e">
        <v>#N/A</v>
      </c>
      <c r="AH23" t="e">
        <v>#N/A</v>
      </c>
      <c r="AI23" t="e">
        <v>#N/A</v>
      </c>
      <c r="AJ23" t="e">
        <v>#N/A</v>
      </c>
      <c r="AK23" t="e">
        <v>#N/A</v>
      </c>
      <c r="AL23" t="e">
        <v>#N/A</v>
      </c>
      <c r="AM23" t="e">
        <v>#N/A</v>
      </c>
      <c r="AN23" t="e">
        <v>#N/A</v>
      </c>
      <c r="AO23" t="e">
        <v>#N/A</v>
      </c>
      <c r="AP23" t="e">
        <v>#N/A</v>
      </c>
      <c r="AQ23" t="e">
        <v>#N/A</v>
      </c>
      <c r="AR23">
        <v>129</v>
      </c>
      <c r="AS23">
        <v>2.78</v>
      </c>
      <c r="AT23">
        <v>2.92</v>
      </c>
      <c r="AU23">
        <v>1.17</v>
      </c>
      <c r="AV23">
        <v>10.84</v>
      </c>
      <c r="AW23">
        <v>4.6500000000000004</v>
      </c>
      <c r="AX23">
        <v>0.04</v>
      </c>
      <c r="AY23">
        <v>0</v>
      </c>
      <c r="AZ23">
        <v>0</v>
      </c>
      <c r="BA23">
        <v>156</v>
      </c>
      <c r="BB23">
        <v>0</v>
      </c>
      <c r="BC23">
        <v>19.41</v>
      </c>
      <c r="BD23">
        <v>0</v>
      </c>
      <c r="BE23">
        <v>18.8</v>
      </c>
      <c r="BF23">
        <v>0</v>
      </c>
      <c r="BG23">
        <v>5.87</v>
      </c>
    </row>
    <row r="24" spans="1:60" ht="17.25" hidden="1" thickBot="1" x14ac:dyDescent="0.35">
      <c r="A24" t="s">
        <v>205</v>
      </c>
      <c r="B24">
        <v>43</v>
      </c>
      <c r="C24" t="e">
        <v>#N/A</v>
      </c>
      <c r="D24">
        <v>1.19</v>
      </c>
      <c r="E24">
        <v>0.65</v>
      </c>
      <c r="F24">
        <v>13.63</v>
      </c>
      <c r="G24" t="e">
        <v>#N/A</v>
      </c>
      <c r="H24" s="50" t="e">
        <v>#N/A</v>
      </c>
      <c r="I24" s="45" t="e">
        <v>#N/A</v>
      </c>
      <c r="J24" s="45">
        <v>0.93</v>
      </c>
      <c r="K24" s="53">
        <v>12</v>
      </c>
      <c r="L24">
        <v>37</v>
      </c>
      <c r="M24">
        <v>0.36</v>
      </c>
      <c r="N24">
        <v>0</v>
      </c>
      <c r="O24">
        <v>419</v>
      </c>
      <c r="P24" t="e">
        <v>#N/A</v>
      </c>
      <c r="Q24">
        <v>0</v>
      </c>
      <c r="R24">
        <v>0.03</v>
      </c>
      <c r="S24">
        <v>0.14000000000000001</v>
      </c>
      <c r="T24">
        <v>0.5</v>
      </c>
      <c r="U24">
        <v>12.13</v>
      </c>
      <c r="V24">
        <v>0</v>
      </c>
      <c r="W24" t="e">
        <v>#N/A</v>
      </c>
      <c r="X24" t="e">
        <v>#N/A</v>
      </c>
      <c r="Y24" t="e">
        <v>#N/A</v>
      </c>
      <c r="Z24" t="e">
        <v>#N/A</v>
      </c>
      <c r="AA24" t="e">
        <v>#N/A</v>
      </c>
      <c r="AB24" t="e">
        <v>#N/A</v>
      </c>
      <c r="AC24" t="e">
        <v>#N/A</v>
      </c>
      <c r="AD24" t="e">
        <v>#N/A</v>
      </c>
      <c r="AE24" t="e">
        <v>#N/A</v>
      </c>
      <c r="AF24" t="e">
        <v>#N/A</v>
      </c>
      <c r="AG24" t="e">
        <v>#N/A</v>
      </c>
      <c r="AH24" t="e">
        <v>#N/A</v>
      </c>
      <c r="AI24" t="e">
        <v>#N/A</v>
      </c>
      <c r="AJ24" t="e">
        <v>#N/A</v>
      </c>
      <c r="AK24" t="e">
        <v>#N/A</v>
      </c>
      <c r="AL24" t="e">
        <v>#N/A</v>
      </c>
      <c r="AM24" t="e">
        <v>#N/A</v>
      </c>
      <c r="AN24" t="e">
        <v>#N/A</v>
      </c>
      <c r="AO24" t="e">
        <v>#N/A</v>
      </c>
      <c r="AP24" t="e">
        <v>#N/A</v>
      </c>
      <c r="AQ24" t="e">
        <v>#N/A</v>
      </c>
      <c r="AR24">
        <v>17</v>
      </c>
      <c r="AS24">
        <v>0.05</v>
      </c>
      <c r="AT24">
        <v>0.59</v>
      </c>
      <c r="AU24">
        <v>0.05</v>
      </c>
      <c r="AV24">
        <v>4.47</v>
      </c>
      <c r="AW24">
        <v>0.91</v>
      </c>
      <c r="AX24">
        <v>0.02</v>
      </c>
      <c r="AY24">
        <v>0.72</v>
      </c>
      <c r="AZ24">
        <v>0</v>
      </c>
      <c r="BA24">
        <v>19</v>
      </c>
      <c r="BB24">
        <v>0</v>
      </c>
      <c r="BC24">
        <v>3.94</v>
      </c>
      <c r="BD24">
        <v>0</v>
      </c>
      <c r="BE24">
        <v>0</v>
      </c>
      <c r="BF24">
        <v>0</v>
      </c>
      <c r="BG24">
        <v>0.12</v>
      </c>
      <c r="BH24">
        <f>VLOOKUP(BH23,$E$15:$I$93,2,FALSE)</f>
        <v>0</v>
      </c>
    </row>
    <row r="25" spans="1:60" ht="17.25" thickBot="1" x14ac:dyDescent="0.35">
      <c r="A25" s="827" t="s">
        <v>639</v>
      </c>
      <c r="B25" s="828"/>
      <c r="C25" s="828"/>
      <c r="D25" s="828"/>
      <c r="E25" s="828"/>
      <c r="F25" s="829"/>
      <c r="H25" s="50" t="s">
        <v>229</v>
      </c>
      <c r="I25" s="457" t="s">
        <v>125</v>
      </c>
      <c r="J25" s="458"/>
      <c r="K25" s="53"/>
    </row>
    <row r="26" spans="1:60" x14ac:dyDescent="0.3">
      <c r="A26" s="110" t="s">
        <v>216</v>
      </c>
      <c r="B26" s="109" t="s">
        <v>217</v>
      </c>
      <c r="C26" s="849" t="s">
        <v>240</v>
      </c>
      <c r="D26" s="110" t="s">
        <v>45</v>
      </c>
      <c r="E26" s="111" t="s">
        <v>46</v>
      </c>
      <c r="F26" s="109" t="s">
        <v>208</v>
      </c>
      <c r="H26" s="50" t="s">
        <v>326</v>
      </c>
      <c r="I26" s="854" t="s">
        <v>640</v>
      </c>
      <c r="J26" s="854"/>
      <c r="K26" s="53"/>
    </row>
    <row r="27" spans="1:60" ht="17.25" thickBot="1" x14ac:dyDescent="0.35">
      <c r="A27" s="189" t="s">
        <v>641</v>
      </c>
      <c r="B27" s="459">
        <v>412</v>
      </c>
      <c r="C27" s="850"/>
      <c r="D27" s="459">
        <v>82</v>
      </c>
      <c r="E27" s="459">
        <v>7.5</v>
      </c>
      <c r="F27" s="191">
        <v>4</v>
      </c>
      <c r="H27" s="855" t="s">
        <v>230</v>
      </c>
      <c r="I27" s="856"/>
      <c r="J27" s="856"/>
      <c r="K27" s="857"/>
    </row>
    <row r="28" spans="1:60" x14ac:dyDescent="0.3">
      <c r="A28" s="189" t="s">
        <v>642</v>
      </c>
      <c r="B28" s="459">
        <v>394</v>
      </c>
      <c r="C28" s="850"/>
      <c r="D28" s="459">
        <v>78</v>
      </c>
      <c r="E28" s="459">
        <v>1.5</v>
      </c>
      <c r="F28" s="191">
        <v>9</v>
      </c>
    </row>
    <row r="29" spans="1:60" x14ac:dyDescent="0.3">
      <c r="A29" s="189" t="s">
        <v>643</v>
      </c>
      <c r="B29" s="459">
        <v>387</v>
      </c>
      <c r="C29" s="850"/>
      <c r="D29" s="459">
        <v>74</v>
      </c>
      <c r="E29" s="459">
        <v>4.5</v>
      </c>
      <c r="F29" s="191">
        <v>12</v>
      </c>
      <c r="H29" s="460"/>
      <c r="J29" s="460"/>
    </row>
    <row r="30" spans="1:60" x14ac:dyDescent="0.3">
      <c r="A30" s="189" t="s">
        <v>644</v>
      </c>
      <c r="B30" s="459">
        <v>375</v>
      </c>
      <c r="C30" s="850"/>
      <c r="D30" s="459">
        <v>74</v>
      </c>
      <c r="E30" s="459">
        <v>6.8</v>
      </c>
      <c r="F30" s="191">
        <v>3.6</v>
      </c>
      <c r="H30" s="460"/>
    </row>
    <row r="31" spans="1:60" x14ac:dyDescent="0.3">
      <c r="A31" s="189" t="s">
        <v>645</v>
      </c>
      <c r="B31" s="459">
        <v>340</v>
      </c>
      <c r="C31" s="850"/>
      <c r="D31" s="459">
        <v>82</v>
      </c>
      <c r="E31" s="459">
        <v>0.3</v>
      </c>
      <c r="F31" s="191">
        <v>2.5</v>
      </c>
      <c r="H31" s="460"/>
    </row>
    <row r="32" spans="1:60" x14ac:dyDescent="0.3">
      <c r="A32" s="189" t="s">
        <v>646</v>
      </c>
      <c r="B32" s="459">
        <v>0</v>
      </c>
      <c r="C32" s="850"/>
      <c r="D32" s="459">
        <v>0</v>
      </c>
      <c r="E32" s="459">
        <v>0</v>
      </c>
      <c r="F32" s="191">
        <v>0</v>
      </c>
      <c r="H32" s="460"/>
    </row>
    <row r="33" spans="1:11" x14ac:dyDescent="0.3">
      <c r="A33" s="189" t="s">
        <v>647</v>
      </c>
      <c r="B33" s="459">
        <v>0</v>
      </c>
      <c r="C33" s="850"/>
      <c r="D33" s="459">
        <v>0</v>
      </c>
      <c r="E33" s="459">
        <v>0</v>
      </c>
      <c r="F33" s="191">
        <v>0</v>
      </c>
      <c r="H33" s="460"/>
    </row>
    <row r="34" spans="1:11" x14ac:dyDescent="0.3">
      <c r="A34" s="189" t="s">
        <v>648</v>
      </c>
      <c r="B34" s="459">
        <v>0</v>
      </c>
      <c r="C34" s="850"/>
      <c r="D34" s="459">
        <v>0</v>
      </c>
      <c r="E34" s="459">
        <v>0</v>
      </c>
      <c r="F34" s="191">
        <v>0</v>
      </c>
    </row>
    <row r="35" spans="1:11" x14ac:dyDescent="0.3">
      <c r="A35" s="189" t="s">
        <v>649</v>
      </c>
      <c r="B35" s="459">
        <v>0</v>
      </c>
      <c r="C35" s="850"/>
      <c r="D35" s="459">
        <v>0</v>
      </c>
      <c r="E35" s="459">
        <v>0</v>
      </c>
      <c r="F35" s="191">
        <v>0</v>
      </c>
    </row>
    <row r="36" spans="1:11" x14ac:dyDescent="0.3">
      <c r="A36" s="189" t="s">
        <v>650</v>
      </c>
      <c r="B36" s="459">
        <v>0</v>
      </c>
      <c r="C36" s="850"/>
      <c r="D36" s="459">
        <v>0</v>
      </c>
      <c r="E36" s="459">
        <v>0</v>
      </c>
      <c r="F36" s="191">
        <v>0</v>
      </c>
    </row>
    <row r="37" spans="1:11" x14ac:dyDescent="0.3">
      <c r="A37" s="189" t="s">
        <v>651</v>
      </c>
      <c r="B37" s="459">
        <v>0</v>
      </c>
      <c r="C37" s="850"/>
      <c r="D37" s="459">
        <v>0</v>
      </c>
      <c r="E37" s="459">
        <v>0</v>
      </c>
      <c r="F37" s="191">
        <v>0</v>
      </c>
    </row>
    <row r="38" spans="1:11" x14ac:dyDescent="0.3">
      <c r="A38" s="189" t="s">
        <v>219</v>
      </c>
      <c r="B38" s="459">
        <v>384</v>
      </c>
      <c r="C38" s="850"/>
      <c r="D38" s="459">
        <v>11</v>
      </c>
      <c r="E38" s="459">
        <v>7.7</v>
      </c>
      <c r="F38" s="191">
        <v>62</v>
      </c>
    </row>
    <row r="39" spans="1:11" x14ac:dyDescent="0.3">
      <c r="A39" s="189" t="s">
        <v>220</v>
      </c>
      <c r="B39" s="459">
        <v>0</v>
      </c>
      <c r="C39" s="850"/>
      <c r="D39" s="459">
        <v>0</v>
      </c>
      <c r="E39" s="459">
        <v>0</v>
      </c>
      <c r="F39" s="191">
        <v>0</v>
      </c>
    </row>
    <row r="40" spans="1:11" x14ac:dyDescent="0.3">
      <c r="A40" s="189" t="s">
        <v>221</v>
      </c>
      <c r="B40" s="459">
        <v>0</v>
      </c>
      <c r="C40" s="850"/>
      <c r="D40" s="459">
        <v>0</v>
      </c>
      <c r="E40" s="459">
        <v>0</v>
      </c>
      <c r="F40" s="191">
        <v>0</v>
      </c>
      <c r="H40" s="461"/>
      <c r="I40" s="461"/>
    </row>
    <row r="41" spans="1:11" x14ac:dyDescent="0.3">
      <c r="A41" s="189" t="s">
        <v>243</v>
      </c>
      <c r="B41" s="459">
        <v>0</v>
      </c>
      <c r="C41" s="850"/>
      <c r="D41" s="459">
        <v>0</v>
      </c>
      <c r="E41" s="459">
        <v>0</v>
      </c>
      <c r="F41" s="191">
        <v>0</v>
      </c>
    </row>
    <row r="42" spans="1:11" x14ac:dyDescent="0.3">
      <c r="A42" s="189" t="s">
        <v>222</v>
      </c>
      <c r="B42" s="459">
        <v>0</v>
      </c>
      <c r="C42" s="850"/>
      <c r="D42" s="459">
        <v>0</v>
      </c>
      <c r="E42" s="459">
        <v>0</v>
      </c>
      <c r="F42" s="191">
        <v>0</v>
      </c>
    </row>
    <row r="43" spans="1:11" ht="17.25" thickBot="1" x14ac:dyDescent="0.35">
      <c r="A43" s="9"/>
      <c r="B43" s="449"/>
      <c r="C43" s="851"/>
      <c r="D43" s="449"/>
      <c r="E43" s="449"/>
      <c r="F43" s="450"/>
    </row>
    <row r="44" spans="1:11" ht="17.25" thickBot="1" x14ac:dyDescent="0.35"/>
    <row r="45" spans="1:11" ht="17.25" thickBot="1" x14ac:dyDescent="0.35">
      <c r="A45" s="78"/>
      <c r="B45" s="79" t="s">
        <v>206</v>
      </c>
      <c r="C45" s="80" t="s">
        <v>207</v>
      </c>
      <c r="D45" s="80" t="s">
        <v>217</v>
      </c>
      <c r="E45" s="80" t="s">
        <v>208</v>
      </c>
      <c r="F45" s="80" t="s">
        <v>45</v>
      </c>
      <c r="G45" s="81" t="s">
        <v>46</v>
      </c>
    </row>
    <row r="46" spans="1:11" x14ac:dyDescent="0.3">
      <c r="A46" s="54" t="s">
        <v>209</v>
      </c>
      <c r="B46" s="194" t="s">
        <v>215</v>
      </c>
      <c r="C46" s="459">
        <f>90*4</f>
        <v>360</v>
      </c>
      <c r="D46" s="462">
        <f>VLOOKUP($B46,$A$4:$BG$43,2,FALSE)*C46/100</f>
        <v>547.20000000000005</v>
      </c>
      <c r="E46" s="463">
        <f>VLOOKUP($B46,$A$4:$BG$43,6,FALSE)*C46/100</f>
        <v>119.52000000000002</v>
      </c>
      <c r="F46" s="463">
        <f>VLOOKUP($B46,$A$4:$BG$43,4,FALSE)*C46/100</f>
        <v>10.8</v>
      </c>
      <c r="G46" s="83">
        <f>VLOOKUP($B46,$A$4:$BG$43,5,FALSE)*C46/100</f>
        <v>0.36</v>
      </c>
      <c r="H46" s="455" t="s">
        <v>233</v>
      </c>
      <c r="I46" s="858">
        <f>SUM(D46:D53)</f>
        <v>855.00000000000011</v>
      </c>
      <c r="J46" s="847" t="s">
        <v>217</v>
      </c>
      <c r="K46" s="829" t="s">
        <v>213</v>
      </c>
    </row>
    <row r="47" spans="1:11" ht="17.25" thickBot="1" x14ac:dyDescent="0.35">
      <c r="A47" s="54"/>
      <c r="B47" s="194" t="s">
        <v>195</v>
      </c>
      <c r="C47" s="459">
        <v>100</v>
      </c>
      <c r="D47" s="462">
        <f>VLOOKUP($B47,$A$4:$BG$43,2,FALSE)*C47/100</f>
        <v>98</v>
      </c>
      <c r="E47" s="463">
        <f>VLOOKUP($B47,$A$4:$BG$43,6,FALSE)*C47/100</f>
        <v>0</v>
      </c>
      <c r="F47" s="463">
        <f>VLOOKUP($B47,$A$4:$BG$43,4,FALSE)*C47/100</f>
        <v>22.97</v>
      </c>
      <c r="G47" s="83">
        <f>VLOOKUP($B47,$A$4:$BG$43,5,FALSE)*C47/100</f>
        <v>0.97</v>
      </c>
      <c r="H47" s="464" t="s">
        <v>217</v>
      </c>
      <c r="I47" s="859"/>
      <c r="J47" s="860"/>
      <c r="K47" s="761"/>
    </row>
    <row r="48" spans="1:11" x14ac:dyDescent="0.3">
      <c r="A48" s="54"/>
      <c r="B48" s="194" t="s">
        <v>215</v>
      </c>
      <c r="C48" s="459"/>
      <c r="D48" s="462">
        <f t="shared" ref="D48:D50" si="0">VLOOKUP($B48,$A$4:$BG$43,2,FALSE)*C48/100</f>
        <v>0</v>
      </c>
      <c r="E48" s="463">
        <f t="shared" ref="E48:E50" si="1">VLOOKUP($B48,$A$4:$BG$43,6,FALSE)*C48/100</f>
        <v>0</v>
      </c>
      <c r="F48" s="463">
        <f t="shared" ref="F48:F50" si="2">VLOOKUP($B48,$A$4:$BG$43,4,FALSE)*C48/100</f>
        <v>0</v>
      </c>
      <c r="G48" s="83">
        <f t="shared" ref="G48:G50" si="3">VLOOKUP($B48,$A$4:$BG$43,5,FALSE)*C48/100</f>
        <v>0</v>
      </c>
      <c r="H48" s="861" t="s">
        <v>208</v>
      </c>
      <c r="I48" s="862">
        <f>SUM(E46:E53)</f>
        <v>126.08200000000002</v>
      </c>
      <c r="J48" s="863">
        <f>I48*4</f>
        <v>504.32800000000009</v>
      </c>
      <c r="K48" s="864">
        <f>J48/$I$46</f>
        <v>0.58985730994152052</v>
      </c>
    </row>
    <row r="49" spans="1:11" x14ac:dyDescent="0.3">
      <c r="A49" s="54"/>
      <c r="B49" s="194" t="s">
        <v>218</v>
      </c>
      <c r="C49" s="459"/>
      <c r="D49" s="462">
        <f t="shared" si="0"/>
        <v>0</v>
      </c>
      <c r="E49" s="463">
        <f t="shared" si="1"/>
        <v>0</v>
      </c>
      <c r="F49" s="463">
        <f t="shared" si="2"/>
        <v>0</v>
      </c>
      <c r="G49" s="83">
        <f t="shared" si="3"/>
        <v>0</v>
      </c>
      <c r="H49" s="861"/>
      <c r="I49" s="862"/>
      <c r="J49" s="863"/>
      <c r="K49" s="864"/>
    </row>
    <row r="50" spans="1:11" x14ac:dyDescent="0.3">
      <c r="A50" s="54"/>
      <c r="B50" s="194" t="s">
        <v>218</v>
      </c>
      <c r="C50" s="459"/>
      <c r="D50" s="462">
        <f t="shared" si="0"/>
        <v>0</v>
      </c>
      <c r="E50" s="463">
        <f t="shared" si="1"/>
        <v>0</v>
      </c>
      <c r="F50" s="463">
        <f t="shared" si="2"/>
        <v>0</v>
      </c>
      <c r="G50" s="83">
        <f t="shared" si="3"/>
        <v>0</v>
      </c>
      <c r="H50" s="861" t="s">
        <v>45</v>
      </c>
      <c r="I50" s="862">
        <f>SUM(F46:F53)</f>
        <v>56.977000000000004</v>
      </c>
      <c r="J50" s="863">
        <f>I50*4</f>
        <v>227.90800000000002</v>
      </c>
      <c r="K50" s="864">
        <f>J50/$I$46</f>
        <v>0.26655906432748538</v>
      </c>
    </row>
    <row r="51" spans="1:11" x14ac:dyDescent="0.3">
      <c r="A51" s="54"/>
      <c r="B51" s="194" t="s">
        <v>533</v>
      </c>
      <c r="C51" s="459">
        <v>100</v>
      </c>
      <c r="D51" s="462">
        <f>VLOOKUP($B51,$A$4:$BG$43,2,FALSE)*C51/100</f>
        <v>180</v>
      </c>
      <c r="E51" s="463">
        <f>VLOOKUP($B51,$A$4:$BG$43,6,FALSE)*C51/100</f>
        <v>1.3</v>
      </c>
      <c r="F51" s="463">
        <f>VLOOKUP($B51,$A$4:$BG$43,4,FALSE)*C51/100</f>
        <v>20.2</v>
      </c>
      <c r="G51" s="83">
        <f>VLOOKUP($B51,$A$4:$BG$43,5,FALSE)*C51/100</f>
        <v>9.5</v>
      </c>
      <c r="H51" s="861"/>
      <c r="I51" s="862"/>
      <c r="J51" s="863"/>
      <c r="K51" s="864"/>
    </row>
    <row r="52" spans="1:11" x14ac:dyDescent="0.3">
      <c r="A52" s="54"/>
      <c r="B52" s="194" t="s">
        <v>652</v>
      </c>
      <c r="C52" s="459">
        <v>60</v>
      </c>
      <c r="D52" s="462">
        <f>VLOOKUP($B52,$A$4:$BG$43,2,FALSE)*C52/100</f>
        <v>18.600000000000001</v>
      </c>
      <c r="E52" s="463">
        <f>VLOOKUP($B52,$A$4:$BG$43,6,FALSE)*C52/100</f>
        <v>2.2799999999999998</v>
      </c>
      <c r="F52" s="463">
        <f>VLOOKUP($B52,$A$4:$BG$43,4,FALSE)*C52/100</f>
        <v>2.286</v>
      </c>
      <c r="G52" s="83">
        <f>VLOOKUP($B52,$A$4:$BG$43,5,FALSE)*C52/100</f>
        <v>0.55200000000000005</v>
      </c>
      <c r="H52" s="861" t="s">
        <v>46</v>
      </c>
      <c r="I52" s="862">
        <f>SUM(G46:G53)</f>
        <v>11.507999999999999</v>
      </c>
      <c r="J52" s="863">
        <f>I52*9</f>
        <v>103.57199999999999</v>
      </c>
      <c r="K52" s="864">
        <f>J52/$I$46</f>
        <v>0.12113684210526313</v>
      </c>
    </row>
    <row r="53" spans="1:11" ht="17.25" thickBot="1" x14ac:dyDescent="0.35">
      <c r="A53" s="55"/>
      <c r="B53" s="195" t="s">
        <v>653</v>
      </c>
      <c r="C53" s="196">
        <v>70</v>
      </c>
      <c r="D53" s="70">
        <f>VLOOKUP($B53,$A$4:$BG$43,2,FALSE)*C53/100</f>
        <v>11.2</v>
      </c>
      <c r="E53" s="447">
        <f>VLOOKUP($B53,$A$4:$BG$43,6,FALSE)*C53/100</f>
        <v>2.9819999999999998</v>
      </c>
      <c r="F53" s="447">
        <f>VLOOKUP($B53,$A$4:$BG$43,4,FALSE)*C53/100</f>
        <v>0.72100000000000009</v>
      </c>
      <c r="G53" s="448">
        <f>VLOOKUP($B53,$A$4:$BG$43,5,FALSE)*C53/100</f>
        <v>0.126</v>
      </c>
      <c r="H53" s="865"/>
      <c r="I53" s="866"/>
      <c r="J53" s="867"/>
      <c r="K53" s="868"/>
    </row>
    <row r="54" spans="1:11" x14ac:dyDescent="0.3">
      <c r="A54" s="56" t="s">
        <v>210</v>
      </c>
      <c r="B54" s="197" t="s">
        <v>654</v>
      </c>
      <c r="C54" s="459">
        <f>90*4</f>
        <v>360</v>
      </c>
      <c r="D54" s="71">
        <f>VLOOKUP($B54,$A$4:$BG$43,2,FALSE)*C54/100</f>
        <v>522</v>
      </c>
      <c r="E54" s="86">
        <f>VLOOKUP($B54,$A$4:$BG$43,6,FALSE)*C54/100</f>
        <v>134.27999999999997</v>
      </c>
      <c r="F54" s="86">
        <f>VLOOKUP($B54,$A$4:$BG$43,4,FALSE)*C54/100</f>
        <v>11.88</v>
      </c>
      <c r="G54" s="87">
        <f>VLOOKUP($B54,$A$4:$BG$43,5,FALSE)*C54/100</f>
        <v>0.72</v>
      </c>
      <c r="H54" s="259" t="s">
        <v>234</v>
      </c>
      <c r="I54" s="858">
        <f>SUM(D54:D61)</f>
        <v>829.80000000000007</v>
      </c>
      <c r="J54" s="847" t="s">
        <v>217</v>
      </c>
      <c r="K54" s="829" t="s">
        <v>213</v>
      </c>
    </row>
    <row r="55" spans="1:11" ht="17.25" thickBot="1" x14ac:dyDescent="0.35">
      <c r="A55" s="57"/>
      <c r="B55" s="194" t="s">
        <v>195</v>
      </c>
      <c r="C55" s="459">
        <v>100</v>
      </c>
      <c r="D55" s="465">
        <f>VLOOKUP($B55,$A$4:$BG$43,2,FALSE)*C55/100</f>
        <v>98</v>
      </c>
      <c r="E55" s="466">
        <f>VLOOKUP($B55,$A$4:$BG$43,6,FALSE)*C55/100</f>
        <v>0</v>
      </c>
      <c r="F55" s="466">
        <f>VLOOKUP($B55,$A$4:$BG$43,4,FALSE)*C55/100</f>
        <v>22.97</v>
      </c>
      <c r="G55" s="89">
        <f>VLOOKUP($B55,$A$4:$BG$43,5,FALSE)*C55/100</f>
        <v>0.97</v>
      </c>
      <c r="H55" s="467" t="s">
        <v>217</v>
      </c>
      <c r="I55" s="859"/>
      <c r="J55" s="860"/>
      <c r="K55" s="761"/>
    </row>
    <row r="56" spans="1:11" x14ac:dyDescent="0.3">
      <c r="A56" s="57"/>
      <c r="B56" s="194" t="s">
        <v>215</v>
      </c>
      <c r="C56" s="459"/>
      <c r="D56" s="465">
        <f t="shared" ref="D56:D58" si="4">VLOOKUP($B56,$A$4:$BG$43,2,FALSE)*C56/100</f>
        <v>0</v>
      </c>
      <c r="E56" s="466">
        <f t="shared" ref="E56:E58" si="5">VLOOKUP($B56,$A$4:$BG$43,6,FALSE)*C56/100</f>
        <v>0</v>
      </c>
      <c r="F56" s="466">
        <f t="shared" ref="F56:F58" si="6">VLOOKUP($B56,$A$4:$BG$43,4,FALSE)*C56/100</f>
        <v>0</v>
      </c>
      <c r="G56" s="89">
        <f t="shared" ref="G56:G58" si="7">VLOOKUP($B56,$A$4:$BG$43,5,FALSE)*C56/100</f>
        <v>0</v>
      </c>
      <c r="H56" s="869" t="s">
        <v>208</v>
      </c>
      <c r="I56" s="862">
        <f>SUM(E54:E61)</f>
        <v>140.84199999999998</v>
      </c>
      <c r="J56" s="863">
        <f>I56*4</f>
        <v>563.36799999999994</v>
      </c>
      <c r="K56" s="864">
        <f>J56/$I$54</f>
        <v>0.67892022174017819</v>
      </c>
    </row>
    <row r="57" spans="1:11" x14ac:dyDescent="0.3">
      <c r="A57" s="57"/>
      <c r="B57" s="194" t="s">
        <v>218</v>
      </c>
      <c r="C57" s="459"/>
      <c r="D57" s="465">
        <f t="shared" si="4"/>
        <v>0</v>
      </c>
      <c r="E57" s="466">
        <f t="shared" si="5"/>
        <v>0</v>
      </c>
      <c r="F57" s="466">
        <f t="shared" si="6"/>
        <v>0</v>
      </c>
      <c r="G57" s="89">
        <f t="shared" si="7"/>
        <v>0</v>
      </c>
      <c r="H57" s="869"/>
      <c r="I57" s="862"/>
      <c r="J57" s="863"/>
      <c r="K57" s="864"/>
    </row>
    <row r="58" spans="1:11" x14ac:dyDescent="0.3">
      <c r="A58" s="57"/>
      <c r="B58" s="194" t="s">
        <v>655</v>
      </c>
      <c r="C58" s="459"/>
      <c r="D58" s="465">
        <f t="shared" si="4"/>
        <v>0</v>
      </c>
      <c r="E58" s="466">
        <f t="shared" si="5"/>
        <v>0</v>
      </c>
      <c r="F58" s="466">
        <f t="shared" si="6"/>
        <v>0</v>
      </c>
      <c r="G58" s="89">
        <f t="shared" si="7"/>
        <v>0</v>
      </c>
      <c r="H58" s="869" t="s">
        <v>45</v>
      </c>
      <c r="I58" s="862">
        <f>SUM(F54:F61)</f>
        <v>58.057000000000002</v>
      </c>
      <c r="J58" s="863">
        <f>I58*4</f>
        <v>232.22800000000001</v>
      </c>
      <c r="K58" s="864">
        <f>J58/$I$54</f>
        <v>0.27986020727886235</v>
      </c>
    </row>
    <row r="59" spans="1:11" x14ac:dyDescent="0.3">
      <c r="A59" s="57"/>
      <c r="B59" s="194" t="s">
        <v>533</v>
      </c>
      <c r="C59" s="459">
        <v>100</v>
      </c>
      <c r="D59" s="465">
        <f>VLOOKUP($B59,$A$4:$BG$43,2,FALSE)*C59/100</f>
        <v>180</v>
      </c>
      <c r="E59" s="466">
        <f>VLOOKUP($B59,$A$4:$BG$43,6,FALSE)*C59/100</f>
        <v>1.3</v>
      </c>
      <c r="F59" s="466">
        <f>VLOOKUP($B59,$A$4:$BG$43,4,FALSE)*C59/100</f>
        <v>20.2</v>
      </c>
      <c r="G59" s="89">
        <f>VLOOKUP($B59,$A$4:$BG$43,5,FALSE)*C59/100</f>
        <v>9.5</v>
      </c>
      <c r="H59" s="869"/>
      <c r="I59" s="862"/>
      <c r="J59" s="863"/>
      <c r="K59" s="864"/>
    </row>
    <row r="60" spans="1:11" x14ac:dyDescent="0.3">
      <c r="A60" s="57"/>
      <c r="B60" s="194" t="s">
        <v>652</v>
      </c>
      <c r="C60" s="459">
        <v>60</v>
      </c>
      <c r="D60" s="465">
        <f>VLOOKUP($B60,$A$4:$BG$43,2,FALSE)*C60/100</f>
        <v>18.600000000000001</v>
      </c>
      <c r="E60" s="466">
        <f>VLOOKUP($B60,$A$4:$BG$43,6,FALSE)*C60/100</f>
        <v>2.2799999999999998</v>
      </c>
      <c r="F60" s="466">
        <f>VLOOKUP($B60,$A$4:$BG$43,4,FALSE)*C60/100</f>
        <v>2.286</v>
      </c>
      <c r="G60" s="89">
        <f>VLOOKUP($B60,$A$4:$BG$43,5,FALSE)*C60/100</f>
        <v>0.55200000000000005</v>
      </c>
      <c r="H60" s="869" t="s">
        <v>46</v>
      </c>
      <c r="I60" s="862">
        <f>SUM(G54:G61)</f>
        <v>11.867999999999999</v>
      </c>
      <c r="J60" s="863">
        <f>I60*9</f>
        <v>106.81199999999998</v>
      </c>
      <c r="K60" s="864">
        <f>J60/$I$54</f>
        <v>0.12872017353579174</v>
      </c>
    </row>
    <row r="61" spans="1:11" ht="17.25" thickBot="1" x14ac:dyDescent="0.35">
      <c r="A61" s="58"/>
      <c r="B61" s="195" t="s">
        <v>653</v>
      </c>
      <c r="C61" s="196">
        <v>70</v>
      </c>
      <c r="D61" s="73">
        <f>VLOOKUP($B61,$A$4:$BG$43,2,FALSE)*C61/100</f>
        <v>11.2</v>
      </c>
      <c r="E61" s="90">
        <f>VLOOKUP($B61,$A$4:$BG$43,6,FALSE)*C61/100</f>
        <v>2.9819999999999998</v>
      </c>
      <c r="F61" s="90">
        <f>VLOOKUP($B61,$A$4:$BG$43,4,FALSE)*C61/100</f>
        <v>0.72100000000000009</v>
      </c>
      <c r="G61" s="91">
        <f>VLOOKUP($B61,$A$4:$BG$43,5,FALSE)*C61/100</f>
        <v>0.126</v>
      </c>
      <c r="H61" s="870"/>
      <c r="I61" s="866"/>
      <c r="J61" s="867"/>
      <c r="K61" s="868"/>
    </row>
    <row r="62" spans="1:11" x14ac:dyDescent="0.3">
      <c r="A62" s="59" t="s">
        <v>223</v>
      </c>
      <c r="B62" s="197" t="s">
        <v>215</v>
      </c>
      <c r="C62" s="459">
        <f>90*4</f>
        <v>360</v>
      </c>
      <c r="D62" s="74">
        <f>VLOOKUP($B62,$A$4:$BG$43,2,FALSE)*C62/100</f>
        <v>547.20000000000005</v>
      </c>
      <c r="E62" s="92">
        <f>VLOOKUP($B62,$A$4:$BG$43,6,FALSE)*C62/100</f>
        <v>119.52000000000002</v>
      </c>
      <c r="F62" s="92">
        <f>VLOOKUP($B62,$A$4:$BG$43,4,FALSE)*C62/100</f>
        <v>10.8</v>
      </c>
      <c r="G62" s="93">
        <f>VLOOKUP($B62,$A$4:$BG$43,5,FALSE)*C62/100</f>
        <v>0.36</v>
      </c>
      <c r="H62" s="468" t="s">
        <v>235</v>
      </c>
      <c r="I62" s="858">
        <f>SUM(D62:D69)</f>
        <v>846.00000000000011</v>
      </c>
      <c r="J62" s="847" t="s">
        <v>217</v>
      </c>
      <c r="K62" s="829" t="s">
        <v>213</v>
      </c>
    </row>
    <row r="63" spans="1:11" ht="17.25" thickBot="1" x14ac:dyDescent="0.35">
      <c r="A63" s="60"/>
      <c r="B63" s="194" t="s">
        <v>532</v>
      </c>
      <c r="C63" s="459">
        <v>100</v>
      </c>
      <c r="D63" s="469">
        <f>VLOOKUP($B63,$A$4:$BG$43,2,FALSE)*C63/100</f>
        <v>98</v>
      </c>
      <c r="E63" s="470">
        <f>VLOOKUP($B63,$A$4:$BG$43,6,FALSE)*C63/100</f>
        <v>0</v>
      </c>
      <c r="F63" s="470">
        <f>VLOOKUP($B63,$A$4:$BG$43,4,FALSE)*C63/100</f>
        <v>22.97</v>
      </c>
      <c r="G63" s="95">
        <f>VLOOKUP($B63,$A$4:$BG$43,5,FALSE)*C63/100</f>
        <v>0.97</v>
      </c>
      <c r="H63" s="444" t="s">
        <v>217</v>
      </c>
      <c r="I63" s="859"/>
      <c r="J63" s="860"/>
      <c r="K63" s="761"/>
    </row>
    <row r="64" spans="1:11" x14ac:dyDescent="0.3">
      <c r="A64" s="60"/>
      <c r="B64" s="194" t="s">
        <v>656</v>
      </c>
      <c r="C64" s="459"/>
      <c r="D64" s="469">
        <f t="shared" ref="D64:D66" si="8">VLOOKUP($B64,$A$4:$BG$43,2,FALSE)*C64/100</f>
        <v>0</v>
      </c>
      <c r="E64" s="470">
        <f t="shared" ref="E64:E66" si="9">VLOOKUP($B64,$A$4:$BG$43,6,FALSE)*C64/100</f>
        <v>0</v>
      </c>
      <c r="F64" s="470">
        <f t="shared" ref="F64:F66" si="10">VLOOKUP($B64,$A$4:$BG$43,4,FALSE)*C64/100</f>
        <v>0</v>
      </c>
      <c r="G64" s="95">
        <f t="shared" ref="G64:G66" si="11">VLOOKUP($B64,$A$4:$BG$43,5,FALSE)*C64/100</f>
        <v>0</v>
      </c>
      <c r="H64" s="871" t="s">
        <v>208</v>
      </c>
      <c r="I64" s="862">
        <f>SUM(E62:E69)</f>
        <v>126.35800000000002</v>
      </c>
      <c r="J64" s="863">
        <f>I64*4</f>
        <v>505.43200000000007</v>
      </c>
      <c r="K64" s="864">
        <f>J64/$I$54</f>
        <v>0.60910098818992531</v>
      </c>
    </row>
    <row r="65" spans="1:11" x14ac:dyDescent="0.3">
      <c r="A65" s="60"/>
      <c r="B65" s="194" t="s">
        <v>657</v>
      </c>
      <c r="C65" s="459"/>
      <c r="D65" s="469">
        <f t="shared" si="8"/>
        <v>0</v>
      </c>
      <c r="E65" s="470">
        <f t="shared" si="9"/>
        <v>0</v>
      </c>
      <c r="F65" s="470">
        <f t="shared" si="10"/>
        <v>0</v>
      </c>
      <c r="G65" s="95">
        <f t="shared" si="11"/>
        <v>0</v>
      </c>
      <c r="H65" s="871"/>
      <c r="I65" s="862"/>
      <c r="J65" s="863"/>
      <c r="K65" s="864"/>
    </row>
    <row r="66" spans="1:11" x14ac:dyDescent="0.3">
      <c r="A66" s="60"/>
      <c r="B66" s="194" t="s">
        <v>658</v>
      </c>
      <c r="C66" s="459"/>
      <c r="D66" s="469">
        <f t="shared" si="8"/>
        <v>0</v>
      </c>
      <c r="E66" s="470">
        <f t="shared" si="9"/>
        <v>0</v>
      </c>
      <c r="F66" s="470">
        <f t="shared" si="10"/>
        <v>0</v>
      </c>
      <c r="G66" s="95">
        <f t="shared" si="11"/>
        <v>0</v>
      </c>
      <c r="H66" s="871" t="s">
        <v>45</v>
      </c>
      <c r="I66" s="862">
        <f>SUM(F62:F69)</f>
        <v>55.308999999999997</v>
      </c>
      <c r="J66" s="863">
        <f>I66*4</f>
        <v>221.23599999999999</v>
      </c>
      <c r="K66" s="864">
        <f>J66/$I$54</f>
        <v>0.26661364184140751</v>
      </c>
    </row>
    <row r="67" spans="1:11" x14ac:dyDescent="0.3">
      <c r="A67" s="60"/>
      <c r="B67" s="194" t="s">
        <v>533</v>
      </c>
      <c r="C67" s="459">
        <v>100</v>
      </c>
      <c r="D67" s="469">
        <f>VLOOKUP($B67,$A$4:$BG$43,2,FALSE)*C67/100</f>
        <v>180</v>
      </c>
      <c r="E67" s="470">
        <f>VLOOKUP($B67,$A$4:$BG$43,6,FALSE)*C67/100</f>
        <v>1.3</v>
      </c>
      <c r="F67" s="470">
        <f>VLOOKUP($B67,$A$4:$BG$43,4,FALSE)*C67/100</f>
        <v>20.2</v>
      </c>
      <c r="G67" s="95">
        <f>VLOOKUP($B67,$A$4:$BG$43,5,FALSE)*C67/100</f>
        <v>9.5</v>
      </c>
      <c r="H67" s="871"/>
      <c r="I67" s="862"/>
      <c r="J67" s="863"/>
      <c r="K67" s="864"/>
    </row>
    <row r="68" spans="1:11" x14ac:dyDescent="0.3">
      <c r="A68" s="60"/>
      <c r="B68" s="194" t="s">
        <v>653</v>
      </c>
      <c r="C68" s="459">
        <v>60</v>
      </c>
      <c r="D68" s="469">
        <f>VLOOKUP($B68,$A$4:$BG$43,2,FALSE)*C68/100</f>
        <v>9.6</v>
      </c>
      <c r="E68" s="470">
        <f>VLOOKUP($B68,$A$4:$BG$43,6,FALSE)*C68/100</f>
        <v>2.556</v>
      </c>
      <c r="F68" s="470">
        <f>VLOOKUP($B68,$A$4:$BG$43,4,FALSE)*C68/100</f>
        <v>0.61799999999999999</v>
      </c>
      <c r="G68" s="95">
        <f>VLOOKUP($B68,$A$4:$BG$43,5,FALSE)*C68/100</f>
        <v>0.10799999999999998</v>
      </c>
      <c r="H68" s="871" t="s">
        <v>46</v>
      </c>
      <c r="I68" s="862">
        <f>SUM(G62:G69)</f>
        <v>11.064</v>
      </c>
      <c r="J68" s="863">
        <f>I68*9</f>
        <v>99.575999999999993</v>
      </c>
      <c r="K68" s="864">
        <f>J68/$I$54</f>
        <v>0.11999999999999998</v>
      </c>
    </row>
    <row r="69" spans="1:11" ht="17.25" thickBot="1" x14ac:dyDescent="0.35">
      <c r="A69" s="61"/>
      <c r="B69" s="195" t="s">
        <v>653</v>
      </c>
      <c r="C69" s="196">
        <v>70</v>
      </c>
      <c r="D69" s="18">
        <f>VLOOKUP($B69,$A$4:$BG$43,2,FALSE)*C69/100</f>
        <v>11.2</v>
      </c>
      <c r="E69" s="96">
        <f>VLOOKUP($B69,$A$4:$BG$43,6,FALSE)*C69/100</f>
        <v>2.9819999999999998</v>
      </c>
      <c r="F69" s="96">
        <f>VLOOKUP($B69,$A$4:$BG$43,4,FALSE)*C69/100</f>
        <v>0.72100000000000009</v>
      </c>
      <c r="G69" s="97">
        <f>VLOOKUP($B69,$A$4:$BG$43,5,FALSE)*C69/100</f>
        <v>0.126</v>
      </c>
      <c r="H69" s="872"/>
      <c r="I69" s="866"/>
      <c r="J69" s="867"/>
      <c r="K69" s="868"/>
    </row>
    <row r="70" spans="1:11" x14ac:dyDescent="0.3">
      <c r="A70" s="102" t="s">
        <v>224</v>
      </c>
      <c r="B70" s="197" t="s">
        <v>659</v>
      </c>
      <c r="C70" s="198">
        <v>15</v>
      </c>
      <c r="D70" s="103">
        <f>VLOOKUP($B70,$A$4:$BG$43,2,FALSE)*C70/100</f>
        <v>87.45</v>
      </c>
      <c r="E70" s="104">
        <f>VLOOKUP($B70,$A$4:$BG$43,6,FALSE)*C70/100</f>
        <v>3.0135000000000001</v>
      </c>
      <c r="F70" s="104">
        <f>VLOOKUP($B70,$A$4:$BG$43,4,FALSE)*C70/100</f>
        <v>3.516</v>
      </c>
      <c r="G70" s="105">
        <f>VLOOKUP($B70,$A$4:$BG$43,5,FALSE)*C70/100</f>
        <v>7.4939999999999998</v>
      </c>
      <c r="H70" s="471" t="s">
        <v>236</v>
      </c>
      <c r="I70" s="858">
        <f>SUM(D70:D77)</f>
        <v>348.15</v>
      </c>
      <c r="J70" s="847" t="s">
        <v>217</v>
      </c>
      <c r="K70" s="829" t="s">
        <v>213</v>
      </c>
    </row>
    <row r="71" spans="1:11" ht="17.25" thickBot="1" x14ac:dyDescent="0.35">
      <c r="A71" s="62"/>
      <c r="B71" s="199" t="s">
        <v>660</v>
      </c>
      <c r="C71" s="459">
        <v>15</v>
      </c>
      <c r="D71" s="472">
        <f>VLOOKUP($B71,$A$4:$BG$43,2,FALSE)*C71/100</f>
        <v>103.95</v>
      </c>
      <c r="E71" s="473">
        <f>VLOOKUP($B71,$A$4:$BG$43,6,FALSE)*C71/100</f>
        <v>1.1879999999999999</v>
      </c>
      <c r="F71" s="473">
        <f>VLOOKUP($B71,$A$4:$BG$43,4,FALSE)*C71/100</f>
        <v>2.3205</v>
      </c>
      <c r="G71" s="99">
        <f>VLOOKUP($B71,$A$4:$BG$43,5,FALSE)*C71/100</f>
        <v>10.798499999999999</v>
      </c>
      <c r="H71" s="263" t="s">
        <v>217</v>
      </c>
      <c r="I71" s="859"/>
      <c r="J71" s="860"/>
      <c r="K71" s="761"/>
    </row>
    <row r="72" spans="1:11" x14ac:dyDescent="0.3">
      <c r="A72" s="62"/>
      <c r="B72" s="199" t="s">
        <v>242</v>
      </c>
      <c r="C72" s="459"/>
      <c r="D72" s="472">
        <f t="shared" ref="D72:D74" si="12">VLOOKUP($B72,$A$4:$BG$43,2,FALSE)*C72/100</f>
        <v>0</v>
      </c>
      <c r="E72" s="473">
        <f t="shared" ref="E72:E74" si="13">VLOOKUP($B72,$A$4:$BG$43,6,FALSE)*C72/100</f>
        <v>0</v>
      </c>
      <c r="F72" s="473">
        <f t="shared" ref="F72:F74" si="14">VLOOKUP($B72,$A$4:$BG$43,4,FALSE)*C72/100</f>
        <v>0</v>
      </c>
      <c r="G72" s="99">
        <f t="shared" ref="G72:G74" si="15">VLOOKUP($B72,$A$4:$BG$43,5,FALSE)*C72/100</f>
        <v>0</v>
      </c>
      <c r="H72" s="873" t="s">
        <v>208</v>
      </c>
      <c r="I72" s="862">
        <f>SUM(E70:E77)</f>
        <v>35.166499999999999</v>
      </c>
      <c r="J72" s="863">
        <f>I72*4</f>
        <v>140.666</v>
      </c>
      <c r="K72" s="864">
        <f>J72/$I$54</f>
        <v>0.16951795613400816</v>
      </c>
    </row>
    <row r="73" spans="1:11" x14ac:dyDescent="0.3">
      <c r="A73" s="62"/>
      <c r="B73" s="199" t="s">
        <v>658</v>
      </c>
      <c r="C73" s="459"/>
      <c r="D73" s="472">
        <f t="shared" si="12"/>
        <v>0</v>
      </c>
      <c r="E73" s="473">
        <f t="shared" si="13"/>
        <v>0</v>
      </c>
      <c r="F73" s="473">
        <f t="shared" si="14"/>
        <v>0</v>
      </c>
      <c r="G73" s="99">
        <f t="shared" si="15"/>
        <v>0</v>
      </c>
      <c r="H73" s="873"/>
      <c r="I73" s="862"/>
      <c r="J73" s="863"/>
      <c r="K73" s="864"/>
    </row>
    <row r="74" spans="1:11" x14ac:dyDescent="0.3">
      <c r="A74" s="62"/>
      <c r="B74" s="199" t="s">
        <v>661</v>
      </c>
      <c r="C74" s="459"/>
      <c r="D74" s="472">
        <f t="shared" si="12"/>
        <v>0</v>
      </c>
      <c r="E74" s="473">
        <f t="shared" si="13"/>
        <v>0</v>
      </c>
      <c r="F74" s="473">
        <f t="shared" si="14"/>
        <v>0</v>
      </c>
      <c r="G74" s="99">
        <f t="shared" si="15"/>
        <v>0</v>
      </c>
      <c r="H74" s="873" t="s">
        <v>45</v>
      </c>
      <c r="I74" s="862">
        <f>SUM(F70:F77)</f>
        <v>11.1915</v>
      </c>
      <c r="J74" s="863">
        <f>I74*4</f>
        <v>44.765999999999998</v>
      </c>
      <c r="K74" s="864">
        <f>J74/$I$54</f>
        <v>5.3947939262472877E-2</v>
      </c>
    </row>
    <row r="75" spans="1:11" x14ac:dyDescent="0.3">
      <c r="A75" s="62"/>
      <c r="B75" s="199" t="s">
        <v>662</v>
      </c>
      <c r="C75" s="459">
        <v>25</v>
      </c>
      <c r="D75" s="472">
        <f>VLOOKUP($B75,$A$4:$BG$43,2,FALSE)*C75/100</f>
        <v>90.25</v>
      </c>
      <c r="E75" s="473">
        <f>VLOOKUP($B75,$A$4:$BG$43,6,FALSE)*C75/100</f>
        <v>18.925000000000001</v>
      </c>
      <c r="F75" s="473">
        <f>VLOOKUP($B75,$A$4:$BG$43,4,FALSE)*C75/100</f>
        <v>1.825</v>
      </c>
      <c r="G75" s="99">
        <f>VLOOKUP($B75,$A$4:$BG$43,5,FALSE)*C75/100</f>
        <v>0.7</v>
      </c>
      <c r="H75" s="873"/>
      <c r="I75" s="862"/>
      <c r="J75" s="863"/>
      <c r="K75" s="864"/>
    </row>
    <row r="76" spans="1:11" x14ac:dyDescent="0.3">
      <c r="A76" s="62"/>
      <c r="B76" s="199" t="s">
        <v>663</v>
      </c>
      <c r="C76" s="459">
        <v>50</v>
      </c>
      <c r="D76" s="472">
        <f>VLOOKUP($B76,$A$4:$BG$43,2,FALSE)*C76/100</f>
        <v>24.5</v>
      </c>
      <c r="E76" s="473">
        <f>VLOOKUP($B76,$A$4:$BG$43,6,FALSE)*C76/100</f>
        <v>7.18</v>
      </c>
      <c r="F76" s="473">
        <f>VLOOKUP($B76,$A$4:$BG$43,4,FALSE)*C76/100</f>
        <v>0.1</v>
      </c>
      <c r="G76" s="99">
        <f>VLOOKUP($B76,$A$4:$BG$43,5,FALSE)*C76/100</f>
        <v>1.4999999999999999E-2</v>
      </c>
      <c r="H76" s="873" t="s">
        <v>46</v>
      </c>
      <c r="I76" s="862">
        <f>SUM(G70:G77)</f>
        <v>19.907499999999995</v>
      </c>
      <c r="J76" s="863">
        <f>I76*9</f>
        <v>179.16749999999996</v>
      </c>
      <c r="K76" s="864">
        <f>J76/$I$54</f>
        <v>0.21591648590021686</v>
      </c>
    </row>
    <row r="77" spans="1:11" ht="17.25" thickBot="1" x14ac:dyDescent="0.35">
      <c r="A77" s="63"/>
      <c r="B77" s="200" t="s">
        <v>664</v>
      </c>
      <c r="C77" s="196">
        <v>100</v>
      </c>
      <c r="D77" s="77">
        <f>VLOOKUP($B77,$A$4:$BG$43,2,FALSE)*C77/100</f>
        <v>42</v>
      </c>
      <c r="E77" s="100">
        <f>VLOOKUP($B77,$A$4:$BG$43,6,FALSE)*C77/100</f>
        <v>4.8600000000000003</v>
      </c>
      <c r="F77" s="100">
        <f>VLOOKUP($B77,$A$4:$BG$43,4,FALSE)*C77/100</f>
        <v>3.43</v>
      </c>
      <c r="G77" s="101">
        <f>VLOOKUP($B77,$A$4:$BG$43,5,FALSE)*C77/100</f>
        <v>0.9</v>
      </c>
      <c r="H77" s="874"/>
      <c r="I77" s="866"/>
      <c r="J77" s="867"/>
      <c r="K77" s="868"/>
    </row>
    <row r="79" spans="1:11" x14ac:dyDescent="0.3">
      <c r="C79" s="44" t="s">
        <v>211</v>
      </c>
      <c r="D79" s="45"/>
      <c r="E79" s="65">
        <f>SUM(E46:E78)</f>
        <v>428.44850000000008</v>
      </c>
      <c r="F79" s="65">
        <f t="shared" ref="F79:G79" si="16">SUM(F46:F78)</f>
        <v>181.53449999999998</v>
      </c>
      <c r="G79" s="65">
        <f t="shared" si="16"/>
        <v>54.347499999999997</v>
      </c>
    </row>
    <row r="80" spans="1:11" x14ac:dyDescent="0.3">
      <c r="C80" s="453" t="s">
        <v>212</v>
      </c>
      <c r="D80" s="66">
        <f>SUM(D46:D78)</f>
        <v>2878.9499999999994</v>
      </c>
      <c r="E80" s="66">
        <f>SUM(E46:E78)*4</f>
        <v>1713.7940000000003</v>
      </c>
      <c r="F80" s="66">
        <f>SUM(F46:F78)*4</f>
        <v>726.13799999999992</v>
      </c>
      <c r="G80" s="66">
        <f>SUM(G46:G78)*9</f>
        <v>489.12749999999994</v>
      </c>
    </row>
    <row r="81" spans="1:11" ht="17.25" thickBot="1" x14ac:dyDescent="0.35">
      <c r="D81" s="452" t="s">
        <v>213</v>
      </c>
      <c r="E81" s="67">
        <f>E80/$D$80</f>
        <v>0.59528439187898385</v>
      </c>
      <c r="F81" s="67">
        <f>F80/$D$80</f>
        <v>0.25222320637732509</v>
      </c>
      <c r="G81" s="67">
        <f>G80/$D$80</f>
        <v>0.16989787943521076</v>
      </c>
    </row>
    <row r="82" spans="1:11" x14ac:dyDescent="0.3">
      <c r="A82" s="875" t="s">
        <v>665</v>
      </c>
      <c r="B82" s="876"/>
      <c r="C82" s="455"/>
      <c r="D82" s="445" t="s">
        <v>226</v>
      </c>
      <c r="E82" s="132" t="s">
        <v>214</v>
      </c>
      <c r="F82" s="133" t="s">
        <v>225</v>
      </c>
      <c r="G82" s="454"/>
      <c r="J82" s="154" t="s">
        <v>666</v>
      </c>
      <c r="K82" s="161"/>
    </row>
    <row r="83" spans="1:11" x14ac:dyDescent="0.3">
      <c r="A83" s="877" t="s">
        <v>667</v>
      </c>
      <c r="B83" s="878"/>
      <c r="C83" s="451" t="s">
        <v>217</v>
      </c>
      <c r="D83" s="474">
        <f>IF(A83="초보자용",[1]초보자용!J4+[1]초보자용!J6+[1]초보자용!J8,IF(A83="중고급자용 - 평일용",[1]중_고급자용!F35,IF(A83="중고급자용 - 주말용",[1]중_고급자용!F50,IF(A83="중고급자용 - 여분용",[1]중_고급자용!F65,"선택해주세요"))))</f>
        <v>2800</v>
      </c>
      <c r="E83" s="475">
        <f>D80</f>
        <v>2878.9499999999994</v>
      </c>
      <c r="F83" s="135">
        <f>D83-E83</f>
        <v>-78.949999999999363</v>
      </c>
      <c r="G83" s="454"/>
      <c r="J83" s="161" t="s">
        <v>668</v>
      </c>
      <c r="K83" s="161"/>
    </row>
    <row r="84" spans="1:11" x14ac:dyDescent="0.3">
      <c r="C84" s="451" t="s">
        <v>208</v>
      </c>
      <c r="D84" s="476">
        <f>IF(A83="초보자용",[1]초보자용!K4,IF(A83="중고급자용 - 평일용",[1]중_고급자용!H24,IF(A83="중고급자용 - 주말용",[1]중_고급자용!H39,IF(A83="중고급자용 - 여분용",[1]중_고급자용!H54,"선택해주세요"))))</f>
        <v>420</v>
      </c>
      <c r="E84" s="65">
        <f>E79</f>
        <v>428.44850000000008</v>
      </c>
      <c r="F84" s="137">
        <f>D84-E84</f>
        <v>-8.4485000000000809</v>
      </c>
      <c r="G84" s="454"/>
      <c r="J84" s="161" t="s">
        <v>669</v>
      </c>
      <c r="K84" s="161"/>
    </row>
    <row r="85" spans="1:11" x14ac:dyDescent="0.3">
      <c r="C85" s="451" t="s">
        <v>45</v>
      </c>
      <c r="D85" s="477">
        <f>IF(A83="초보자용",[1]초보자용!K6,IF(A83="중고급자용 - 평일용",[1]중_고급자용!G25,IF(A83="중고급자용 - 주말용",[1]중_고급자용!G40,IF(A83="중고급자용 - 여분용",[1]중_고급자용!G55,"선택해주세요"))))</f>
        <v>170</v>
      </c>
      <c r="E85" s="65">
        <f>F79</f>
        <v>181.53449999999998</v>
      </c>
      <c r="F85" s="135">
        <f>D85-E85</f>
        <v>-11.53449999999998</v>
      </c>
      <c r="G85" s="454"/>
      <c r="J85" s="161" t="s">
        <v>670</v>
      </c>
      <c r="K85" s="161"/>
    </row>
    <row r="86" spans="1:11" ht="17.25" thickBot="1" x14ac:dyDescent="0.35">
      <c r="C86" s="478" t="s">
        <v>46</v>
      </c>
      <c r="D86" s="479">
        <f>IF(A83="초보자용",[1]초보자용!K8,IF(A83="중고급자용 - 평일용",[1]중_고급자용!G27,IF(A83="중고급자용 - 주말용",[1]중_고급자용!G42,IF(A83="중고급자용 - 여분용",[1]중_고급자용!G57,"선택해주세요"))))</f>
        <v>48.888888888888886</v>
      </c>
      <c r="E86" s="138">
        <f>G79</f>
        <v>54.347499999999997</v>
      </c>
      <c r="F86" s="139">
        <f>D86-E86</f>
        <v>-5.4586111111111109</v>
      </c>
      <c r="G86" s="454"/>
    </row>
    <row r="87" spans="1:11" ht="17.25" thickBot="1" x14ac:dyDescent="0.35"/>
    <row r="88" spans="1:11" x14ac:dyDescent="0.3">
      <c r="A88" s="740" t="s">
        <v>671</v>
      </c>
      <c r="B88" s="741"/>
      <c r="C88" s="480"/>
      <c r="D88" s="445" t="s">
        <v>226</v>
      </c>
      <c r="E88" s="445" t="s">
        <v>214</v>
      </c>
      <c r="F88" s="446" t="s">
        <v>225</v>
      </c>
    </row>
    <row r="89" spans="1:11" x14ac:dyDescent="0.3">
      <c r="A89" s="852" t="s">
        <v>672</v>
      </c>
      <c r="B89" s="853"/>
      <c r="C89" s="451" t="s">
        <v>217</v>
      </c>
      <c r="D89" s="481">
        <v>1800</v>
      </c>
      <c r="E89" s="475">
        <f>D80</f>
        <v>2878.9499999999994</v>
      </c>
      <c r="F89" s="482">
        <f>D89-E89</f>
        <v>-1078.9499999999994</v>
      </c>
    </row>
    <row r="90" spans="1:11" x14ac:dyDescent="0.3">
      <c r="C90" s="451" t="s">
        <v>208</v>
      </c>
      <c r="D90" s="483"/>
      <c r="E90" s="475">
        <f>E79</f>
        <v>428.44850000000008</v>
      </c>
      <c r="F90" s="482">
        <f t="shared" ref="F90:F92" si="17">D90-E90</f>
        <v>-428.44850000000008</v>
      </c>
    </row>
    <row r="91" spans="1:11" x14ac:dyDescent="0.3">
      <c r="C91" s="451" t="s">
        <v>45</v>
      </c>
      <c r="D91" s="483"/>
      <c r="E91" s="65">
        <f>F79</f>
        <v>181.53449999999998</v>
      </c>
      <c r="F91" s="482">
        <f t="shared" si="17"/>
        <v>-181.53449999999998</v>
      </c>
    </row>
    <row r="92" spans="1:11" ht="17.25" thickBot="1" x14ac:dyDescent="0.35">
      <c r="C92" s="478" t="s">
        <v>46</v>
      </c>
      <c r="D92" s="203"/>
      <c r="E92" s="138">
        <f>G79</f>
        <v>54.347499999999997</v>
      </c>
      <c r="F92" s="484">
        <f t="shared" si="17"/>
        <v>-54.347499999999997</v>
      </c>
    </row>
    <row r="106" spans="3:7" x14ac:dyDescent="0.3">
      <c r="C106" s="454"/>
    </row>
    <row r="107" spans="3:7" x14ac:dyDescent="0.3">
      <c r="C107" s="454"/>
      <c r="D107" s="454"/>
      <c r="E107" s="454"/>
      <c r="F107" s="454"/>
      <c r="G107" s="454"/>
    </row>
    <row r="108" spans="3:7" x14ac:dyDescent="0.3">
      <c r="E108" s="485"/>
      <c r="F108" s="485"/>
      <c r="G108" s="485"/>
    </row>
    <row r="115" spans="3:7" x14ac:dyDescent="0.3">
      <c r="E115" s="430"/>
    </row>
    <row r="116" spans="3:7" x14ac:dyDescent="0.3">
      <c r="E116" s="430"/>
    </row>
    <row r="118" spans="3:7" x14ac:dyDescent="0.3">
      <c r="E118" s="430"/>
    </row>
    <row r="119" spans="3:7" x14ac:dyDescent="0.3">
      <c r="E119" s="430"/>
    </row>
    <row r="121" spans="3:7" x14ac:dyDescent="0.3">
      <c r="E121" s="430"/>
    </row>
    <row r="124" spans="3:7" x14ac:dyDescent="0.3">
      <c r="E124" s="430"/>
    </row>
    <row r="127" spans="3:7" x14ac:dyDescent="0.3">
      <c r="C127" s="454"/>
    </row>
    <row r="128" spans="3:7" x14ac:dyDescent="0.3">
      <c r="C128" s="454"/>
      <c r="D128" s="454"/>
      <c r="E128" s="454"/>
      <c r="F128" s="454"/>
      <c r="G128" s="454"/>
    </row>
    <row r="129" spans="5:7" x14ac:dyDescent="0.3">
      <c r="E129" s="485"/>
      <c r="F129" s="485"/>
      <c r="G129" s="485"/>
    </row>
  </sheetData>
  <sheetProtection algorithmName="SHA-512" hashValue="tcdBokW+56WPo9yl/6lL+qKnrsiWB4jrlNhY+tkpqIyIucdLBpkN7Ghdi21u/v+85DhqzNMMHjQgtUJj+e3ckQ==" saltValue="GtW003X3ey2n4G+OsBUX3g==" spinCount="100000" sheet="1" selectLockedCells="1"/>
  <mergeCells count="71">
    <mergeCell ref="A82:B82"/>
    <mergeCell ref="A83:B83"/>
    <mergeCell ref="A88:B88"/>
    <mergeCell ref="A89:B89"/>
    <mergeCell ref="H74:H75"/>
    <mergeCell ref="I74:I75"/>
    <mergeCell ref="J74:J75"/>
    <mergeCell ref="K74:K75"/>
    <mergeCell ref="H76:H77"/>
    <mergeCell ref="I76:I77"/>
    <mergeCell ref="J76:J77"/>
    <mergeCell ref="K76:K77"/>
    <mergeCell ref="I70:I71"/>
    <mergeCell ref="J70:J71"/>
    <mergeCell ref="K70:K71"/>
    <mergeCell ref="H72:H73"/>
    <mergeCell ref="I72:I73"/>
    <mergeCell ref="J72:J73"/>
    <mergeCell ref="K72:K73"/>
    <mergeCell ref="H66:H67"/>
    <mergeCell ref="I66:I67"/>
    <mergeCell ref="J66:J67"/>
    <mergeCell ref="K66:K67"/>
    <mergeCell ref="H68:H69"/>
    <mergeCell ref="I68:I69"/>
    <mergeCell ref="J68:J69"/>
    <mergeCell ref="K68:K69"/>
    <mergeCell ref="I62:I63"/>
    <mergeCell ref="J62:J63"/>
    <mergeCell ref="K62:K63"/>
    <mergeCell ref="H64:H65"/>
    <mergeCell ref="I64:I65"/>
    <mergeCell ref="J64:J65"/>
    <mergeCell ref="K64:K65"/>
    <mergeCell ref="H58:H59"/>
    <mergeCell ref="I58:I59"/>
    <mergeCell ref="J58:J59"/>
    <mergeCell ref="K58:K59"/>
    <mergeCell ref="H60:H61"/>
    <mergeCell ref="I60:I61"/>
    <mergeCell ref="J60:J61"/>
    <mergeCell ref="K60:K61"/>
    <mergeCell ref="I54:I55"/>
    <mergeCell ref="J54:J55"/>
    <mergeCell ref="K54:K55"/>
    <mergeCell ref="H56:H57"/>
    <mergeCell ref="I56:I57"/>
    <mergeCell ref="J56:J57"/>
    <mergeCell ref="K56:K57"/>
    <mergeCell ref="H50:H51"/>
    <mergeCell ref="I50:I51"/>
    <mergeCell ref="J50:J51"/>
    <mergeCell ref="K50:K51"/>
    <mergeCell ref="H52:H53"/>
    <mergeCell ref="I52:I53"/>
    <mergeCell ref="J52:J53"/>
    <mergeCell ref="K52:K53"/>
    <mergeCell ref="I46:I47"/>
    <mergeCell ref="J46:J47"/>
    <mergeCell ref="K46:K47"/>
    <mergeCell ref="H48:H49"/>
    <mergeCell ref="I48:I49"/>
    <mergeCell ref="J48:J49"/>
    <mergeCell ref="K48:K49"/>
    <mergeCell ref="A1:F2"/>
    <mergeCell ref="H1:K1"/>
    <mergeCell ref="I2:K2"/>
    <mergeCell ref="A25:F25"/>
    <mergeCell ref="C26:C43"/>
    <mergeCell ref="I26:J26"/>
    <mergeCell ref="H27:K27"/>
  </mergeCells>
  <phoneticPr fontId="4" type="noConversion"/>
  <dataValidations count="2">
    <dataValidation type="list" allowBlank="1" showInputMessage="1" showErrorMessage="1" sqref="A83" xr:uid="{4850C607-333B-49B4-8020-B90DB504EBAC}">
      <formula1>$J$82:$J$85</formula1>
    </dataValidation>
    <dataValidation type="list" allowBlank="1" showInputMessage="1" showErrorMessage="1" sqref="B46:B77" xr:uid="{D84DE26F-FE2E-40FE-9C7A-FA79A51F8BA8}">
      <formula1>$A$4:$A$43</formula1>
    </dataValidation>
  </dataValidations>
  <hyperlinks>
    <hyperlink ref="I25" r:id="rId1" xr:uid="{DCDE1BAD-D5A4-42B1-AF9E-6CB4B10A0C05}"/>
    <hyperlink ref="I26:J26" r:id="rId2" display="https://coupa.ng/bi1Tb8" xr:uid="{988DF6F5-0163-4A88-B20B-030D13BDC1FE}"/>
  </hyperlinks>
  <pageMargins left="0.7" right="0.7" top="0.75" bottom="0.75" header="0.3" footer="0.3"/>
  <pageSetup paperSize="9" orientation="portrait" horizontalDpi="1200" verticalDpi="1200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D171B-20C2-40A4-B8B5-301C6D221A7F}">
  <dimension ref="A1:W33"/>
  <sheetViews>
    <sheetView topLeftCell="B1" zoomScale="140" zoomScaleNormal="140" workbookViewId="0">
      <pane xSplit="1" topLeftCell="C1" activePane="topRight" state="frozen"/>
      <selection activeCell="B1" sqref="B1"/>
      <selection pane="topRight" activeCell="B1" sqref="B1"/>
    </sheetView>
  </sheetViews>
  <sheetFormatPr defaultRowHeight="16.5" x14ac:dyDescent="0.3"/>
  <cols>
    <col min="1" max="1" width="9" style="209"/>
    <col min="2" max="2" width="45.75" style="209" customWidth="1"/>
    <col min="3" max="3" width="18.25" style="240" customWidth="1"/>
    <col min="4" max="4" width="14.875" style="210" customWidth="1"/>
    <col min="5" max="5" width="19.25" style="240" hidden="1" customWidth="1"/>
    <col min="6" max="6" width="10.375" style="209" hidden="1" customWidth="1"/>
    <col min="7" max="7" width="12.375" style="211" customWidth="1"/>
    <col min="8" max="8" width="9" style="209" hidden="1" customWidth="1"/>
    <col min="9" max="9" width="15.875" style="209" hidden="1" customWidth="1"/>
    <col min="10" max="10" width="16.125" style="209" bestFit="1" customWidth="1"/>
    <col min="11" max="12" width="12.75" style="209" hidden="1" customWidth="1"/>
    <col min="13" max="15" width="15.375" style="210" hidden="1" customWidth="1"/>
    <col min="16" max="16" width="20.5" style="210" hidden="1" customWidth="1"/>
    <col min="17" max="17" width="11.125" style="210" hidden="1" customWidth="1"/>
    <col min="18" max="18" width="35" style="210" bestFit="1" customWidth="1"/>
    <col min="19" max="19" width="32.25" style="210" bestFit="1" customWidth="1"/>
    <col min="20" max="258" width="9" style="209"/>
    <col min="259" max="259" width="46" style="209" bestFit="1" customWidth="1"/>
    <col min="260" max="260" width="10.375" style="209" bestFit="1" customWidth="1"/>
    <col min="261" max="261" width="9.25" style="209" bestFit="1" customWidth="1"/>
    <col min="262" max="262" width="12.375" style="209" bestFit="1" customWidth="1"/>
    <col min="263" max="263" width="9" style="209"/>
    <col min="264" max="264" width="15.875" style="209" bestFit="1" customWidth="1"/>
    <col min="265" max="265" width="11.625" style="209" bestFit="1" customWidth="1"/>
    <col min="266" max="267" width="12.75" style="209" bestFit="1" customWidth="1"/>
    <col min="268" max="514" width="9" style="209"/>
    <col min="515" max="515" width="46" style="209" bestFit="1" customWidth="1"/>
    <col min="516" max="516" width="10.375" style="209" bestFit="1" customWidth="1"/>
    <col min="517" max="517" width="9.25" style="209" bestFit="1" customWidth="1"/>
    <col min="518" max="518" width="12.375" style="209" bestFit="1" customWidth="1"/>
    <col min="519" max="519" width="9" style="209"/>
    <col min="520" max="520" width="15.875" style="209" bestFit="1" customWidth="1"/>
    <col min="521" max="521" width="11.625" style="209" bestFit="1" customWidth="1"/>
    <col min="522" max="523" width="12.75" style="209" bestFit="1" customWidth="1"/>
    <col min="524" max="770" width="9" style="209"/>
    <col min="771" max="771" width="46" style="209" bestFit="1" customWidth="1"/>
    <col min="772" max="772" width="10.375" style="209" bestFit="1" customWidth="1"/>
    <col min="773" max="773" width="9.25" style="209" bestFit="1" customWidth="1"/>
    <col min="774" max="774" width="12.375" style="209" bestFit="1" customWidth="1"/>
    <col min="775" max="775" width="9" style="209"/>
    <col min="776" max="776" width="15.875" style="209" bestFit="1" customWidth="1"/>
    <col min="777" max="777" width="11.625" style="209" bestFit="1" customWidth="1"/>
    <col min="778" max="779" width="12.75" style="209" bestFit="1" customWidth="1"/>
    <col min="780" max="1026" width="9" style="209"/>
    <col min="1027" max="1027" width="46" style="209" bestFit="1" customWidth="1"/>
    <col min="1028" max="1028" width="10.375" style="209" bestFit="1" customWidth="1"/>
    <col min="1029" max="1029" width="9.25" style="209" bestFit="1" customWidth="1"/>
    <col min="1030" max="1030" width="12.375" style="209" bestFit="1" customWidth="1"/>
    <col min="1031" max="1031" width="9" style="209"/>
    <col min="1032" max="1032" width="15.875" style="209" bestFit="1" customWidth="1"/>
    <col min="1033" max="1033" width="11.625" style="209" bestFit="1" customWidth="1"/>
    <col min="1034" max="1035" width="12.75" style="209" bestFit="1" customWidth="1"/>
    <col min="1036" max="1282" width="9" style="209"/>
    <col min="1283" max="1283" width="46" style="209" bestFit="1" customWidth="1"/>
    <col min="1284" max="1284" width="10.375" style="209" bestFit="1" customWidth="1"/>
    <col min="1285" max="1285" width="9.25" style="209" bestFit="1" customWidth="1"/>
    <col min="1286" max="1286" width="12.375" style="209" bestFit="1" customWidth="1"/>
    <col min="1287" max="1287" width="9" style="209"/>
    <col min="1288" max="1288" width="15.875" style="209" bestFit="1" customWidth="1"/>
    <col min="1289" max="1289" width="11.625" style="209" bestFit="1" customWidth="1"/>
    <col min="1290" max="1291" width="12.75" style="209" bestFit="1" customWidth="1"/>
    <col min="1292" max="1538" width="9" style="209"/>
    <col min="1539" max="1539" width="46" style="209" bestFit="1" customWidth="1"/>
    <col min="1540" max="1540" width="10.375" style="209" bestFit="1" customWidth="1"/>
    <col min="1541" max="1541" width="9.25" style="209" bestFit="1" customWidth="1"/>
    <col min="1542" max="1542" width="12.375" style="209" bestFit="1" customWidth="1"/>
    <col min="1543" max="1543" width="9" style="209"/>
    <col min="1544" max="1544" width="15.875" style="209" bestFit="1" customWidth="1"/>
    <col min="1545" max="1545" width="11.625" style="209" bestFit="1" customWidth="1"/>
    <col min="1546" max="1547" width="12.75" style="209" bestFit="1" customWidth="1"/>
    <col min="1548" max="1794" width="9" style="209"/>
    <col min="1795" max="1795" width="46" style="209" bestFit="1" customWidth="1"/>
    <col min="1796" max="1796" width="10.375" style="209" bestFit="1" customWidth="1"/>
    <col min="1797" max="1797" width="9.25" style="209" bestFit="1" customWidth="1"/>
    <col min="1798" max="1798" width="12.375" style="209" bestFit="1" customWidth="1"/>
    <col min="1799" max="1799" width="9" style="209"/>
    <col min="1800" max="1800" width="15.875" style="209" bestFit="1" customWidth="1"/>
    <col min="1801" max="1801" width="11.625" style="209" bestFit="1" customWidth="1"/>
    <col min="1802" max="1803" width="12.75" style="209" bestFit="1" customWidth="1"/>
    <col min="1804" max="2050" width="9" style="209"/>
    <col min="2051" max="2051" width="46" style="209" bestFit="1" customWidth="1"/>
    <col min="2052" max="2052" width="10.375" style="209" bestFit="1" customWidth="1"/>
    <col min="2053" max="2053" width="9.25" style="209" bestFit="1" customWidth="1"/>
    <col min="2054" max="2054" width="12.375" style="209" bestFit="1" customWidth="1"/>
    <col min="2055" max="2055" width="9" style="209"/>
    <col min="2056" max="2056" width="15.875" style="209" bestFit="1" customWidth="1"/>
    <col min="2057" max="2057" width="11.625" style="209" bestFit="1" customWidth="1"/>
    <col min="2058" max="2059" width="12.75" style="209" bestFit="1" customWidth="1"/>
    <col min="2060" max="2306" width="9" style="209"/>
    <col min="2307" max="2307" width="46" style="209" bestFit="1" customWidth="1"/>
    <col min="2308" max="2308" width="10.375" style="209" bestFit="1" customWidth="1"/>
    <col min="2309" max="2309" width="9.25" style="209" bestFit="1" customWidth="1"/>
    <col min="2310" max="2310" width="12.375" style="209" bestFit="1" customWidth="1"/>
    <col min="2311" max="2311" width="9" style="209"/>
    <col min="2312" max="2312" width="15.875" style="209" bestFit="1" customWidth="1"/>
    <col min="2313" max="2313" width="11.625" style="209" bestFit="1" customWidth="1"/>
    <col min="2314" max="2315" width="12.75" style="209" bestFit="1" customWidth="1"/>
    <col min="2316" max="2562" width="9" style="209"/>
    <col min="2563" max="2563" width="46" style="209" bestFit="1" customWidth="1"/>
    <col min="2564" max="2564" width="10.375" style="209" bestFit="1" customWidth="1"/>
    <col min="2565" max="2565" width="9.25" style="209" bestFit="1" customWidth="1"/>
    <col min="2566" max="2566" width="12.375" style="209" bestFit="1" customWidth="1"/>
    <col min="2567" max="2567" width="9" style="209"/>
    <col min="2568" max="2568" width="15.875" style="209" bestFit="1" customWidth="1"/>
    <col min="2569" max="2569" width="11.625" style="209" bestFit="1" customWidth="1"/>
    <col min="2570" max="2571" width="12.75" style="209" bestFit="1" customWidth="1"/>
    <col min="2572" max="2818" width="9" style="209"/>
    <col min="2819" max="2819" width="46" style="209" bestFit="1" customWidth="1"/>
    <col min="2820" max="2820" width="10.375" style="209" bestFit="1" customWidth="1"/>
    <col min="2821" max="2821" width="9.25" style="209" bestFit="1" customWidth="1"/>
    <col min="2822" max="2822" width="12.375" style="209" bestFit="1" customWidth="1"/>
    <col min="2823" max="2823" width="9" style="209"/>
    <col min="2824" max="2824" width="15.875" style="209" bestFit="1" customWidth="1"/>
    <col min="2825" max="2825" width="11.625" style="209" bestFit="1" customWidth="1"/>
    <col min="2826" max="2827" width="12.75" style="209" bestFit="1" customWidth="1"/>
    <col min="2828" max="3074" width="9" style="209"/>
    <col min="3075" max="3075" width="46" style="209" bestFit="1" customWidth="1"/>
    <col min="3076" max="3076" width="10.375" style="209" bestFit="1" customWidth="1"/>
    <col min="3077" max="3077" width="9.25" style="209" bestFit="1" customWidth="1"/>
    <col min="3078" max="3078" width="12.375" style="209" bestFit="1" customWidth="1"/>
    <col min="3079" max="3079" width="9" style="209"/>
    <col min="3080" max="3080" width="15.875" style="209" bestFit="1" customWidth="1"/>
    <col min="3081" max="3081" width="11.625" style="209" bestFit="1" customWidth="1"/>
    <col min="3082" max="3083" width="12.75" style="209" bestFit="1" customWidth="1"/>
    <col min="3084" max="3330" width="9" style="209"/>
    <col min="3331" max="3331" width="46" style="209" bestFit="1" customWidth="1"/>
    <col min="3332" max="3332" width="10.375" style="209" bestFit="1" customWidth="1"/>
    <col min="3333" max="3333" width="9.25" style="209" bestFit="1" customWidth="1"/>
    <col min="3334" max="3334" width="12.375" style="209" bestFit="1" customWidth="1"/>
    <col min="3335" max="3335" width="9" style="209"/>
    <col min="3336" max="3336" width="15.875" style="209" bestFit="1" customWidth="1"/>
    <col min="3337" max="3337" width="11.625" style="209" bestFit="1" customWidth="1"/>
    <col min="3338" max="3339" width="12.75" style="209" bestFit="1" customWidth="1"/>
    <col min="3340" max="3586" width="9" style="209"/>
    <col min="3587" max="3587" width="46" style="209" bestFit="1" customWidth="1"/>
    <col min="3588" max="3588" width="10.375" style="209" bestFit="1" customWidth="1"/>
    <col min="3589" max="3589" width="9.25" style="209" bestFit="1" customWidth="1"/>
    <col min="3590" max="3590" width="12.375" style="209" bestFit="1" customWidth="1"/>
    <col min="3591" max="3591" width="9" style="209"/>
    <col min="3592" max="3592" width="15.875" style="209" bestFit="1" customWidth="1"/>
    <col min="3593" max="3593" width="11.625" style="209" bestFit="1" customWidth="1"/>
    <col min="3594" max="3595" width="12.75" style="209" bestFit="1" customWidth="1"/>
    <col min="3596" max="3842" width="9" style="209"/>
    <col min="3843" max="3843" width="46" style="209" bestFit="1" customWidth="1"/>
    <col min="3844" max="3844" width="10.375" style="209" bestFit="1" customWidth="1"/>
    <col min="3845" max="3845" width="9.25" style="209" bestFit="1" customWidth="1"/>
    <col min="3846" max="3846" width="12.375" style="209" bestFit="1" customWidth="1"/>
    <col min="3847" max="3847" width="9" style="209"/>
    <col min="3848" max="3848" width="15.875" style="209" bestFit="1" customWidth="1"/>
    <col min="3849" max="3849" width="11.625" style="209" bestFit="1" customWidth="1"/>
    <col min="3850" max="3851" width="12.75" style="209" bestFit="1" customWidth="1"/>
    <col min="3852" max="4098" width="9" style="209"/>
    <col min="4099" max="4099" width="46" style="209" bestFit="1" customWidth="1"/>
    <col min="4100" max="4100" width="10.375" style="209" bestFit="1" customWidth="1"/>
    <col min="4101" max="4101" width="9.25" style="209" bestFit="1" customWidth="1"/>
    <col min="4102" max="4102" width="12.375" style="209" bestFit="1" customWidth="1"/>
    <col min="4103" max="4103" width="9" style="209"/>
    <col min="4104" max="4104" width="15.875" style="209" bestFit="1" customWidth="1"/>
    <col min="4105" max="4105" width="11.625" style="209" bestFit="1" customWidth="1"/>
    <col min="4106" max="4107" width="12.75" style="209" bestFit="1" customWidth="1"/>
    <col min="4108" max="4354" width="9" style="209"/>
    <col min="4355" max="4355" width="46" style="209" bestFit="1" customWidth="1"/>
    <col min="4356" max="4356" width="10.375" style="209" bestFit="1" customWidth="1"/>
    <col min="4357" max="4357" width="9.25" style="209" bestFit="1" customWidth="1"/>
    <col min="4358" max="4358" width="12.375" style="209" bestFit="1" customWidth="1"/>
    <col min="4359" max="4359" width="9" style="209"/>
    <col min="4360" max="4360" width="15.875" style="209" bestFit="1" customWidth="1"/>
    <col min="4361" max="4361" width="11.625" style="209" bestFit="1" customWidth="1"/>
    <col min="4362" max="4363" width="12.75" style="209" bestFit="1" customWidth="1"/>
    <col min="4364" max="4610" width="9" style="209"/>
    <col min="4611" max="4611" width="46" style="209" bestFit="1" customWidth="1"/>
    <col min="4612" max="4612" width="10.375" style="209" bestFit="1" customWidth="1"/>
    <col min="4613" max="4613" width="9.25" style="209" bestFit="1" customWidth="1"/>
    <col min="4614" max="4614" width="12.375" style="209" bestFit="1" customWidth="1"/>
    <col min="4615" max="4615" width="9" style="209"/>
    <col min="4616" max="4616" width="15.875" style="209" bestFit="1" customWidth="1"/>
    <col min="4617" max="4617" width="11.625" style="209" bestFit="1" customWidth="1"/>
    <col min="4618" max="4619" width="12.75" style="209" bestFit="1" customWidth="1"/>
    <col min="4620" max="4866" width="9" style="209"/>
    <col min="4867" max="4867" width="46" style="209" bestFit="1" customWidth="1"/>
    <col min="4868" max="4868" width="10.375" style="209" bestFit="1" customWidth="1"/>
    <col min="4869" max="4869" width="9.25" style="209" bestFit="1" customWidth="1"/>
    <col min="4870" max="4870" width="12.375" style="209" bestFit="1" customWidth="1"/>
    <col min="4871" max="4871" width="9" style="209"/>
    <col min="4872" max="4872" width="15.875" style="209" bestFit="1" customWidth="1"/>
    <col min="4873" max="4873" width="11.625" style="209" bestFit="1" customWidth="1"/>
    <col min="4874" max="4875" width="12.75" style="209" bestFit="1" customWidth="1"/>
    <col min="4876" max="5122" width="9" style="209"/>
    <col min="5123" max="5123" width="46" style="209" bestFit="1" customWidth="1"/>
    <col min="5124" max="5124" width="10.375" style="209" bestFit="1" customWidth="1"/>
    <col min="5125" max="5125" width="9.25" style="209" bestFit="1" customWidth="1"/>
    <col min="5126" max="5126" width="12.375" style="209" bestFit="1" customWidth="1"/>
    <col min="5127" max="5127" width="9" style="209"/>
    <col min="5128" max="5128" width="15.875" style="209" bestFit="1" customWidth="1"/>
    <col min="5129" max="5129" width="11.625" style="209" bestFit="1" customWidth="1"/>
    <col min="5130" max="5131" width="12.75" style="209" bestFit="1" customWidth="1"/>
    <col min="5132" max="5378" width="9" style="209"/>
    <col min="5379" max="5379" width="46" style="209" bestFit="1" customWidth="1"/>
    <col min="5380" max="5380" width="10.375" style="209" bestFit="1" customWidth="1"/>
    <col min="5381" max="5381" width="9.25" style="209" bestFit="1" customWidth="1"/>
    <col min="5382" max="5382" width="12.375" style="209" bestFit="1" customWidth="1"/>
    <col min="5383" max="5383" width="9" style="209"/>
    <col min="5384" max="5384" width="15.875" style="209" bestFit="1" customWidth="1"/>
    <col min="5385" max="5385" width="11.625" style="209" bestFit="1" customWidth="1"/>
    <col min="5386" max="5387" width="12.75" style="209" bestFit="1" customWidth="1"/>
    <col min="5388" max="5634" width="9" style="209"/>
    <col min="5635" max="5635" width="46" style="209" bestFit="1" customWidth="1"/>
    <col min="5636" max="5636" width="10.375" style="209" bestFit="1" customWidth="1"/>
    <col min="5637" max="5637" width="9.25" style="209" bestFit="1" customWidth="1"/>
    <col min="5638" max="5638" width="12.375" style="209" bestFit="1" customWidth="1"/>
    <col min="5639" max="5639" width="9" style="209"/>
    <col min="5640" max="5640" width="15.875" style="209" bestFit="1" customWidth="1"/>
    <col min="5641" max="5641" width="11.625" style="209" bestFit="1" customWidth="1"/>
    <col min="5642" max="5643" width="12.75" style="209" bestFit="1" customWidth="1"/>
    <col min="5644" max="5890" width="9" style="209"/>
    <col min="5891" max="5891" width="46" style="209" bestFit="1" customWidth="1"/>
    <col min="5892" max="5892" width="10.375" style="209" bestFit="1" customWidth="1"/>
    <col min="5893" max="5893" width="9.25" style="209" bestFit="1" customWidth="1"/>
    <col min="5894" max="5894" width="12.375" style="209" bestFit="1" customWidth="1"/>
    <col min="5895" max="5895" width="9" style="209"/>
    <col min="5896" max="5896" width="15.875" style="209" bestFit="1" customWidth="1"/>
    <col min="5897" max="5897" width="11.625" style="209" bestFit="1" customWidth="1"/>
    <col min="5898" max="5899" width="12.75" style="209" bestFit="1" customWidth="1"/>
    <col min="5900" max="6146" width="9" style="209"/>
    <col min="6147" max="6147" width="46" style="209" bestFit="1" customWidth="1"/>
    <col min="6148" max="6148" width="10.375" style="209" bestFit="1" customWidth="1"/>
    <col min="6149" max="6149" width="9.25" style="209" bestFit="1" customWidth="1"/>
    <col min="6150" max="6150" width="12.375" style="209" bestFit="1" customWidth="1"/>
    <col min="6151" max="6151" width="9" style="209"/>
    <col min="6152" max="6152" width="15.875" style="209" bestFit="1" customWidth="1"/>
    <col min="6153" max="6153" width="11.625" style="209" bestFit="1" customWidth="1"/>
    <col min="6154" max="6155" width="12.75" style="209" bestFit="1" customWidth="1"/>
    <col min="6156" max="6402" width="9" style="209"/>
    <col min="6403" max="6403" width="46" style="209" bestFit="1" customWidth="1"/>
    <col min="6404" max="6404" width="10.375" style="209" bestFit="1" customWidth="1"/>
    <col min="6405" max="6405" width="9.25" style="209" bestFit="1" customWidth="1"/>
    <col min="6406" max="6406" width="12.375" style="209" bestFit="1" customWidth="1"/>
    <col min="6407" max="6407" width="9" style="209"/>
    <col min="6408" max="6408" width="15.875" style="209" bestFit="1" customWidth="1"/>
    <col min="6409" max="6409" width="11.625" style="209" bestFit="1" customWidth="1"/>
    <col min="6410" max="6411" width="12.75" style="209" bestFit="1" customWidth="1"/>
    <col min="6412" max="6658" width="9" style="209"/>
    <col min="6659" max="6659" width="46" style="209" bestFit="1" customWidth="1"/>
    <col min="6660" max="6660" width="10.375" style="209" bestFit="1" customWidth="1"/>
    <col min="6661" max="6661" width="9.25" style="209" bestFit="1" customWidth="1"/>
    <col min="6662" max="6662" width="12.375" style="209" bestFit="1" customWidth="1"/>
    <col min="6663" max="6663" width="9" style="209"/>
    <col min="6664" max="6664" width="15.875" style="209" bestFit="1" customWidth="1"/>
    <col min="6665" max="6665" width="11.625" style="209" bestFit="1" customWidth="1"/>
    <col min="6666" max="6667" width="12.75" style="209" bestFit="1" customWidth="1"/>
    <col min="6668" max="6914" width="9" style="209"/>
    <col min="6915" max="6915" width="46" style="209" bestFit="1" customWidth="1"/>
    <col min="6916" max="6916" width="10.375" style="209" bestFit="1" customWidth="1"/>
    <col min="6917" max="6917" width="9.25" style="209" bestFit="1" customWidth="1"/>
    <col min="6918" max="6918" width="12.375" style="209" bestFit="1" customWidth="1"/>
    <col min="6919" max="6919" width="9" style="209"/>
    <col min="6920" max="6920" width="15.875" style="209" bestFit="1" customWidth="1"/>
    <col min="6921" max="6921" width="11.625" style="209" bestFit="1" customWidth="1"/>
    <col min="6922" max="6923" width="12.75" style="209" bestFit="1" customWidth="1"/>
    <col min="6924" max="7170" width="9" style="209"/>
    <col min="7171" max="7171" width="46" style="209" bestFit="1" customWidth="1"/>
    <col min="7172" max="7172" width="10.375" style="209" bestFit="1" customWidth="1"/>
    <col min="7173" max="7173" width="9.25" style="209" bestFit="1" customWidth="1"/>
    <col min="7174" max="7174" width="12.375" style="209" bestFit="1" customWidth="1"/>
    <col min="7175" max="7175" width="9" style="209"/>
    <col min="7176" max="7176" width="15.875" style="209" bestFit="1" customWidth="1"/>
    <col min="7177" max="7177" width="11.625" style="209" bestFit="1" customWidth="1"/>
    <col min="7178" max="7179" width="12.75" style="209" bestFit="1" customWidth="1"/>
    <col min="7180" max="7426" width="9" style="209"/>
    <col min="7427" max="7427" width="46" style="209" bestFit="1" customWidth="1"/>
    <col min="7428" max="7428" width="10.375" style="209" bestFit="1" customWidth="1"/>
    <col min="7429" max="7429" width="9.25" style="209" bestFit="1" customWidth="1"/>
    <col min="7430" max="7430" width="12.375" style="209" bestFit="1" customWidth="1"/>
    <col min="7431" max="7431" width="9" style="209"/>
    <col min="7432" max="7432" width="15.875" style="209" bestFit="1" customWidth="1"/>
    <col min="7433" max="7433" width="11.625" style="209" bestFit="1" customWidth="1"/>
    <col min="7434" max="7435" width="12.75" style="209" bestFit="1" customWidth="1"/>
    <col min="7436" max="7682" width="9" style="209"/>
    <col min="7683" max="7683" width="46" style="209" bestFit="1" customWidth="1"/>
    <col min="7684" max="7684" width="10.375" style="209" bestFit="1" customWidth="1"/>
    <col min="7685" max="7685" width="9.25" style="209" bestFit="1" customWidth="1"/>
    <col min="7686" max="7686" width="12.375" style="209" bestFit="1" customWidth="1"/>
    <col min="7687" max="7687" width="9" style="209"/>
    <col min="7688" max="7688" width="15.875" style="209" bestFit="1" customWidth="1"/>
    <col min="7689" max="7689" width="11.625" style="209" bestFit="1" customWidth="1"/>
    <col min="7690" max="7691" width="12.75" style="209" bestFit="1" customWidth="1"/>
    <col min="7692" max="7938" width="9" style="209"/>
    <col min="7939" max="7939" width="46" style="209" bestFit="1" customWidth="1"/>
    <col min="7940" max="7940" width="10.375" style="209" bestFit="1" customWidth="1"/>
    <col min="7941" max="7941" width="9.25" style="209" bestFit="1" customWidth="1"/>
    <col min="7942" max="7942" width="12.375" style="209" bestFit="1" customWidth="1"/>
    <col min="7943" max="7943" width="9" style="209"/>
    <col min="7944" max="7944" width="15.875" style="209" bestFit="1" customWidth="1"/>
    <col min="7945" max="7945" width="11.625" style="209" bestFit="1" customWidth="1"/>
    <col min="7946" max="7947" width="12.75" style="209" bestFit="1" customWidth="1"/>
    <col min="7948" max="8194" width="9" style="209"/>
    <col min="8195" max="8195" width="46" style="209" bestFit="1" customWidth="1"/>
    <col min="8196" max="8196" width="10.375" style="209" bestFit="1" customWidth="1"/>
    <col min="8197" max="8197" width="9.25" style="209" bestFit="1" customWidth="1"/>
    <col min="8198" max="8198" width="12.375" style="209" bestFit="1" customWidth="1"/>
    <col min="8199" max="8199" width="9" style="209"/>
    <col min="8200" max="8200" width="15.875" style="209" bestFit="1" customWidth="1"/>
    <col min="8201" max="8201" width="11.625" style="209" bestFit="1" customWidth="1"/>
    <col min="8202" max="8203" width="12.75" style="209" bestFit="1" customWidth="1"/>
    <col min="8204" max="8450" width="9" style="209"/>
    <col min="8451" max="8451" width="46" style="209" bestFit="1" customWidth="1"/>
    <col min="8452" max="8452" width="10.375" style="209" bestFit="1" customWidth="1"/>
    <col min="8453" max="8453" width="9.25" style="209" bestFit="1" customWidth="1"/>
    <col min="8454" max="8454" width="12.375" style="209" bestFit="1" customWidth="1"/>
    <col min="8455" max="8455" width="9" style="209"/>
    <col min="8456" max="8456" width="15.875" style="209" bestFit="1" customWidth="1"/>
    <col min="8457" max="8457" width="11.625" style="209" bestFit="1" customWidth="1"/>
    <col min="8458" max="8459" width="12.75" style="209" bestFit="1" customWidth="1"/>
    <col min="8460" max="8706" width="9" style="209"/>
    <col min="8707" max="8707" width="46" style="209" bestFit="1" customWidth="1"/>
    <col min="8708" max="8708" width="10.375" style="209" bestFit="1" customWidth="1"/>
    <col min="8709" max="8709" width="9.25" style="209" bestFit="1" customWidth="1"/>
    <col min="8710" max="8710" width="12.375" style="209" bestFit="1" customWidth="1"/>
    <col min="8711" max="8711" width="9" style="209"/>
    <col min="8712" max="8712" width="15.875" style="209" bestFit="1" customWidth="1"/>
    <col min="8713" max="8713" width="11.625" style="209" bestFit="1" customWidth="1"/>
    <col min="8714" max="8715" width="12.75" style="209" bestFit="1" customWidth="1"/>
    <col min="8716" max="8962" width="9" style="209"/>
    <col min="8963" max="8963" width="46" style="209" bestFit="1" customWidth="1"/>
    <col min="8964" max="8964" width="10.375" style="209" bestFit="1" customWidth="1"/>
    <col min="8965" max="8965" width="9.25" style="209" bestFit="1" customWidth="1"/>
    <col min="8966" max="8966" width="12.375" style="209" bestFit="1" customWidth="1"/>
    <col min="8967" max="8967" width="9" style="209"/>
    <col min="8968" max="8968" width="15.875" style="209" bestFit="1" customWidth="1"/>
    <col min="8969" max="8969" width="11.625" style="209" bestFit="1" customWidth="1"/>
    <col min="8970" max="8971" width="12.75" style="209" bestFit="1" customWidth="1"/>
    <col min="8972" max="9218" width="9" style="209"/>
    <col min="9219" max="9219" width="46" style="209" bestFit="1" customWidth="1"/>
    <col min="9220" max="9220" width="10.375" style="209" bestFit="1" customWidth="1"/>
    <col min="9221" max="9221" width="9.25" style="209" bestFit="1" customWidth="1"/>
    <col min="9222" max="9222" width="12.375" style="209" bestFit="1" customWidth="1"/>
    <col min="9223" max="9223" width="9" style="209"/>
    <col min="9224" max="9224" width="15.875" style="209" bestFit="1" customWidth="1"/>
    <col min="9225" max="9225" width="11.625" style="209" bestFit="1" customWidth="1"/>
    <col min="9226" max="9227" width="12.75" style="209" bestFit="1" customWidth="1"/>
    <col min="9228" max="9474" width="9" style="209"/>
    <col min="9475" max="9475" width="46" style="209" bestFit="1" customWidth="1"/>
    <col min="9476" max="9476" width="10.375" style="209" bestFit="1" customWidth="1"/>
    <col min="9477" max="9477" width="9.25" style="209" bestFit="1" customWidth="1"/>
    <col min="9478" max="9478" width="12.375" style="209" bestFit="1" customWidth="1"/>
    <col min="9479" max="9479" width="9" style="209"/>
    <col min="9480" max="9480" width="15.875" style="209" bestFit="1" customWidth="1"/>
    <col min="9481" max="9481" width="11.625" style="209" bestFit="1" customWidth="1"/>
    <col min="9482" max="9483" width="12.75" style="209" bestFit="1" customWidth="1"/>
    <col min="9484" max="9730" width="9" style="209"/>
    <col min="9731" max="9731" width="46" style="209" bestFit="1" customWidth="1"/>
    <col min="9732" max="9732" width="10.375" style="209" bestFit="1" customWidth="1"/>
    <col min="9733" max="9733" width="9.25" style="209" bestFit="1" customWidth="1"/>
    <col min="9734" max="9734" width="12.375" style="209" bestFit="1" customWidth="1"/>
    <col min="9735" max="9735" width="9" style="209"/>
    <col min="9736" max="9736" width="15.875" style="209" bestFit="1" customWidth="1"/>
    <col min="9737" max="9737" width="11.625" style="209" bestFit="1" customWidth="1"/>
    <col min="9738" max="9739" width="12.75" style="209" bestFit="1" customWidth="1"/>
    <col min="9740" max="9986" width="9" style="209"/>
    <col min="9987" max="9987" width="46" style="209" bestFit="1" customWidth="1"/>
    <col min="9988" max="9988" width="10.375" style="209" bestFit="1" customWidth="1"/>
    <col min="9989" max="9989" width="9.25" style="209" bestFit="1" customWidth="1"/>
    <col min="9990" max="9990" width="12.375" style="209" bestFit="1" customWidth="1"/>
    <col min="9991" max="9991" width="9" style="209"/>
    <col min="9992" max="9992" width="15.875" style="209" bestFit="1" customWidth="1"/>
    <col min="9993" max="9993" width="11.625" style="209" bestFit="1" customWidth="1"/>
    <col min="9994" max="9995" width="12.75" style="209" bestFit="1" customWidth="1"/>
    <col min="9996" max="10242" width="9" style="209"/>
    <col min="10243" max="10243" width="46" style="209" bestFit="1" customWidth="1"/>
    <col min="10244" max="10244" width="10.375" style="209" bestFit="1" customWidth="1"/>
    <col min="10245" max="10245" width="9.25" style="209" bestFit="1" customWidth="1"/>
    <col min="10246" max="10246" width="12.375" style="209" bestFit="1" customWidth="1"/>
    <col min="10247" max="10247" width="9" style="209"/>
    <col min="10248" max="10248" width="15.875" style="209" bestFit="1" customWidth="1"/>
    <col min="10249" max="10249" width="11.625" style="209" bestFit="1" customWidth="1"/>
    <col min="10250" max="10251" width="12.75" style="209" bestFit="1" customWidth="1"/>
    <col min="10252" max="10498" width="9" style="209"/>
    <col min="10499" max="10499" width="46" style="209" bestFit="1" customWidth="1"/>
    <col min="10500" max="10500" width="10.375" style="209" bestFit="1" customWidth="1"/>
    <col min="10501" max="10501" width="9.25" style="209" bestFit="1" customWidth="1"/>
    <col min="10502" max="10502" width="12.375" style="209" bestFit="1" customWidth="1"/>
    <col min="10503" max="10503" width="9" style="209"/>
    <col min="10504" max="10504" width="15.875" style="209" bestFit="1" customWidth="1"/>
    <col min="10505" max="10505" width="11.625" style="209" bestFit="1" customWidth="1"/>
    <col min="10506" max="10507" width="12.75" style="209" bestFit="1" customWidth="1"/>
    <col min="10508" max="10754" width="9" style="209"/>
    <col min="10755" max="10755" width="46" style="209" bestFit="1" customWidth="1"/>
    <col min="10756" max="10756" width="10.375" style="209" bestFit="1" customWidth="1"/>
    <col min="10757" max="10757" width="9.25" style="209" bestFit="1" customWidth="1"/>
    <col min="10758" max="10758" width="12.375" style="209" bestFit="1" customWidth="1"/>
    <col min="10759" max="10759" width="9" style="209"/>
    <col min="10760" max="10760" width="15.875" style="209" bestFit="1" customWidth="1"/>
    <col min="10761" max="10761" width="11.625" style="209" bestFit="1" customWidth="1"/>
    <col min="10762" max="10763" width="12.75" style="209" bestFit="1" customWidth="1"/>
    <col min="10764" max="11010" width="9" style="209"/>
    <col min="11011" max="11011" width="46" style="209" bestFit="1" customWidth="1"/>
    <col min="11012" max="11012" width="10.375" style="209" bestFit="1" customWidth="1"/>
    <col min="11013" max="11013" width="9.25" style="209" bestFit="1" customWidth="1"/>
    <col min="11014" max="11014" width="12.375" style="209" bestFit="1" customWidth="1"/>
    <col min="11015" max="11015" width="9" style="209"/>
    <col min="11016" max="11016" width="15.875" style="209" bestFit="1" customWidth="1"/>
    <col min="11017" max="11017" width="11.625" style="209" bestFit="1" customWidth="1"/>
    <col min="11018" max="11019" width="12.75" style="209" bestFit="1" customWidth="1"/>
    <col min="11020" max="11266" width="9" style="209"/>
    <col min="11267" max="11267" width="46" style="209" bestFit="1" customWidth="1"/>
    <col min="11268" max="11268" width="10.375" style="209" bestFit="1" customWidth="1"/>
    <col min="11269" max="11269" width="9.25" style="209" bestFit="1" customWidth="1"/>
    <col min="11270" max="11270" width="12.375" style="209" bestFit="1" customWidth="1"/>
    <col min="11271" max="11271" width="9" style="209"/>
    <col min="11272" max="11272" width="15.875" style="209" bestFit="1" customWidth="1"/>
    <col min="11273" max="11273" width="11.625" style="209" bestFit="1" customWidth="1"/>
    <col min="11274" max="11275" width="12.75" style="209" bestFit="1" customWidth="1"/>
    <col min="11276" max="11522" width="9" style="209"/>
    <col min="11523" max="11523" width="46" style="209" bestFit="1" customWidth="1"/>
    <col min="11524" max="11524" width="10.375" style="209" bestFit="1" customWidth="1"/>
    <col min="11525" max="11525" width="9.25" style="209" bestFit="1" customWidth="1"/>
    <col min="11526" max="11526" width="12.375" style="209" bestFit="1" customWidth="1"/>
    <col min="11527" max="11527" width="9" style="209"/>
    <col min="11528" max="11528" width="15.875" style="209" bestFit="1" customWidth="1"/>
    <col min="11529" max="11529" width="11.625" style="209" bestFit="1" customWidth="1"/>
    <col min="11530" max="11531" width="12.75" style="209" bestFit="1" customWidth="1"/>
    <col min="11532" max="11778" width="9" style="209"/>
    <col min="11779" max="11779" width="46" style="209" bestFit="1" customWidth="1"/>
    <col min="11780" max="11780" width="10.375" style="209" bestFit="1" customWidth="1"/>
    <col min="11781" max="11781" width="9.25" style="209" bestFit="1" customWidth="1"/>
    <col min="11782" max="11782" width="12.375" style="209" bestFit="1" customWidth="1"/>
    <col min="11783" max="11783" width="9" style="209"/>
    <col min="11784" max="11784" width="15.875" style="209" bestFit="1" customWidth="1"/>
    <col min="11785" max="11785" width="11.625" style="209" bestFit="1" customWidth="1"/>
    <col min="11786" max="11787" width="12.75" style="209" bestFit="1" customWidth="1"/>
    <col min="11788" max="12034" width="9" style="209"/>
    <col min="12035" max="12035" width="46" style="209" bestFit="1" customWidth="1"/>
    <col min="12036" max="12036" width="10.375" style="209" bestFit="1" customWidth="1"/>
    <col min="12037" max="12037" width="9.25" style="209" bestFit="1" customWidth="1"/>
    <col min="12038" max="12038" width="12.375" style="209" bestFit="1" customWidth="1"/>
    <col min="12039" max="12039" width="9" style="209"/>
    <col min="12040" max="12040" width="15.875" style="209" bestFit="1" customWidth="1"/>
    <col min="12041" max="12041" width="11.625" style="209" bestFit="1" customWidth="1"/>
    <col min="12042" max="12043" width="12.75" style="209" bestFit="1" customWidth="1"/>
    <col min="12044" max="12290" width="9" style="209"/>
    <col min="12291" max="12291" width="46" style="209" bestFit="1" customWidth="1"/>
    <col min="12292" max="12292" width="10.375" style="209" bestFit="1" customWidth="1"/>
    <col min="12293" max="12293" width="9.25" style="209" bestFit="1" customWidth="1"/>
    <col min="12294" max="12294" width="12.375" style="209" bestFit="1" customWidth="1"/>
    <col min="12295" max="12295" width="9" style="209"/>
    <col min="12296" max="12296" width="15.875" style="209" bestFit="1" customWidth="1"/>
    <col min="12297" max="12297" width="11.625" style="209" bestFit="1" customWidth="1"/>
    <col min="12298" max="12299" width="12.75" style="209" bestFit="1" customWidth="1"/>
    <col min="12300" max="12546" width="9" style="209"/>
    <col min="12547" max="12547" width="46" style="209" bestFit="1" customWidth="1"/>
    <col min="12548" max="12548" width="10.375" style="209" bestFit="1" customWidth="1"/>
    <col min="12549" max="12549" width="9.25" style="209" bestFit="1" customWidth="1"/>
    <col min="12550" max="12550" width="12.375" style="209" bestFit="1" customWidth="1"/>
    <col min="12551" max="12551" width="9" style="209"/>
    <col min="12552" max="12552" width="15.875" style="209" bestFit="1" customWidth="1"/>
    <col min="12553" max="12553" width="11.625" style="209" bestFit="1" customWidth="1"/>
    <col min="12554" max="12555" width="12.75" style="209" bestFit="1" customWidth="1"/>
    <col min="12556" max="12802" width="9" style="209"/>
    <col min="12803" max="12803" width="46" style="209" bestFit="1" customWidth="1"/>
    <col min="12804" max="12804" width="10.375" style="209" bestFit="1" customWidth="1"/>
    <col min="12805" max="12805" width="9.25" style="209" bestFit="1" customWidth="1"/>
    <col min="12806" max="12806" width="12.375" style="209" bestFit="1" customWidth="1"/>
    <col min="12807" max="12807" width="9" style="209"/>
    <col min="12808" max="12808" width="15.875" style="209" bestFit="1" customWidth="1"/>
    <col min="12809" max="12809" width="11.625" style="209" bestFit="1" customWidth="1"/>
    <col min="12810" max="12811" width="12.75" style="209" bestFit="1" customWidth="1"/>
    <col min="12812" max="13058" width="9" style="209"/>
    <col min="13059" max="13059" width="46" style="209" bestFit="1" customWidth="1"/>
    <col min="13060" max="13060" width="10.375" style="209" bestFit="1" customWidth="1"/>
    <col min="13061" max="13061" width="9.25" style="209" bestFit="1" customWidth="1"/>
    <col min="13062" max="13062" width="12.375" style="209" bestFit="1" customWidth="1"/>
    <col min="13063" max="13063" width="9" style="209"/>
    <col min="13064" max="13064" width="15.875" style="209" bestFit="1" customWidth="1"/>
    <col min="13065" max="13065" width="11.625" style="209" bestFit="1" customWidth="1"/>
    <col min="13066" max="13067" width="12.75" style="209" bestFit="1" customWidth="1"/>
    <col min="13068" max="13314" width="9" style="209"/>
    <col min="13315" max="13315" width="46" style="209" bestFit="1" customWidth="1"/>
    <col min="13316" max="13316" width="10.375" style="209" bestFit="1" customWidth="1"/>
    <col min="13317" max="13317" width="9.25" style="209" bestFit="1" customWidth="1"/>
    <col min="13318" max="13318" width="12.375" style="209" bestFit="1" customWidth="1"/>
    <col min="13319" max="13319" width="9" style="209"/>
    <col min="13320" max="13320" width="15.875" style="209" bestFit="1" customWidth="1"/>
    <col min="13321" max="13321" width="11.625" style="209" bestFit="1" customWidth="1"/>
    <col min="13322" max="13323" width="12.75" style="209" bestFit="1" customWidth="1"/>
    <col min="13324" max="13570" width="9" style="209"/>
    <col min="13571" max="13571" width="46" style="209" bestFit="1" customWidth="1"/>
    <col min="13572" max="13572" width="10.375" style="209" bestFit="1" customWidth="1"/>
    <col min="13573" max="13573" width="9.25" style="209" bestFit="1" customWidth="1"/>
    <col min="13574" max="13574" width="12.375" style="209" bestFit="1" customWidth="1"/>
    <col min="13575" max="13575" width="9" style="209"/>
    <col min="13576" max="13576" width="15.875" style="209" bestFit="1" customWidth="1"/>
    <col min="13577" max="13577" width="11.625" style="209" bestFit="1" customWidth="1"/>
    <col min="13578" max="13579" width="12.75" style="209" bestFit="1" customWidth="1"/>
    <col min="13580" max="13826" width="9" style="209"/>
    <col min="13827" max="13827" width="46" style="209" bestFit="1" customWidth="1"/>
    <col min="13828" max="13828" width="10.375" style="209" bestFit="1" customWidth="1"/>
    <col min="13829" max="13829" width="9.25" style="209" bestFit="1" customWidth="1"/>
    <col min="13830" max="13830" width="12.375" style="209" bestFit="1" customWidth="1"/>
    <col min="13831" max="13831" width="9" style="209"/>
    <col min="13832" max="13832" width="15.875" style="209" bestFit="1" customWidth="1"/>
    <col min="13833" max="13833" width="11.625" style="209" bestFit="1" customWidth="1"/>
    <col min="13834" max="13835" width="12.75" style="209" bestFit="1" customWidth="1"/>
    <col min="13836" max="14082" width="9" style="209"/>
    <col min="14083" max="14083" width="46" style="209" bestFit="1" customWidth="1"/>
    <col min="14084" max="14084" width="10.375" style="209" bestFit="1" customWidth="1"/>
    <col min="14085" max="14085" width="9.25" style="209" bestFit="1" customWidth="1"/>
    <col min="14086" max="14086" width="12.375" style="209" bestFit="1" customWidth="1"/>
    <col min="14087" max="14087" width="9" style="209"/>
    <col min="14088" max="14088" width="15.875" style="209" bestFit="1" customWidth="1"/>
    <col min="14089" max="14089" width="11.625" style="209" bestFit="1" customWidth="1"/>
    <col min="14090" max="14091" width="12.75" style="209" bestFit="1" customWidth="1"/>
    <col min="14092" max="14338" width="9" style="209"/>
    <col min="14339" max="14339" width="46" style="209" bestFit="1" customWidth="1"/>
    <col min="14340" max="14340" width="10.375" style="209" bestFit="1" customWidth="1"/>
    <col min="14341" max="14341" width="9.25" style="209" bestFit="1" customWidth="1"/>
    <col min="14342" max="14342" width="12.375" style="209" bestFit="1" customWidth="1"/>
    <col min="14343" max="14343" width="9" style="209"/>
    <col min="14344" max="14344" width="15.875" style="209" bestFit="1" customWidth="1"/>
    <col min="14345" max="14345" width="11.625" style="209" bestFit="1" customWidth="1"/>
    <col min="14346" max="14347" width="12.75" style="209" bestFit="1" customWidth="1"/>
    <col min="14348" max="14594" width="9" style="209"/>
    <col min="14595" max="14595" width="46" style="209" bestFit="1" customWidth="1"/>
    <col min="14596" max="14596" width="10.375" style="209" bestFit="1" customWidth="1"/>
    <col min="14597" max="14597" width="9.25" style="209" bestFit="1" customWidth="1"/>
    <col min="14598" max="14598" width="12.375" style="209" bestFit="1" customWidth="1"/>
    <col min="14599" max="14599" width="9" style="209"/>
    <col min="14600" max="14600" width="15.875" style="209" bestFit="1" customWidth="1"/>
    <col min="14601" max="14601" width="11.625" style="209" bestFit="1" customWidth="1"/>
    <col min="14602" max="14603" width="12.75" style="209" bestFit="1" customWidth="1"/>
    <col min="14604" max="14850" width="9" style="209"/>
    <col min="14851" max="14851" width="46" style="209" bestFit="1" customWidth="1"/>
    <col min="14852" max="14852" width="10.375" style="209" bestFit="1" customWidth="1"/>
    <col min="14853" max="14853" width="9.25" style="209" bestFit="1" customWidth="1"/>
    <col min="14854" max="14854" width="12.375" style="209" bestFit="1" customWidth="1"/>
    <col min="14855" max="14855" width="9" style="209"/>
    <col min="14856" max="14856" width="15.875" style="209" bestFit="1" customWidth="1"/>
    <col min="14857" max="14857" width="11.625" style="209" bestFit="1" customWidth="1"/>
    <col min="14858" max="14859" width="12.75" style="209" bestFit="1" customWidth="1"/>
    <col min="14860" max="15106" width="9" style="209"/>
    <col min="15107" max="15107" width="46" style="209" bestFit="1" customWidth="1"/>
    <col min="15108" max="15108" width="10.375" style="209" bestFit="1" customWidth="1"/>
    <col min="15109" max="15109" width="9.25" style="209" bestFit="1" customWidth="1"/>
    <col min="15110" max="15110" width="12.375" style="209" bestFit="1" customWidth="1"/>
    <col min="15111" max="15111" width="9" style="209"/>
    <col min="15112" max="15112" width="15.875" style="209" bestFit="1" customWidth="1"/>
    <col min="15113" max="15113" width="11.625" style="209" bestFit="1" customWidth="1"/>
    <col min="15114" max="15115" width="12.75" style="209" bestFit="1" customWidth="1"/>
    <col min="15116" max="15362" width="9" style="209"/>
    <col min="15363" max="15363" width="46" style="209" bestFit="1" customWidth="1"/>
    <col min="15364" max="15364" width="10.375" style="209" bestFit="1" customWidth="1"/>
    <col min="15365" max="15365" width="9.25" style="209" bestFit="1" customWidth="1"/>
    <col min="15366" max="15366" width="12.375" style="209" bestFit="1" customWidth="1"/>
    <col min="15367" max="15367" width="9" style="209"/>
    <col min="15368" max="15368" width="15.875" style="209" bestFit="1" customWidth="1"/>
    <col min="15369" max="15369" width="11.625" style="209" bestFit="1" customWidth="1"/>
    <col min="15370" max="15371" width="12.75" style="209" bestFit="1" customWidth="1"/>
    <col min="15372" max="15618" width="9" style="209"/>
    <col min="15619" max="15619" width="46" style="209" bestFit="1" customWidth="1"/>
    <col min="15620" max="15620" width="10.375" style="209" bestFit="1" customWidth="1"/>
    <col min="15621" max="15621" width="9.25" style="209" bestFit="1" customWidth="1"/>
    <col min="15622" max="15622" width="12.375" style="209" bestFit="1" customWidth="1"/>
    <col min="15623" max="15623" width="9" style="209"/>
    <col min="15624" max="15624" width="15.875" style="209" bestFit="1" customWidth="1"/>
    <col min="15625" max="15625" width="11.625" style="209" bestFit="1" customWidth="1"/>
    <col min="15626" max="15627" width="12.75" style="209" bestFit="1" customWidth="1"/>
    <col min="15628" max="15874" width="9" style="209"/>
    <col min="15875" max="15875" width="46" style="209" bestFit="1" customWidth="1"/>
    <col min="15876" max="15876" width="10.375" style="209" bestFit="1" customWidth="1"/>
    <col min="15877" max="15877" width="9.25" style="209" bestFit="1" customWidth="1"/>
    <col min="15878" max="15878" width="12.375" style="209" bestFit="1" customWidth="1"/>
    <col min="15879" max="15879" width="9" style="209"/>
    <col min="15880" max="15880" width="15.875" style="209" bestFit="1" customWidth="1"/>
    <col min="15881" max="15881" width="11.625" style="209" bestFit="1" customWidth="1"/>
    <col min="15882" max="15883" width="12.75" style="209" bestFit="1" customWidth="1"/>
    <col min="15884" max="16130" width="9" style="209"/>
    <col min="16131" max="16131" width="46" style="209" bestFit="1" customWidth="1"/>
    <col min="16132" max="16132" width="10.375" style="209" bestFit="1" customWidth="1"/>
    <col min="16133" max="16133" width="9.25" style="209" bestFit="1" customWidth="1"/>
    <col min="16134" max="16134" width="12.375" style="209" bestFit="1" customWidth="1"/>
    <col min="16135" max="16135" width="9" style="209"/>
    <col min="16136" max="16136" width="15.875" style="209" bestFit="1" customWidth="1"/>
    <col min="16137" max="16137" width="11.625" style="209" bestFit="1" customWidth="1"/>
    <col min="16138" max="16139" width="12.75" style="209" bestFit="1" customWidth="1"/>
    <col min="16140" max="16384" width="9" style="209"/>
  </cols>
  <sheetData>
    <row r="1" spans="1:23" ht="30" customHeight="1" thickBot="1" x14ac:dyDescent="0.35">
      <c r="A1" s="208">
        <v>1065</v>
      </c>
      <c r="B1" s="255" t="s">
        <v>530</v>
      </c>
      <c r="C1" s="255" t="s">
        <v>528</v>
      </c>
      <c r="D1" s="255" t="s">
        <v>443</v>
      </c>
      <c r="E1" s="255" t="s">
        <v>448</v>
      </c>
      <c r="F1" s="256" t="s">
        <v>207</v>
      </c>
      <c r="G1" s="257" t="s">
        <v>442</v>
      </c>
      <c r="H1" s="256" t="s">
        <v>438</v>
      </c>
      <c r="I1" s="256" t="s">
        <v>439</v>
      </c>
      <c r="J1" s="256" t="s">
        <v>534</v>
      </c>
      <c r="K1" s="256" t="s">
        <v>440</v>
      </c>
      <c r="L1" s="256" t="s">
        <v>441</v>
      </c>
      <c r="M1" s="258" t="s">
        <v>455</v>
      </c>
      <c r="N1" s="258"/>
      <c r="O1" s="258"/>
      <c r="P1" s="256" t="s">
        <v>456</v>
      </c>
      <c r="Q1" s="256" t="s">
        <v>461</v>
      </c>
      <c r="R1" s="256" t="s">
        <v>529</v>
      </c>
      <c r="S1" s="256" t="s">
        <v>537</v>
      </c>
      <c r="T1" s="879" t="s">
        <v>543</v>
      </c>
      <c r="U1" s="879"/>
      <c r="V1" s="879"/>
      <c r="W1" s="879"/>
    </row>
    <row r="2" spans="1:23" x14ac:dyDescent="0.3">
      <c r="B2" s="241" t="s">
        <v>494</v>
      </c>
      <c r="C2" s="249" t="s">
        <v>522</v>
      </c>
      <c r="D2" s="247" t="s">
        <v>445</v>
      </c>
      <c r="E2" s="242" t="s">
        <v>447</v>
      </c>
      <c r="F2" s="243">
        <v>1000</v>
      </c>
      <c r="G2" s="244">
        <v>7800</v>
      </c>
      <c r="H2" s="242">
        <v>100</v>
      </c>
      <c r="I2" s="242">
        <v>24</v>
      </c>
      <c r="J2" s="244">
        <f t="shared" ref="J2:J26" si="0">G2/(F2/H2)</f>
        <v>780</v>
      </c>
      <c r="K2" s="245">
        <f t="shared" ref="K2:K26" si="1">F2/H2*I2</f>
        <v>240</v>
      </c>
      <c r="L2" s="246">
        <f t="shared" ref="L2:L26" si="2">G2/K2</f>
        <v>32.5</v>
      </c>
      <c r="M2" s="242" t="s">
        <v>447</v>
      </c>
      <c r="N2" s="412"/>
      <c r="O2" s="412"/>
      <c r="P2" s="210" t="s">
        <v>457</v>
      </c>
      <c r="Q2" s="210" t="s">
        <v>499</v>
      </c>
      <c r="R2" s="252" t="s">
        <v>467</v>
      </c>
      <c r="S2" s="254" t="s">
        <v>326</v>
      </c>
      <c r="T2" s="888" t="s">
        <v>539</v>
      </c>
      <c r="U2" s="889"/>
      <c r="V2" s="889"/>
      <c r="W2" s="890"/>
    </row>
    <row r="3" spans="1:23" ht="17.25" thickBot="1" x14ac:dyDescent="0.35">
      <c r="B3" s="209" t="s">
        <v>505</v>
      </c>
      <c r="C3" s="249" t="s">
        <v>522</v>
      </c>
      <c r="D3" s="247" t="s">
        <v>499</v>
      </c>
      <c r="E3" s="240" t="s">
        <v>506</v>
      </c>
      <c r="F3" s="215">
        <v>400</v>
      </c>
      <c r="G3" s="212">
        <v>4980</v>
      </c>
      <c r="H3" s="240">
        <v>100</v>
      </c>
      <c r="I3" s="240">
        <v>23</v>
      </c>
      <c r="J3" s="212">
        <f t="shared" si="0"/>
        <v>1245</v>
      </c>
      <c r="K3" s="214">
        <f t="shared" si="1"/>
        <v>92</v>
      </c>
      <c r="L3" s="217">
        <f t="shared" si="2"/>
        <v>54.130434782608695</v>
      </c>
      <c r="M3" s="412" t="s">
        <v>506</v>
      </c>
      <c r="N3" s="412"/>
      <c r="O3" s="412"/>
      <c r="P3" s="210" t="s">
        <v>457</v>
      </c>
      <c r="Q3" s="210" t="s">
        <v>499</v>
      </c>
      <c r="R3" s="253" t="s">
        <v>507</v>
      </c>
      <c r="S3" s="254" t="s">
        <v>326</v>
      </c>
      <c r="T3" s="891"/>
      <c r="U3" s="892"/>
      <c r="V3" s="892"/>
      <c r="W3" s="893"/>
    </row>
    <row r="4" spans="1:23" ht="16.5" customHeight="1" x14ac:dyDescent="0.3">
      <c r="B4" s="209" t="s">
        <v>475</v>
      </c>
      <c r="C4" s="218" t="s">
        <v>527</v>
      </c>
      <c r="D4" s="240" t="s">
        <v>444</v>
      </c>
      <c r="E4" s="240" t="s">
        <v>447</v>
      </c>
      <c r="F4" s="215">
        <v>2400</v>
      </c>
      <c r="G4" s="212">
        <v>18180</v>
      </c>
      <c r="H4" s="240">
        <v>100</v>
      </c>
      <c r="I4" s="240">
        <v>23</v>
      </c>
      <c r="J4" s="212">
        <f t="shared" si="0"/>
        <v>757.5</v>
      </c>
      <c r="K4" s="214">
        <f t="shared" si="1"/>
        <v>552</v>
      </c>
      <c r="L4" s="216">
        <f t="shared" si="2"/>
        <v>32.934782608695649</v>
      </c>
      <c r="M4" s="412" t="s">
        <v>447</v>
      </c>
      <c r="N4" s="412"/>
      <c r="O4" s="412"/>
      <c r="P4" s="240" t="s">
        <v>480</v>
      </c>
      <c r="Q4" s="210" t="s">
        <v>474</v>
      </c>
      <c r="R4" s="247" t="s">
        <v>468</v>
      </c>
      <c r="S4" s="254" t="s">
        <v>538</v>
      </c>
      <c r="T4" s="888" t="s">
        <v>540</v>
      </c>
      <c r="U4" s="889"/>
      <c r="V4" s="889"/>
      <c r="W4" s="890"/>
    </row>
    <row r="5" spans="1:23" x14ac:dyDescent="0.3">
      <c r="B5" s="209" t="s">
        <v>492</v>
      </c>
      <c r="C5" s="218" t="s">
        <v>527</v>
      </c>
      <c r="D5" s="412" t="s">
        <v>444</v>
      </c>
      <c r="E5" s="240" t="s">
        <v>447</v>
      </c>
      <c r="F5" s="215">
        <v>4000</v>
      </c>
      <c r="G5" s="212">
        <v>33900</v>
      </c>
      <c r="H5" s="210">
        <v>100</v>
      </c>
      <c r="I5" s="210">
        <v>23</v>
      </c>
      <c r="J5" s="212">
        <f t="shared" si="0"/>
        <v>847.5</v>
      </c>
      <c r="K5" s="214">
        <f t="shared" si="1"/>
        <v>920</v>
      </c>
      <c r="L5" s="216">
        <f t="shared" si="2"/>
        <v>36.847826086956523</v>
      </c>
      <c r="M5" s="240" t="s">
        <v>447</v>
      </c>
      <c r="N5" s="240"/>
      <c r="O5" s="240"/>
      <c r="P5" s="210" t="s">
        <v>480</v>
      </c>
      <c r="Q5" s="240" t="s">
        <v>474</v>
      </c>
      <c r="R5" s="247" t="s">
        <v>468</v>
      </c>
      <c r="S5" s="254" t="s">
        <v>326</v>
      </c>
      <c r="T5" s="894"/>
      <c r="U5" s="895"/>
      <c r="V5" s="895"/>
      <c r="W5" s="896"/>
    </row>
    <row r="6" spans="1:23" ht="17.25" thickBot="1" x14ac:dyDescent="0.35">
      <c r="B6" s="209" t="s">
        <v>519</v>
      </c>
      <c r="C6" s="247" t="s">
        <v>523</v>
      </c>
      <c r="D6" s="412" t="s">
        <v>502</v>
      </c>
      <c r="E6" s="240" t="s">
        <v>518</v>
      </c>
      <c r="F6" s="209">
        <v>1000</v>
      </c>
      <c r="G6" s="211">
        <v>4900</v>
      </c>
      <c r="H6" s="210">
        <v>100</v>
      </c>
      <c r="I6" s="210">
        <v>23</v>
      </c>
      <c r="J6" s="212">
        <f t="shared" si="0"/>
        <v>490</v>
      </c>
      <c r="K6" s="214">
        <f t="shared" si="1"/>
        <v>230</v>
      </c>
      <c r="L6" s="217">
        <f t="shared" si="2"/>
        <v>21.304347826086957</v>
      </c>
      <c r="M6" s="210" t="s">
        <v>506</v>
      </c>
      <c r="P6" s="210" t="s">
        <v>510</v>
      </c>
      <c r="Q6" s="210" t="s">
        <v>496</v>
      </c>
      <c r="R6" s="252" t="s">
        <v>520</v>
      </c>
      <c r="S6" s="254" t="s">
        <v>326</v>
      </c>
      <c r="T6" s="891"/>
      <c r="U6" s="892"/>
      <c r="V6" s="892"/>
      <c r="W6" s="893"/>
    </row>
    <row r="7" spans="1:23" ht="17.25" thickBot="1" x14ac:dyDescent="0.35">
      <c r="B7" s="209" t="s">
        <v>515</v>
      </c>
      <c r="C7" s="247" t="s">
        <v>523</v>
      </c>
      <c r="D7" s="412" t="s">
        <v>502</v>
      </c>
      <c r="E7" s="240" t="s">
        <v>518</v>
      </c>
      <c r="F7" s="209">
        <v>10000</v>
      </c>
      <c r="G7" s="211">
        <v>52900</v>
      </c>
      <c r="H7" s="210">
        <v>100</v>
      </c>
      <c r="I7" s="210">
        <v>23</v>
      </c>
      <c r="J7" s="212">
        <f t="shared" si="0"/>
        <v>529</v>
      </c>
      <c r="K7" s="214">
        <f t="shared" si="1"/>
        <v>2300</v>
      </c>
      <c r="L7" s="217">
        <f t="shared" si="2"/>
        <v>23</v>
      </c>
      <c r="M7" s="210" t="s">
        <v>506</v>
      </c>
      <c r="P7" s="210" t="s">
        <v>510</v>
      </c>
      <c r="Q7" s="210" t="s">
        <v>496</v>
      </c>
      <c r="R7" s="247" t="s">
        <v>497</v>
      </c>
      <c r="S7" s="254" t="s">
        <v>326</v>
      </c>
    </row>
    <row r="8" spans="1:23" ht="17.25" thickBot="1" x14ac:dyDescent="0.35">
      <c r="B8" s="209" t="s">
        <v>462</v>
      </c>
      <c r="C8" s="247" t="s">
        <v>523</v>
      </c>
      <c r="D8" s="240" t="s">
        <v>444</v>
      </c>
      <c r="E8" s="240" t="s">
        <v>453</v>
      </c>
      <c r="F8" s="215">
        <v>8000</v>
      </c>
      <c r="G8" s="211">
        <v>45000</v>
      </c>
      <c r="H8" s="210">
        <v>100</v>
      </c>
      <c r="I8" s="210">
        <v>23</v>
      </c>
      <c r="J8" s="212">
        <f t="shared" si="0"/>
        <v>562.5</v>
      </c>
      <c r="K8" s="214">
        <f t="shared" si="1"/>
        <v>1840</v>
      </c>
      <c r="L8" s="217">
        <f t="shared" si="2"/>
        <v>24.456521739130434</v>
      </c>
      <c r="M8" s="210" t="s">
        <v>447</v>
      </c>
      <c r="N8" s="210" t="s">
        <v>459</v>
      </c>
      <c r="O8" s="210" t="s">
        <v>460</v>
      </c>
      <c r="P8" s="210" t="s">
        <v>457</v>
      </c>
      <c r="Q8" s="210" t="s">
        <v>458</v>
      </c>
      <c r="R8" s="253" t="s">
        <v>466</v>
      </c>
      <c r="S8" s="412" t="s">
        <v>526</v>
      </c>
      <c r="T8" s="886" t="s">
        <v>547</v>
      </c>
      <c r="U8" s="887"/>
    </row>
    <row r="9" spans="1:23" x14ac:dyDescent="0.3">
      <c r="B9" s="209" t="s">
        <v>541</v>
      </c>
      <c r="C9" s="247" t="s">
        <v>523</v>
      </c>
      <c r="D9" s="210" t="s">
        <v>444</v>
      </c>
      <c r="E9" s="240" t="s">
        <v>449</v>
      </c>
      <c r="F9" s="215">
        <v>10000</v>
      </c>
      <c r="G9" s="212">
        <v>56900</v>
      </c>
      <c r="H9" s="210">
        <v>100</v>
      </c>
      <c r="I9" s="210">
        <v>23</v>
      </c>
      <c r="J9" s="212">
        <f t="shared" si="0"/>
        <v>569</v>
      </c>
      <c r="K9" s="214">
        <f t="shared" si="1"/>
        <v>2300</v>
      </c>
      <c r="L9" s="217">
        <f t="shared" si="2"/>
        <v>24.739130434782609</v>
      </c>
      <c r="M9" s="210" t="s">
        <v>495</v>
      </c>
      <c r="P9" s="210" t="s">
        <v>457</v>
      </c>
      <c r="Q9" s="210" t="s">
        <v>496</v>
      </c>
      <c r="R9" s="247" t="s">
        <v>497</v>
      </c>
      <c r="S9" s="254" t="s">
        <v>326</v>
      </c>
    </row>
    <row r="10" spans="1:23" x14ac:dyDescent="0.3">
      <c r="B10" s="209" t="s">
        <v>517</v>
      </c>
      <c r="C10" s="247" t="s">
        <v>523</v>
      </c>
      <c r="D10" s="412" t="s">
        <v>502</v>
      </c>
      <c r="E10" s="240" t="s">
        <v>518</v>
      </c>
      <c r="F10" s="209">
        <v>5000</v>
      </c>
      <c r="G10" s="211">
        <v>28500</v>
      </c>
      <c r="H10" s="210">
        <v>100</v>
      </c>
      <c r="I10" s="210">
        <v>23</v>
      </c>
      <c r="J10" s="212">
        <f t="shared" si="0"/>
        <v>570</v>
      </c>
      <c r="K10" s="214">
        <f t="shared" si="1"/>
        <v>1150</v>
      </c>
      <c r="L10" s="217">
        <f t="shared" si="2"/>
        <v>24.782608695652176</v>
      </c>
      <c r="M10" s="210" t="s">
        <v>506</v>
      </c>
      <c r="P10" s="210" t="s">
        <v>510</v>
      </c>
      <c r="Q10" s="210" t="s">
        <v>496</v>
      </c>
      <c r="R10" s="247" t="s">
        <v>497</v>
      </c>
      <c r="S10" s="254" t="s">
        <v>326</v>
      </c>
    </row>
    <row r="11" spans="1:23" x14ac:dyDescent="0.3">
      <c r="B11" s="209" t="s">
        <v>542</v>
      </c>
      <c r="C11" s="247" t="s">
        <v>523</v>
      </c>
      <c r="D11" s="412" t="s">
        <v>444</v>
      </c>
      <c r="E11" s="240" t="s">
        <v>449</v>
      </c>
      <c r="F11" s="215">
        <v>2000</v>
      </c>
      <c r="G11" s="212">
        <v>11900</v>
      </c>
      <c r="H11" s="210">
        <v>100</v>
      </c>
      <c r="I11" s="210">
        <v>23</v>
      </c>
      <c r="J11" s="212">
        <f t="shared" si="0"/>
        <v>595</v>
      </c>
      <c r="K11" s="214">
        <f t="shared" si="1"/>
        <v>460</v>
      </c>
      <c r="L11" s="216">
        <f t="shared" si="2"/>
        <v>25.869565217391305</v>
      </c>
      <c r="M11" s="210" t="s">
        <v>449</v>
      </c>
      <c r="P11" s="210" t="s">
        <v>457</v>
      </c>
      <c r="Q11" s="210" t="s">
        <v>458</v>
      </c>
      <c r="R11" s="247" t="s">
        <v>468</v>
      </c>
      <c r="S11" s="254" t="s">
        <v>326</v>
      </c>
    </row>
    <row r="12" spans="1:23" x14ac:dyDescent="0.3">
      <c r="B12" s="209" t="s">
        <v>482</v>
      </c>
      <c r="C12" s="247" t="s">
        <v>523</v>
      </c>
      <c r="D12" s="240" t="s">
        <v>444</v>
      </c>
      <c r="E12" s="240" t="s">
        <v>449</v>
      </c>
      <c r="F12" s="215">
        <v>5000</v>
      </c>
      <c r="G12" s="212">
        <v>29900</v>
      </c>
      <c r="H12" s="210">
        <v>100</v>
      </c>
      <c r="I12" s="210">
        <v>23</v>
      </c>
      <c r="J12" s="212">
        <f t="shared" si="0"/>
        <v>598</v>
      </c>
      <c r="K12" s="214">
        <f t="shared" si="1"/>
        <v>1150</v>
      </c>
      <c r="L12" s="216">
        <f t="shared" si="2"/>
        <v>26</v>
      </c>
      <c r="M12" s="210" t="s">
        <v>449</v>
      </c>
      <c r="P12" s="210" t="s">
        <v>457</v>
      </c>
      <c r="Q12" s="210" t="s">
        <v>458</v>
      </c>
      <c r="R12" s="247" t="s">
        <v>468</v>
      </c>
      <c r="S12" s="254" t="s">
        <v>326</v>
      </c>
    </row>
    <row r="13" spans="1:23" x14ac:dyDescent="0.3">
      <c r="B13" s="209" t="s">
        <v>481</v>
      </c>
      <c r="C13" s="247" t="s">
        <v>523</v>
      </c>
      <c r="D13" s="240" t="s">
        <v>444</v>
      </c>
      <c r="E13" s="240" t="s">
        <v>449</v>
      </c>
      <c r="F13" s="215">
        <v>3000</v>
      </c>
      <c r="G13" s="212">
        <v>18900</v>
      </c>
      <c r="H13" s="240">
        <v>100</v>
      </c>
      <c r="I13" s="240">
        <v>23</v>
      </c>
      <c r="J13" s="212">
        <f t="shared" si="0"/>
        <v>630</v>
      </c>
      <c r="K13" s="214">
        <f t="shared" si="1"/>
        <v>690</v>
      </c>
      <c r="L13" s="216">
        <f t="shared" si="2"/>
        <v>27.391304347826086</v>
      </c>
      <c r="M13" s="240" t="s">
        <v>449</v>
      </c>
      <c r="N13" s="240"/>
      <c r="O13" s="240"/>
      <c r="P13" s="210" t="s">
        <v>457</v>
      </c>
      <c r="Q13" s="210" t="s">
        <v>458</v>
      </c>
      <c r="R13" s="247" t="s">
        <v>468</v>
      </c>
      <c r="S13" s="254" t="s">
        <v>326</v>
      </c>
    </row>
    <row r="14" spans="1:23" x14ac:dyDescent="0.3">
      <c r="B14" s="209" t="s">
        <v>435</v>
      </c>
      <c r="C14" s="247" t="s">
        <v>523</v>
      </c>
      <c r="D14" s="240" t="s">
        <v>444</v>
      </c>
      <c r="E14" s="240" t="s">
        <v>447</v>
      </c>
      <c r="F14" s="215">
        <v>10000</v>
      </c>
      <c r="G14" s="212">
        <v>67100</v>
      </c>
      <c r="H14" s="210">
        <v>100</v>
      </c>
      <c r="I14" s="210">
        <v>23</v>
      </c>
      <c r="J14" s="212">
        <f t="shared" si="0"/>
        <v>671</v>
      </c>
      <c r="K14" s="214">
        <f t="shared" si="1"/>
        <v>2300</v>
      </c>
      <c r="L14" s="216">
        <f t="shared" si="2"/>
        <v>29.173913043478262</v>
      </c>
      <c r="M14" s="210" t="s">
        <v>447</v>
      </c>
      <c r="P14" s="210" t="s">
        <v>457</v>
      </c>
      <c r="Q14" s="210" t="s">
        <v>474</v>
      </c>
      <c r="R14" s="247" t="s">
        <v>468</v>
      </c>
      <c r="S14" s="254" t="s">
        <v>326</v>
      </c>
    </row>
    <row r="15" spans="1:23" ht="17.25" thickBot="1" x14ac:dyDescent="0.35">
      <c r="B15" s="209" t="s">
        <v>544</v>
      </c>
      <c r="C15" s="247" t="s">
        <v>523</v>
      </c>
      <c r="D15" s="412" t="s">
        <v>444</v>
      </c>
      <c r="E15" s="240" t="s">
        <v>450</v>
      </c>
      <c r="F15" s="215">
        <v>1000</v>
      </c>
      <c r="G15" s="212">
        <v>10800</v>
      </c>
      <c r="H15" s="240">
        <v>100</v>
      </c>
      <c r="I15" s="240">
        <v>23</v>
      </c>
      <c r="J15" s="212">
        <f t="shared" si="0"/>
        <v>1080</v>
      </c>
      <c r="K15" s="214">
        <f t="shared" si="1"/>
        <v>230</v>
      </c>
      <c r="L15" s="216">
        <f t="shared" si="2"/>
        <v>46.956521739130437</v>
      </c>
      <c r="M15" s="412" t="s">
        <v>450</v>
      </c>
      <c r="N15" s="412"/>
      <c r="O15" s="412"/>
      <c r="P15" s="240" t="s">
        <v>457</v>
      </c>
      <c r="Q15" s="210" t="s">
        <v>458</v>
      </c>
      <c r="R15" s="247" t="s">
        <v>468</v>
      </c>
      <c r="S15" s="254" t="s">
        <v>326</v>
      </c>
      <c r="U15" s="248"/>
      <c r="V15" s="248"/>
      <c r="W15" s="248"/>
    </row>
    <row r="16" spans="1:23" x14ac:dyDescent="0.3">
      <c r="B16" s="209" t="s">
        <v>498</v>
      </c>
      <c r="C16" s="250" t="s">
        <v>535</v>
      </c>
      <c r="D16" s="247" t="s">
        <v>499</v>
      </c>
      <c r="E16" s="240" t="s">
        <v>500</v>
      </c>
      <c r="F16" s="215">
        <v>3000</v>
      </c>
      <c r="G16" s="212">
        <v>15600</v>
      </c>
      <c r="H16" s="210">
        <v>100</v>
      </c>
      <c r="I16" s="210">
        <v>23</v>
      </c>
      <c r="J16" s="212">
        <f t="shared" si="0"/>
        <v>520</v>
      </c>
      <c r="K16" s="214">
        <f t="shared" si="1"/>
        <v>690</v>
      </c>
      <c r="L16" s="217">
        <f t="shared" si="2"/>
        <v>22.608695652173914</v>
      </c>
      <c r="M16" s="210" t="s">
        <v>500</v>
      </c>
      <c r="P16" s="240" t="s">
        <v>457</v>
      </c>
      <c r="Q16" s="210" t="s">
        <v>499</v>
      </c>
      <c r="R16" s="252" t="s">
        <v>503</v>
      </c>
      <c r="S16" s="254" t="s">
        <v>326</v>
      </c>
      <c r="T16" s="880" t="s">
        <v>545</v>
      </c>
      <c r="U16" s="881"/>
      <c r="V16" s="881"/>
      <c r="W16" s="882"/>
    </row>
    <row r="17" spans="2:23" ht="17.25" thickBot="1" x14ac:dyDescent="0.35">
      <c r="B17" s="209" t="s">
        <v>504</v>
      </c>
      <c r="C17" s="250" t="s">
        <v>535</v>
      </c>
      <c r="D17" s="247" t="s">
        <v>499</v>
      </c>
      <c r="E17" s="240" t="s">
        <v>451</v>
      </c>
      <c r="F17" s="215">
        <v>5000</v>
      </c>
      <c r="G17" s="212">
        <v>26000</v>
      </c>
      <c r="H17" s="210">
        <v>100</v>
      </c>
      <c r="I17" s="210">
        <v>23</v>
      </c>
      <c r="J17" s="212">
        <f t="shared" si="0"/>
        <v>520</v>
      </c>
      <c r="K17" s="214">
        <f t="shared" si="1"/>
        <v>1150</v>
      </c>
      <c r="L17" s="217">
        <f t="shared" si="2"/>
        <v>22.608695652173914</v>
      </c>
      <c r="M17" s="210" t="s">
        <v>500</v>
      </c>
      <c r="P17" s="240" t="s">
        <v>457</v>
      </c>
      <c r="Q17" s="210" t="s">
        <v>499</v>
      </c>
      <c r="R17" s="252" t="s">
        <v>503</v>
      </c>
      <c r="S17" s="254" t="s">
        <v>326</v>
      </c>
      <c r="T17" s="883"/>
      <c r="U17" s="884"/>
      <c r="V17" s="884"/>
      <c r="W17" s="885"/>
    </row>
    <row r="18" spans="2:23" ht="17.25" thickBot="1" x14ac:dyDescent="0.35">
      <c r="B18" s="209" t="s">
        <v>476</v>
      </c>
      <c r="C18" s="250" t="s">
        <v>524</v>
      </c>
      <c r="D18" s="247" t="s">
        <v>445</v>
      </c>
      <c r="E18" s="240" t="s">
        <v>477</v>
      </c>
      <c r="F18" s="215">
        <v>1000</v>
      </c>
      <c r="G18" s="212">
        <v>4900</v>
      </c>
      <c r="H18" s="240">
        <v>100</v>
      </c>
      <c r="I18" s="240">
        <v>23</v>
      </c>
      <c r="J18" s="212">
        <f t="shared" si="0"/>
        <v>490</v>
      </c>
      <c r="K18" s="214">
        <f t="shared" si="1"/>
        <v>230</v>
      </c>
      <c r="L18" s="216">
        <f t="shared" si="2"/>
        <v>21.304347826086957</v>
      </c>
      <c r="M18" s="240" t="s">
        <v>447</v>
      </c>
      <c r="N18" s="240" t="s">
        <v>478</v>
      </c>
      <c r="O18" s="240" t="s">
        <v>479</v>
      </c>
      <c r="P18" s="240" t="s">
        <v>457</v>
      </c>
      <c r="Q18" s="240"/>
      <c r="R18" s="253" t="s">
        <v>473</v>
      </c>
      <c r="S18" s="254" t="s">
        <v>326</v>
      </c>
      <c r="U18" s="248"/>
      <c r="V18" s="248"/>
      <c r="W18" s="248"/>
    </row>
    <row r="19" spans="2:23" x14ac:dyDescent="0.3">
      <c r="B19" s="209" t="s">
        <v>436</v>
      </c>
      <c r="C19" s="250" t="s">
        <v>524</v>
      </c>
      <c r="D19" s="240" t="s">
        <v>444</v>
      </c>
      <c r="E19" s="240" t="s">
        <v>451</v>
      </c>
      <c r="F19" s="215">
        <v>5000</v>
      </c>
      <c r="G19" s="212">
        <v>26000</v>
      </c>
      <c r="H19" s="240">
        <v>100</v>
      </c>
      <c r="I19" s="240">
        <v>23</v>
      </c>
      <c r="J19" s="212">
        <f t="shared" si="0"/>
        <v>520</v>
      </c>
      <c r="K19" s="214">
        <f t="shared" si="1"/>
        <v>1150</v>
      </c>
      <c r="L19" s="217">
        <f t="shared" si="2"/>
        <v>22.608695652173914</v>
      </c>
      <c r="M19" s="240" t="s">
        <v>500</v>
      </c>
      <c r="N19" s="240"/>
      <c r="O19" s="240"/>
      <c r="P19" s="240" t="s">
        <v>457</v>
      </c>
      <c r="Q19" s="240"/>
      <c r="R19" s="252" t="s">
        <v>503</v>
      </c>
      <c r="S19" s="254" t="s">
        <v>326</v>
      </c>
      <c r="T19" s="880" t="s">
        <v>545</v>
      </c>
      <c r="U19" s="881"/>
      <c r="V19" s="881"/>
      <c r="W19" s="882"/>
    </row>
    <row r="20" spans="2:23" ht="17.25" thickBot="1" x14ac:dyDescent="0.35">
      <c r="B20" s="209" t="s">
        <v>501</v>
      </c>
      <c r="C20" s="250" t="s">
        <v>524</v>
      </c>
      <c r="D20" s="240" t="s">
        <v>502</v>
      </c>
      <c r="E20" s="240" t="s">
        <v>500</v>
      </c>
      <c r="F20" s="215">
        <v>3000</v>
      </c>
      <c r="G20" s="212">
        <v>15600</v>
      </c>
      <c r="H20" s="240">
        <v>100</v>
      </c>
      <c r="I20" s="240">
        <v>23</v>
      </c>
      <c r="J20" s="212">
        <f t="shared" si="0"/>
        <v>520</v>
      </c>
      <c r="K20" s="214">
        <f t="shared" si="1"/>
        <v>690</v>
      </c>
      <c r="L20" s="217">
        <f t="shared" si="2"/>
        <v>22.608695652173914</v>
      </c>
      <c r="M20" s="240" t="s">
        <v>500</v>
      </c>
      <c r="N20" s="240"/>
      <c r="O20" s="240"/>
      <c r="P20" s="240" t="s">
        <v>457</v>
      </c>
      <c r="Q20" s="240"/>
      <c r="R20" s="252" t="s">
        <v>503</v>
      </c>
      <c r="S20" s="254" t="s">
        <v>326</v>
      </c>
      <c r="T20" s="883"/>
      <c r="U20" s="884"/>
      <c r="V20" s="884"/>
      <c r="W20" s="885"/>
    </row>
    <row r="21" spans="2:23" ht="17.25" thickBot="1" x14ac:dyDescent="0.35">
      <c r="B21" s="209" t="s">
        <v>437</v>
      </c>
      <c r="C21" s="250" t="s">
        <v>524</v>
      </c>
      <c r="D21" s="240" t="s">
        <v>444</v>
      </c>
      <c r="E21" s="240" t="s">
        <v>453</v>
      </c>
      <c r="F21" s="215">
        <v>10000</v>
      </c>
      <c r="G21" s="212">
        <v>54000</v>
      </c>
      <c r="H21" s="240">
        <v>100</v>
      </c>
      <c r="I21" s="240">
        <v>23</v>
      </c>
      <c r="J21" s="212">
        <f t="shared" si="0"/>
        <v>540</v>
      </c>
      <c r="K21" s="214">
        <f t="shared" si="1"/>
        <v>2300</v>
      </c>
      <c r="L21" s="217">
        <f t="shared" si="2"/>
        <v>23.478260869565219</v>
      </c>
      <c r="M21" s="240" t="s">
        <v>471</v>
      </c>
      <c r="N21" s="240" t="s">
        <v>450</v>
      </c>
      <c r="O21" s="240" t="s">
        <v>454</v>
      </c>
      <c r="P21" s="240" t="s">
        <v>457</v>
      </c>
      <c r="Q21" s="240"/>
      <c r="R21" s="253" t="s">
        <v>466</v>
      </c>
      <c r="S21" s="412" t="s">
        <v>526</v>
      </c>
      <c r="T21" s="886" t="s">
        <v>547</v>
      </c>
      <c r="U21" s="887"/>
    </row>
    <row r="22" spans="2:23" ht="17.25" thickBot="1" x14ac:dyDescent="0.35">
      <c r="B22" s="209" t="s">
        <v>516</v>
      </c>
      <c r="C22" s="250" t="s">
        <v>524</v>
      </c>
      <c r="D22" s="412" t="s">
        <v>502</v>
      </c>
      <c r="E22" s="412" t="s">
        <v>512</v>
      </c>
      <c r="F22" s="213">
        <v>1000</v>
      </c>
      <c r="G22" s="211">
        <v>5880</v>
      </c>
      <c r="H22" s="412">
        <v>100</v>
      </c>
      <c r="I22" s="412">
        <v>23</v>
      </c>
      <c r="J22" s="212">
        <f t="shared" si="0"/>
        <v>588</v>
      </c>
      <c r="K22" s="214">
        <f t="shared" si="1"/>
        <v>230</v>
      </c>
      <c r="L22" s="217">
        <f t="shared" si="2"/>
        <v>25.565217391304348</v>
      </c>
      <c r="M22" s="412" t="s">
        <v>513</v>
      </c>
      <c r="N22" s="412"/>
      <c r="O22" s="412"/>
      <c r="P22" s="210" t="s">
        <v>510</v>
      </c>
      <c r="R22" s="253" t="s">
        <v>514</v>
      </c>
      <c r="S22" s="412" t="s">
        <v>546</v>
      </c>
      <c r="T22" s="886" t="s">
        <v>547</v>
      </c>
      <c r="U22" s="887"/>
    </row>
    <row r="23" spans="2:23" x14ac:dyDescent="0.3">
      <c r="B23" s="209" t="s">
        <v>472</v>
      </c>
      <c r="C23" s="250" t="s">
        <v>524</v>
      </c>
      <c r="D23" s="240" t="s">
        <v>444</v>
      </c>
      <c r="E23" s="240" t="s">
        <v>470</v>
      </c>
      <c r="F23" s="215">
        <v>2000</v>
      </c>
      <c r="G23" s="212">
        <v>13090</v>
      </c>
      <c r="H23" s="240">
        <v>100</v>
      </c>
      <c r="I23" s="240">
        <v>23</v>
      </c>
      <c r="J23" s="212">
        <f t="shared" si="0"/>
        <v>654.5</v>
      </c>
      <c r="K23" s="214">
        <f t="shared" si="1"/>
        <v>460</v>
      </c>
      <c r="L23" s="216">
        <f t="shared" si="2"/>
        <v>28.456521739130434</v>
      </c>
      <c r="M23" s="412" t="s">
        <v>471</v>
      </c>
      <c r="N23" s="412"/>
      <c r="O23" s="412"/>
      <c r="P23" s="240" t="s">
        <v>457</v>
      </c>
      <c r="R23" s="253" t="s">
        <v>473</v>
      </c>
      <c r="S23" s="254" t="s">
        <v>326</v>
      </c>
    </row>
    <row r="24" spans="2:23" x14ac:dyDescent="0.3">
      <c r="B24" s="209" t="s">
        <v>463</v>
      </c>
      <c r="C24" s="251" t="s">
        <v>525</v>
      </c>
      <c r="D24" s="240" t="s">
        <v>444</v>
      </c>
      <c r="E24" s="240" t="s">
        <v>446</v>
      </c>
      <c r="F24" s="215">
        <v>10000</v>
      </c>
      <c r="G24" s="212">
        <v>40500</v>
      </c>
      <c r="H24" s="240">
        <v>100</v>
      </c>
      <c r="I24" s="240">
        <v>23</v>
      </c>
      <c r="J24" s="212">
        <f t="shared" si="0"/>
        <v>405</v>
      </c>
      <c r="K24" s="214">
        <f t="shared" si="1"/>
        <v>2300</v>
      </c>
      <c r="L24" s="216">
        <f t="shared" si="2"/>
        <v>17.608695652173914</v>
      </c>
      <c r="M24" s="248" t="s">
        <v>469</v>
      </c>
      <c r="N24" s="248"/>
      <c r="O24" s="248"/>
      <c r="P24" s="240" t="s">
        <v>457</v>
      </c>
      <c r="Q24" s="240" t="s">
        <v>464</v>
      </c>
      <c r="R24" s="247" t="s">
        <v>468</v>
      </c>
      <c r="S24" s="254" t="s">
        <v>326</v>
      </c>
    </row>
    <row r="25" spans="2:23" x14ac:dyDescent="0.3">
      <c r="B25" s="209" t="s">
        <v>465</v>
      </c>
      <c r="C25" s="251" t="s">
        <v>525</v>
      </c>
      <c r="D25" s="412" t="s">
        <v>444</v>
      </c>
      <c r="E25" s="412" t="s">
        <v>446</v>
      </c>
      <c r="F25" s="215">
        <v>10000</v>
      </c>
      <c r="G25" s="212">
        <v>42800</v>
      </c>
      <c r="H25" s="412">
        <v>100</v>
      </c>
      <c r="I25" s="412">
        <v>23</v>
      </c>
      <c r="J25" s="212">
        <f t="shared" si="0"/>
        <v>428</v>
      </c>
      <c r="K25" s="214">
        <f t="shared" si="1"/>
        <v>2300</v>
      </c>
      <c r="L25" s="216">
        <f t="shared" si="2"/>
        <v>18.608695652173914</v>
      </c>
      <c r="M25" s="248" t="s">
        <v>469</v>
      </c>
      <c r="N25" s="248"/>
      <c r="O25" s="248"/>
      <c r="P25" s="240" t="s">
        <v>457</v>
      </c>
      <c r="Q25" s="240"/>
      <c r="R25" s="247" t="s">
        <v>468</v>
      </c>
      <c r="S25" s="254" t="s">
        <v>326</v>
      </c>
    </row>
    <row r="26" spans="2:23" x14ac:dyDescent="0.3">
      <c r="B26" s="209" t="s">
        <v>521</v>
      </c>
      <c r="C26" s="251" t="s">
        <v>525</v>
      </c>
      <c r="D26" s="412" t="s">
        <v>444</v>
      </c>
      <c r="E26" s="240" t="s">
        <v>452</v>
      </c>
      <c r="F26" s="215">
        <v>5000</v>
      </c>
      <c r="G26" s="212">
        <v>28200</v>
      </c>
      <c r="H26" s="240">
        <v>100</v>
      </c>
      <c r="I26" s="240">
        <v>23</v>
      </c>
      <c r="J26" s="212">
        <f t="shared" si="0"/>
        <v>564</v>
      </c>
      <c r="K26" s="214">
        <f t="shared" si="1"/>
        <v>1150</v>
      </c>
      <c r="L26" s="217">
        <f t="shared" si="2"/>
        <v>24.521739130434781</v>
      </c>
      <c r="M26" s="412" t="s">
        <v>508</v>
      </c>
      <c r="N26" s="412" t="s">
        <v>509</v>
      </c>
      <c r="O26" s="412"/>
      <c r="P26" s="240" t="s">
        <v>510</v>
      </c>
      <c r="Q26" s="240"/>
      <c r="R26" s="252" t="s">
        <v>511</v>
      </c>
      <c r="S26" s="254" t="s">
        <v>326</v>
      </c>
    </row>
    <row r="27" spans="2:23" ht="17.25" thickBot="1" x14ac:dyDescent="0.35"/>
    <row r="28" spans="2:23" ht="20.25" x14ac:dyDescent="0.3">
      <c r="B28" s="219" t="s">
        <v>493</v>
      </c>
      <c r="C28" s="220" t="s">
        <v>491</v>
      </c>
      <c r="D28" s="221" t="s">
        <v>457</v>
      </c>
      <c r="G28" s="222" t="s">
        <v>445</v>
      </c>
      <c r="J28" s="223" t="s">
        <v>490</v>
      </c>
    </row>
    <row r="29" spans="2:23" ht="20.25" x14ac:dyDescent="0.3">
      <c r="B29" s="224" t="s">
        <v>489</v>
      </c>
      <c r="C29" s="225" t="s">
        <v>491</v>
      </c>
      <c r="D29" s="226" t="s">
        <v>457</v>
      </c>
      <c r="G29" s="227" t="s">
        <v>488</v>
      </c>
      <c r="J29" s="228" t="s">
        <v>490</v>
      </c>
    </row>
    <row r="30" spans="2:23" ht="20.25" x14ac:dyDescent="0.3">
      <c r="B30" s="229" t="s">
        <v>487</v>
      </c>
      <c r="C30" s="225" t="s">
        <v>491</v>
      </c>
      <c r="D30" s="226" t="s">
        <v>457</v>
      </c>
      <c r="G30" s="227" t="s">
        <v>488</v>
      </c>
      <c r="J30" s="230"/>
    </row>
    <row r="31" spans="2:23" ht="20.25" x14ac:dyDescent="0.3">
      <c r="B31" s="231" t="s">
        <v>486</v>
      </c>
      <c r="C31" s="225" t="s">
        <v>491</v>
      </c>
      <c r="D31" s="226" t="s">
        <v>457</v>
      </c>
      <c r="G31" s="232"/>
      <c r="J31" s="230"/>
    </row>
    <row r="32" spans="2:23" ht="20.25" x14ac:dyDescent="0.3">
      <c r="B32" s="233" t="s">
        <v>485</v>
      </c>
      <c r="C32" s="234" t="s">
        <v>536</v>
      </c>
      <c r="D32" s="226" t="s">
        <v>457</v>
      </c>
      <c r="G32" s="232"/>
      <c r="J32" s="230"/>
    </row>
    <row r="33" spans="2:10" ht="21" thickBot="1" x14ac:dyDescent="0.35">
      <c r="B33" s="235" t="s">
        <v>483</v>
      </c>
      <c r="C33" s="236" t="s">
        <v>536</v>
      </c>
      <c r="D33" s="237" t="s">
        <v>484</v>
      </c>
      <c r="G33" s="238"/>
      <c r="J33" s="239"/>
    </row>
  </sheetData>
  <autoFilter ref="B1:S1" xr:uid="{B23EAAB1-01A5-4380-99F1-DABA844044B7}">
    <sortState xmlns:xlrd2="http://schemas.microsoft.com/office/spreadsheetml/2017/richdata2" ref="B2:S26">
      <sortCondition ref="C1"/>
    </sortState>
  </autoFilter>
  <mergeCells count="8">
    <mergeCell ref="T1:W1"/>
    <mergeCell ref="T16:W17"/>
    <mergeCell ref="T19:W20"/>
    <mergeCell ref="T21:U21"/>
    <mergeCell ref="T22:U22"/>
    <mergeCell ref="T8:U8"/>
    <mergeCell ref="T2:W3"/>
    <mergeCell ref="T4:W6"/>
  </mergeCells>
  <phoneticPr fontId="4" type="noConversion"/>
  <conditionalFormatting sqref="L2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8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9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10:L11 L3:L7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2:J2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S2" r:id="rId1" xr:uid="{16716816-7FD6-4917-8726-023BC7B4DAB2}"/>
    <hyperlink ref="S3" r:id="rId2" xr:uid="{E2030004-50C3-45D8-9DAB-6E8FDC7DE22E}"/>
    <hyperlink ref="S4" r:id="rId3" display="쿠팡" xr:uid="{F92B37FA-E56B-4702-A7B4-14CE31C0F9AA}"/>
    <hyperlink ref="S5" r:id="rId4" xr:uid="{C07CF665-C9B5-4ED2-8186-E5A1287E34BD}"/>
    <hyperlink ref="S6" r:id="rId5" xr:uid="{F7D13D16-FD4F-4522-8BF9-02772C57BD37}"/>
    <hyperlink ref="S7" r:id="rId6" xr:uid="{F1BC071A-BCC6-4A25-9978-0C7DAA9345A5}"/>
    <hyperlink ref="S9" r:id="rId7" xr:uid="{F3ABC9C4-9BAA-46FE-82D0-3D473B1B33C3}"/>
    <hyperlink ref="S12" r:id="rId8" xr:uid="{7150D135-D200-427F-9943-9D7934D35F05}"/>
    <hyperlink ref="S11" r:id="rId9" xr:uid="{779A377E-DF92-4B69-9567-D9F6408F78B2}"/>
    <hyperlink ref="S10" r:id="rId10" xr:uid="{C264347A-AE06-4AE8-B934-5B7AF584F6D6}"/>
    <hyperlink ref="S13" r:id="rId11" xr:uid="{C6D394D7-619C-4054-9C0B-A370E9385613}"/>
    <hyperlink ref="S14" r:id="rId12" xr:uid="{C1881111-5339-4A55-8551-9C29B1271FE4}"/>
    <hyperlink ref="S15" r:id="rId13" xr:uid="{2E4802B4-3ABB-4AF1-A329-732122FA7916}"/>
    <hyperlink ref="S16" r:id="rId14" xr:uid="{C7ECAF85-6458-4F53-9CEE-EE36F2D80AC7}"/>
    <hyperlink ref="S17" r:id="rId15" xr:uid="{517C5F65-AA7D-4065-969E-795964BA8209}"/>
    <hyperlink ref="S19" r:id="rId16" xr:uid="{C3BB1D8E-410C-4F39-A050-2548F89111D1}"/>
    <hyperlink ref="S20" r:id="rId17" xr:uid="{431631B1-E4E2-4927-87B3-4D83967AC33D}"/>
    <hyperlink ref="S18" r:id="rId18" xr:uid="{4C52EAB3-494B-4B3A-AB17-F36B2E9C4FBF}"/>
    <hyperlink ref="S24" r:id="rId19" xr:uid="{ABEA7CA8-C5C4-4D4F-B1D8-BC1750475C96}"/>
    <hyperlink ref="S25" r:id="rId20" xr:uid="{C5EF4AC7-4592-4E2F-96B8-DCC629CFF59C}"/>
    <hyperlink ref="S23" r:id="rId21" xr:uid="{C9A9E2C4-B13E-4FAE-AB5E-6F31048EF5A9}"/>
    <hyperlink ref="S26" r:id="rId22" xr:uid="{DD7B3B90-8AFF-4AC1-A2B3-806CAE55A1C3}"/>
  </hyperlinks>
  <pageMargins left="0.7" right="0.7" top="0.75" bottom="0.75" header="0.3" footer="0.3"/>
  <pageSetup paperSize="9" orientation="portrait" r:id="rId2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531E1-8192-4213-8188-902C048AC29F}">
  <dimension ref="C1:FH51"/>
  <sheetViews>
    <sheetView topLeftCell="D1" zoomScale="85" zoomScaleNormal="85" workbookViewId="0">
      <selection activeCell="E11" sqref="E11"/>
    </sheetView>
  </sheetViews>
  <sheetFormatPr defaultRowHeight="16.5" x14ac:dyDescent="0.3"/>
  <cols>
    <col min="4" max="4" width="9.25" bestFit="1" customWidth="1"/>
    <col min="5" max="5" width="27" bestFit="1" customWidth="1"/>
    <col min="6" max="8" width="9.875" bestFit="1" customWidth="1"/>
    <col min="9" max="9" width="10.625" bestFit="1" customWidth="1"/>
  </cols>
  <sheetData>
    <row r="1" spans="3:164" ht="17.25" thickBot="1" x14ac:dyDescent="0.35">
      <c r="K1" s="898" t="s">
        <v>615</v>
      </c>
      <c r="L1" s="899"/>
      <c r="M1" s="900"/>
    </row>
    <row r="2" spans="3:164" ht="17.25" thickBot="1" x14ac:dyDescent="0.35">
      <c r="E2" s="259" t="s">
        <v>548</v>
      </c>
      <c r="F2" s="260">
        <v>62</v>
      </c>
      <c r="H2" s="261" t="s">
        <v>549</v>
      </c>
      <c r="I2" s="262">
        <v>43700</v>
      </c>
      <c r="K2" s="901"/>
      <c r="L2" s="902"/>
      <c r="M2" s="903"/>
    </row>
    <row r="3" spans="3:164" ht="17.25" thickBot="1" x14ac:dyDescent="0.35">
      <c r="E3" s="263" t="s">
        <v>550</v>
      </c>
      <c r="F3" s="264">
        <v>-500</v>
      </c>
      <c r="K3" s="904" t="s">
        <v>616</v>
      </c>
      <c r="L3" s="905"/>
      <c r="M3" s="906"/>
    </row>
    <row r="4" spans="3:164" x14ac:dyDescent="0.3">
      <c r="F4" s="207">
        <v>43640</v>
      </c>
      <c r="G4" s="207">
        <f>F4+1</f>
        <v>43641</v>
      </c>
      <c r="H4" s="207">
        <f>G4+1</f>
        <v>43642</v>
      </c>
      <c r="I4" s="207">
        <f t="shared" ref="I4:AW4" si="0">H4+1</f>
        <v>43643</v>
      </c>
      <c r="J4" s="207">
        <f t="shared" si="0"/>
        <v>43644</v>
      </c>
      <c r="K4" s="207">
        <f t="shared" si="0"/>
        <v>43645</v>
      </c>
      <c r="L4" s="207">
        <f t="shared" si="0"/>
        <v>43646</v>
      </c>
      <c r="M4" s="207">
        <f t="shared" si="0"/>
        <v>43647</v>
      </c>
      <c r="N4" s="207">
        <f t="shared" si="0"/>
        <v>43648</v>
      </c>
      <c r="O4" s="207">
        <f t="shared" si="0"/>
        <v>43649</v>
      </c>
      <c r="P4" s="207">
        <f t="shared" si="0"/>
        <v>43650</v>
      </c>
      <c r="Q4" s="207">
        <f t="shared" si="0"/>
        <v>43651</v>
      </c>
      <c r="R4" s="207">
        <f t="shared" si="0"/>
        <v>43652</v>
      </c>
      <c r="S4" s="207">
        <f t="shared" si="0"/>
        <v>43653</v>
      </c>
      <c r="T4" s="207">
        <f t="shared" si="0"/>
        <v>43654</v>
      </c>
      <c r="U4" s="207">
        <f t="shared" si="0"/>
        <v>43655</v>
      </c>
      <c r="V4" s="207">
        <f t="shared" si="0"/>
        <v>43656</v>
      </c>
      <c r="W4" s="207">
        <f t="shared" si="0"/>
        <v>43657</v>
      </c>
      <c r="X4" s="207">
        <f t="shared" si="0"/>
        <v>43658</v>
      </c>
      <c r="Y4" s="207">
        <f t="shared" si="0"/>
        <v>43659</v>
      </c>
      <c r="Z4" s="207">
        <f t="shared" si="0"/>
        <v>43660</v>
      </c>
      <c r="AA4" s="207">
        <f t="shared" si="0"/>
        <v>43661</v>
      </c>
      <c r="AB4" s="207">
        <f t="shared" si="0"/>
        <v>43662</v>
      </c>
      <c r="AC4" s="207">
        <f t="shared" si="0"/>
        <v>43663</v>
      </c>
      <c r="AD4" s="207">
        <f t="shared" si="0"/>
        <v>43664</v>
      </c>
      <c r="AE4" s="207">
        <f t="shared" si="0"/>
        <v>43665</v>
      </c>
      <c r="AF4" s="207">
        <f t="shared" si="0"/>
        <v>43666</v>
      </c>
      <c r="AG4" s="207">
        <f t="shared" si="0"/>
        <v>43667</v>
      </c>
      <c r="AH4" s="207">
        <f t="shared" si="0"/>
        <v>43668</v>
      </c>
      <c r="AI4" s="207">
        <f t="shared" si="0"/>
        <v>43669</v>
      </c>
      <c r="AJ4" s="207">
        <f t="shared" si="0"/>
        <v>43670</v>
      </c>
      <c r="AK4" s="207">
        <f t="shared" si="0"/>
        <v>43671</v>
      </c>
      <c r="AL4" s="207">
        <f t="shared" si="0"/>
        <v>43672</v>
      </c>
      <c r="AM4" s="207">
        <f t="shared" si="0"/>
        <v>43673</v>
      </c>
      <c r="AN4" s="207">
        <f t="shared" si="0"/>
        <v>43674</v>
      </c>
      <c r="AO4" s="207">
        <f t="shared" si="0"/>
        <v>43675</v>
      </c>
      <c r="AP4" s="207">
        <f t="shared" si="0"/>
        <v>43676</v>
      </c>
      <c r="AQ4" s="207">
        <f t="shared" si="0"/>
        <v>43677</v>
      </c>
      <c r="AR4" s="207">
        <f t="shared" si="0"/>
        <v>43678</v>
      </c>
      <c r="AS4" s="207">
        <f t="shared" si="0"/>
        <v>43679</v>
      </c>
      <c r="AT4" s="207">
        <f t="shared" si="0"/>
        <v>43680</v>
      </c>
      <c r="AU4" s="207">
        <f t="shared" si="0"/>
        <v>43681</v>
      </c>
      <c r="AV4" s="207">
        <f t="shared" si="0"/>
        <v>43682</v>
      </c>
      <c r="AW4" s="207">
        <f t="shared" si="0"/>
        <v>43683</v>
      </c>
      <c r="AX4" s="207">
        <f t="shared" ref="AX4" si="1">AW4+1</f>
        <v>43684</v>
      </c>
      <c r="AY4" s="207">
        <f t="shared" ref="AY4" si="2">AX4+1</f>
        <v>43685</v>
      </c>
      <c r="AZ4" s="207">
        <f t="shared" ref="AZ4" si="3">AY4+1</f>
        <v>43686</v>
      </c>
      <c r="BA4" s="207">
        <f t="shared" ref="BA4" si="4">AZ4+1</f>
        <v>43687</v>
      </c>
      <c r="BB4" s="207">
        <f t="shared" ref="BB4" si="5">BA4+1</f>
        <v>43688</v>
      </c>
      <c r="BC4" s="207">
        <f t="shared" ref="BC4" si="6">BB4+1</f>
        <v>43689</v>
      </c>
      <c r="BD4" s="207">
        <f t="shared" ref="BD4" si="7">BC4+1</f>
        <v>43690</v>
      </c>
      <c r="BE4" s="207">
        <f t="shared" ref="BE4" si="8">BD4+1</f>
        <v>43691</v>
      </c>
      <c r="BF4" s="207">
        <f t="shared" ref="BF4" si="9">BE4+1</f>
        <v>43692</v>
      </c>
      <c r="BG4" s="207">
        <f t="shared" ref="BG4" si="10">BF4+1</f>
        <v>43693</v>
      </c>
      <c r="BH4" s="207">
        <f t="shared" ref="BH4" si="11">BG4+1</f>
        <v>43694</v>
      </c>
      <c r="BI4" s="207">
        <f t="shared" ref="BI4" si="12">BH4+1</f>
        <v>43695</v>
      </c>
      <c r="BJ4" s="207">
        <f t="shared" ref="BJ4" si="13">BI4+1</f>
        <v>43696</v>
      </c>
      <c r="BK4" s="207">
        <f t="shared" ref="BK4" si="14">BJ4+1</f>
        <v>43697</v>
      </c>
      <c r="BL4" s="207">
        <f t="shared" ref="BL4" si="15">BK4+1</f>
        <v>43698</v>
      </c>
      <c r="BM4" s="207">
        <f t="shared" ref="BM4" si="16">BL4+1</f>
        <v>43699</v>
      </c>
      <c r="BN4" s="207">
        <f t="shared" ref="BN4" si="17">BM4+1</f>
        <v>43700</v>
      </c>
      <c r="BO4" s="207">
        <f t="shared" ref="BO4" si="18">BN4+1</f>
        <v>43701</v>
      </c>
      <c r="BP4" s="207">
        <f t="shared" ref="BP4" si="19">BO4+1</f>
        <v>43702</v>
      </c>
      <c r="BQ4" s="207">
        <f t="shared" ref="BQ4" si="20">BP4+1</f>
        <v>43703</v>
      </c>
      <c r="BR4" s="207">
        <f t="shared" ref="BR4" si="21">BQ4+1</f>
        <v>43704</v>
      </c>
      <c r="BS4" s="207">
        <f t="shared" ref="BS4" si="22">BR4+1</f>
        <v>43705</v>
      </c>
      <c r="BT4" s="207">
        <f t="shared" ref="BT4" si="23">BS4+1</f>
        <v>43706</v>
      </c>
      <c r="BU4" s="207">
        <f t="shared" ref="BU4" si="24">BT4+1</f>
        <v>43707</v>
      </c>
      <c r="BV4" s="207">
        <f t="shared" ref="BV4" si="25">BU4+1</f>
        <v>43708</v>
      </c>
      <c r="BW4" s="207">
        <f t="shared" ref="BW4" si="26">BV4+1</f>
        <v>43709</v>
      </c>
      <c r="BX4" s="207">
        <f t="shared" ref="BX4" si="27">BW4+1</f>
        <v>43710</v>
      </c>
      <c r="BY4" s="207">
        <f t="shared" ref="BY4" si="28">BX4+1</f>
        <v>43711</v>
      </c>
      <c r="BZ4" s="207">
        <f t="shared" ref="BZ4" si="29">BY4+1</f>
        <v>43712</v>
      </c>
      <c r="CA4" s="207">
        <f t="shared" ref="CA4" si="30">BZ4+1</f>
        <v>43713</v>
      </c>
      <c r="CB4" s="207">
        <f t="shared" ref="CB4" si="31">CA4+1</f>
        <v>43714</v>
      </c>
      <c r="CC4" s="207">
        <f t="shared" ref="CC4" si="32">CB4+1</f>
        <v>43715</v>
      </c>
      <c r="CD4" s="207">
        <f t="shared" ref="CD4" si="33">CC4+1</f>
        <v>43716</v>
      </c>
      <c r="CE4" s="207">
        <f t="shared" ref="CE4" si="34">CD4+1</f>
        <v>43717</v>
      </c>
      <c r="CF4" s="207">
        <f t="shared" ref="CF4" si="35">CE4+1</f>
        <v>43718</v>
      </c>
      <c r="CG4" s="207">
        <f t="shared" ref="CG4" si="36">CF4+1</f>
        <v>43719</v>
      </c>
      <c r="CH4" s="207">
        <f t="shared" ref="CH4" si="37">CG4+1</f>
        <v>43720</v>
      </c>
      <c r="CI4" s="207">
        <f t="shared" ref="CI4" si="38">CH4+1</f>
        <v>43721</v>
      </c>
      <c r="CJ4" s="207">
        <f t="shared" ref="CJ4" si="39">CI4+1</f>
        <v>43722</v>
      </c>
      <c r="CK4" s="207">
        <f t="shared" ref="CK4" si="40">CJ4+1</f>
        <v>43723</v>
      </c>
      <c r="CL4" s="207">
        <f t="shared" ref="CL4" si="41">CK4+1</f>
        <v>43724</v>
      </c>
      <c r="CM4" s="207">
        <f t="shared" ref="CM4" si="42">CL4+1</f>
        <v>43725</v>
      </c>
      <c r="CN4" s="207">
        <f t="shared" ref="CN4" si="43">CM4+1</f>
        <v>43726</v>
      </c>
      <c r="CO4" s="207">
        <f t="shared" ref="CO4" si="44">CN4+1</f>
        <v>43727</v>
      </c>
      <c r="CP4" s="207">
        <f t="shared" ref="CP4" si="45">CO4+1</f>
        <v>43728</v>
      </c>
      <c r="CQ4" s="207">
        <f t="shared" ref="CQ4" si="46">CP4+1</f>
        <v>43729</v>
      </c>
      <c r="CR4" s="207">
        <f t="shared" ref="CR4" si="47">CQ4+1</f>
        <v>43730</v>
      </c>
      <c r="CS4" s="207">
        <f t="shared" ref="CS4" si="48">CR4+1</f>
        <v>43731</v>
      </c>
      <c r="CT4" s="207">
        <f t="shared" ref="CT4" si="49">CS4+1</f>
        <v>43732</v>
      </c>
      <c r="CU4" s="207">
        <f t="shared" ref="CU4" si="50">CT4+1</f>
        <v>43733</v>
      </c>
      <c r="CV4" s="207">
        <f t="shared" ref="CV4" si="51">CU4+1</f>
        <v>43734</v>
      </c>
      <c r="CW4" s="207">
        <f t="shared" ref="CW4" si="52">CV4+1</f>
        <v>43735</v>
      </c>
      <c r="CX4" s="207">
        <f t="shared" ref="CX4" si="53">CW4+1</f>
        <v>43736</v>
      </c>
      <c r="CY4" s="207">
        <f t="shared" ref="CY4" si="54">CX4+1</f>
        <v>43737</v>
      </c>
      <c r="CZ4" s="207">
        <f t="shared" ref="CZ4" si="55">CY4+1</f>
        <v>43738</v>
      </c>
      <c r="DA4" s="207">
        <f t="shared" ref="DA4" si="56">CZ4+1</f>
        <v>43739</v>
      </c>
      <c r="DB4" s="207">
        <f t="shared" ref="DB4" si="57">DA4+1</f>
        <v>43740</v>
      </c>
      <c r="DC4" s="207">
        <f t="shared" ref="DC4" si="58">DB4+1</f>
        <v>43741</v>
      </c>
      <c r="DD4" s="207">
        <f t="shared" ref="DD4" si="59">DC4+1</f>
        <v>43742</v>
      </c>
      <c r="DE4" s="207">
        <f t="shared" ref="DE4" si="60">DD4+1</f>
        <v>43743</v>
      </c>
      <c r="DF4" s="207">
        <f t="shared" ref="DF4" si="61">DE4+1</f>
        <v>43744</v>
      </c>
      <c r="DG4" s="207">
        <f t="shared" ref="DG4" si="62">DF4+1</f>
        <v>43745</v>
      </c>
      <c r="DH4" s="207">
        <f t="shared" ref="DH4" si="63">DG4+1</f>
        <v>43746</v>
      </c>
      <c r="DI4" s="207">
        <f t="shared" ref="DI4" si="64">DH4+1</f>
        <v>43747</v>
      </c>
      <c r="DJ4" s="207">
        <f t="shared" ref="DJ4" si="65">DI4+1</f>
        <v>43748</v>
      </c>
      <c r="DK4" s="207">
        <f t="shared" ref="DK4" si="66">DJ4+1</f>
        <v>43749</v>
      </c>
      <c r="DL4" s="207">
        <f t="shared" ref="DL4" si="67">DK4+1</f>
        <v>43750</v>
      </c>
      <c r="DM4" s="207">
        <f t="shared" ref="DM4" si="68">DL4+1</f>
        <v>43751</v>
      </c>
      <c r="DN4" s="207">
        <f t="shared" ref="DN4" si="69">DM4+1</f>
        <v>43752</v>
      </c>
      <c r="DO4" s="207">
        <f t="shared" ref="DO4" si="70">DN4+1</f>
        <v>43753</v>
      </c>
      <c r="DP4" s="207">
        <f t="shared" ref="DP4" si="71">DO4+1</f>
        <v>43754</v>
      </c>
      <c r="DQ4" s="207">
        <f t="shared" ref="DQ4" si="72">DP4+1</f>
        <v>43755</v>
      </c>
      <c r="DR4" s="207">
        <f t="shared" ref="DR4" si="73">DQ4+1</f>
        <v>43756</v>
      </c>
      <c r="DS4" s="207">
        <f t="shared" ref="DS4" si="74">DR4+1</f>
        <v>43757</v>
      </c>
      <c r="DT4" s="207">
        <f t="shared" ref="DT4" si="75">DS4+1</f>
        <v>43758</v>
      </c>
      <c r="DU4" s="207">
        <f t="shared" ref="DU4" si="76">DT4+1</f>
        <v>43759</v>
      </c>
      <c r="DV4" s="207">
        <f t="shared" ref="DV4" si="77">DU4+1</f>
        <v>43760</v>
      </c>
      <c r="DW4" s="207">
        <f t="shared" ref="DW4" si="78">DV4+1</f>
        <v>43761</v>
      </c>
      <c r="DX4" s="207">
        <f t="shared" ref="DX4" si="79">DW4+1</f>
        <v>43762</v>
      </c>
      <c r="DY4" s="207">
        <f t="shared" ref="DY4" si="80">DX4+1</f>
        <v>43763</v>
      </c>
      <c r="DZ4" s="207">
        <f t="shared" ref="DZ4" si="81">DY4+1</f>
        <v>43764</v>
      </c>
      <c r="EA4" s="207">
        <f t="shared" ref="EA4" si="82">DZ4+1</f>
        <v>43765</v>
      </c>
      <c r="EB4" s="207">
        <f t="shared" ref="EB4" si="83">EA4+1</f>
        <v>43766</v>
      </c>
      <c r="EC4" s="207">
        <f t="shared" ref="EC4" si="84">EB4+1</f>
        <v>43767</v>
      </c>
      <c r="ED4" s="207">
        <f t="shared" ref="ED4" si="85">EC4+1</f>
        <v>43768</v>
      </c>
      <c r="EE4" s="207">
        <f t="shared" ref="EE4" si="86">ED4+1</f>
        <v>43769</v>
      </c>
      <c r="EF4" s="207">
        <f t="shared" ref="EF4" si="87">EE4+1</f>
        <v>43770</v>
      </c>
      <c r="EG4" s="207">
        <f t="shared" ref="EG4" si="88">EF4+1</f>
        <v>43771</v>
      </c>
      <c r="EH4" s="207">
        <f t="shared" ref="EH4" si="89">EG4+1</f>
        <v>43772</v>
      </c>
      <c r="EI4" s="207">
        <f t="shared" ref="EI4" si="90">EH4+1</f>
        <v>43773</v>
      </c>
      <c r="EJ4" s="207">
        <f t="shared" ref="EJ4" si="91">EI4+1</f>
        <v>43774</v>
      </c>
      <c r="EK4" s="207">
        <f t="shared" ref="EK4" si="92">EJ4+1</f>
        <v>43775</v>
      </c>
      <c r="EL4" s="207">
        <f t="shared" ref="EL4" si="93">EK4+1</f>
        <v>43776</v>
      </c>
      <c r="EM4" s="207">
        <f t="shared" ref="EM4" si="94">EL4+1</f>
        <v>43777</v>
      </c>
      <c r="EN4" s="207">
        <f t="shared" ref="EN4" si="95">EM4+1</f>
        <v>43778</v>
      </c>
      <c r="EO4" s="207">
        <f t="shared" ref="EO4" si="96">EN4+1</f>
        <v>43779</v>
      </c>
      <c r="EP4" s="207">
        <f t="shared" ref="EP4" si="97">EO4+1</f>
        <v>43780</v>
      </c>
      <c r="EQ4" s="207">
        <f t="shared" ref="EQ4" si="98">EP4+1</f>
        <v>43781</v>
      </c>
      <c r="ER4" s="207">
        <f t="shared" ref="ER4" si="99">EQ4+1</f>
        <v>43782</v>
      </c>
      <c r="ES4" s="207">
        <f t="shared" ref="ES4" si="100">ER4+1</f>
        <v>43783</v>
      </c>
      <c r="ET4" s="207">
        <f t="shared" ref="ET4" si="101">ES4+1</f>
        <v>43784</v>
      </c>
      <c r="EU4" s="207">
        <f t="shared" ref="EU4" si="102">ET4+1</f>
        <v>43785</v>
      </c>
      <c r="EV4" s="207">
        <f t="shared" ref="EV4" si="103">EU4+1</f>
        <v>43786</v>
      </c>
      <c r="EW4" s="207">
        <f t="shared" ref="EW4" si="104">EV4+1</f>
        <v>43787</v>
      </c>
      <c r="EX4" s="207">
        <f t="shared" ref="EX4" si="105">EW4+1</f>
        <v>43788</v>
      </c>
      <c r="EY4" s="207">
        <f t="shared" ref="EY4" si="106">EX4+1</f>
        <v>43789</v>
      </c>
      <c r="EZ4" s="207">
        <f t="shared" ref="EZ4" si="107">EY4+1</f>
        <v>43790</v>
      </c>
      <c r="FA4" s="207">
        <f t="shared" ref="FA4" si="108">EZ4+1</f>
        <v>43791</v>
      </c>
      <c r="FB4" s="207">
        <f t="shared" ref="FB4" si="109">FA4+1</f>
        <v>43792</v>
      </c>
      <c r="FC4" s="207">
        <f t="shared" ref="FC4" si="110">FB4+1</f>
        <v>43793</v>
      </c>
      <c r="FD4" s="207">
        <f t="shared" ref="FD4" si="111">FC4+1</f>
        <v>43794</v>
      </c>
      <c r="FE4" s="207">
        <f t="shared" ref="FE4" si="112">FD4+1</f>
        <v>43795</v>
      </c>
      <c r="FF4" s="207">
        <f t="shared" ref="FF4" si="113">FE4+1</f>
        <v>43796</v>
      </c>
      <c r="FG4" s="207">
        <f t="shared" ref="FG4" si="114">FF4+1</f>
        <v>43797</v>
      </c>
      <c r="FH4" s="207">
        <f t="shared" ref="FH4" si="115">FG4+1</f>
        <v>43798</v>
      </c>
    </row>
    <row r="5" spans="3:164" x14ac:dyDescent="0.3">
      <c r="E5" s="267" t="s">
        <v>551</v>
      </c>
      <c r="F5" s="268">
        <f>F2</f>
        <v>62</v>
      </c>
      <c r="G5" s="268">
        <f>F5-(F3/-7000)</f>
        <v>61.928571428571431</v>
      </c>
      <c r="H5" s="268">
        <f>$F$5-(($F$3/-7000)*(H4-$F$4))</f>
        <v>61.857142857142854</v>
      </c>
      <c r="I5" s="268">
        <f t="shared" ref="I5:AW5" si="116">$F$5-(($F$3/-7000)*(I4-$F$4))</f>
        <v>61.785714285714285</v>
      </c>
      <c r="J5" s="268">
        <f>$F$5-(($F$3/-7000)*(J4-$F$4))</f>
        <v>61.714285714285715</v>
      </c>
      <c r="K5" s="268">
        <f t="shared" si="116"/>
        <v>61.642857142857146</v>
      </c>
      <c r="L5" s="268">
        <f t="shared" si="116"/>
        <v>61.571428571428569</v>
      </c>
      <c r="M5" s="268">
        <f t="shared" si="116"/>
        <v>61.5</v>
      </c>
      <c r="N5" s="268">
        <f t="shared" si="116"/>
        <v>61.428571428571431</v>
      </c>
      <c r="O5" s="268">
        <f t="shared" si="116"/>
        <v>61.357142857142854</v>
      </c>
      <c r="P5" s="268">
        <f t="shared" si="116"/>
        <v>61.285714285714285</v>
      </c>
      <c r="Q5" s="268">
        <f t="shared" si="116"/>
        <v>61.214285714285715</v>
      </c>
      <c r="R5" s="268">
        <f t="shared" si="116"/>
        <v>61.142857142857146</v>
      </c>
      <c r="S5" s="268">
        <f t="shared" si="116"/>
        <v>61.071428571428569</v>
      </c>
      <c r="T5" s="268">
        <f t="shared" si="116"/>
        <v>61</v>
      </c>
      <c r="U5" s="268">
        <f t="shared" si="116"/>
        <v>60.928571428571431</v>
      </c>
      <c r="V5" s="268">
        <f t="shared" si="116"/>
        <v>60.857142857142854</v>
      </c>
      <c r="W5" s="268">
        <f t="shared" si="116"/>
        <v>60.785714285714285</v>
      </c>
      <c r="X5" s="268">
        <f t="shared" si="116"/>
        <v>60.714285714285715</v>
      </c>
      <c r="Y5" s="268">
        <f t="shared" si="116"/>
        <v>60.642857142857146</v>
      </c>
      <c r="Z5" s="268">
        <f t="shared" si="116"/>
        <v>60.571428571428569</v>
      </c>
      <c r="AA5" s="268">
        <f t="shared" si="116"/>
        <v>60.5</v>
      </c>
      <c r="AB5" s="268">
        <f t="shared" si="116"/>
        <v>60.428571428571431</v>
      </c>
      <c r="AC5" s="268">
        <f t="shared" si="116"/>
        <v>60.357142857142854</v>
      </c>
      <c r="AD5" s="268">
        <f t="shared" si="116"/>
        <v>60.285714285714285</v>
      </c>
      <c r="AE5" s="268">
        <f t="shared" si="116"/>
        <v>60.214285714285715</v>
      </c>
      <c r="AF5" s="268">
        <f t="shared" si="116"/>
        <v>60.142857142857146</v>
      </c>
      <c r="AG5" s="268">
        <f t="shared" si="116"/>
        <v>60.071428571428569</v>
      </c>
      <c r="AH5" s="268">
        <f t="shared" si="116"/>
        <v>60</v>
      </c>
      <c r="AI5" s="268">
        <f t="shared" si="116"/>
        <v>59.928571428571431</v>
      </c>
      <c r="AJ5" s="268">
        <f t="shared" si="116"/>
        <v>59.857142857142854</v>
      </c>
      <c r="AK5" s="268">
        <f t="shared" si="116"/>
        <v>59.785714285714285</v>
      </c>
      <c r="AL5" s="268">
        <f t="shared" si="116"/>
        <v>59.714285714285715</v>
      </c>
      <c r="AM5" s="268">
        <f t="shared" si="116"/>
        <v>59.642857142857146</v>
      </c>
      <c r="AN5" s="268">
        <f t="shared" si="116"/>
        <v>59.571428571428569</v>
      </c>
      <c r="AO5" s="268">
        <f t="shared" si="116"/>
        <v>59.5</v>
      </c>
      <c r="AP5" s="268">
        <f t="shared" si="116"/>
        <v>59.428571428571431</v>
      </c>
      <c r="AQ5" s="268">
        <f t="shared" si="116"/>
        <v>59.357142857142854</v>
      </c>
      <c r="AR5" s="268">
        <f t="shared" si="116"/>
        <v>59.285714285714285</v>
      </c>
      <c r="AS5" s="268">
        <f t="shared" si="116"/>
        <v>59.214285714285715</v>
      </c>
      <c r="AT5" s="268">
        <f t="shared" si="116"/>
        <v>59.142857142857146</v>
      </c>
      <c r="AU5" s="268">
        <f t="shared" si="116"/>
        <v>59.071428571428569</v>
      </c>
      <c r="AV5" s="268">
        <f t="shared" si="116"/>
        <v>59</v>
      </c>
      <c r="AW5" s="268">
        <f t="shared" si="116"/>
        <v>58.928571428571431</v>
      </c>
      <c r="AX5" s="269"/>
      <c r="AY5" s="269"/>
      <c r="AZ5" s="269"/>
      <c r="BA5" s="269"/>
      <c r="BB5" s="269"/>
      <c r="BC5" s="269"/>
      <c r="BD5" s="269"/>
      <c r="BE5" s="269"/>
      <c r="BF5" s="269"/>
      <c r="BG5" s="269"/>
      <c r="BH5" s="269"/>
      <c r="BI5" s="269"/>
      <c r="BJ5" s="269"/>
      <c r="BK5" s="269"/>
      <c r="BL5" s="269"/>
      <c r="BM5" s="269"/>
      <c r="BN5" s="269"/>
      <c r="BO5" s="269"/>
      <c r="BP5" s="269"/>
      <c r="BQ5" s="269"/>
      <c r="BR5" s="269"/>
      <c r="BS5" s="269"/>
      <c r="BT5" s="269"/>
      <c r="BU5" s="269"/>
      <c r="BV5" s="269"/>
      <c r="BW5" s="269"/>
      <c r="BX5" s="269"/>
      <c r="BY5" s="269"/>
      <c r="BZ5" s="269"/>
      <c r="CA5" s="269"/>
      <c r="CB5" s="269"/>
      <c r="CC5" s="269"/>
      <c r="CD5" s="269"/>
      <c r="CE5" s="269"/>
      <c r="CF5" s="269"/>
      <c r="CG5" s="269"/>
      <c r="CH5" s="269"/>
      <c r="CI5" s="269"/>
      <c r="CJ5" s="269"/>
      <c r="CK5" s="269"/>
      <c r="CL5" s="269"/>
      <c r="CM5" s="269"/>
      <c r="CN5" s="269"/>
      <c r="CO5" s="269"/>
      <c r="CP5" s="269"/>
      <c r="CQ5" s="269"/>
      <c r="CR5" s="269"/>
      <c r="CS5" s="269"/>
      <c r="CT5" s="269"/>
      <c r="CU5" s="269"/>
      <c r="CV5" s="269"/>
      <c r="CW5" s="269"/>
      <c r="CX5" s="269"/>
      <c r="CY5" s="269"/>
      <c r="CZ5" s="269"/>
      <c r="DA5" s="269"/>
      <c r="DB5" s="269"/>
      <c r="DC5" s="269"/>
      <c r="DD5" s="269"/>
      <c r="DE5" s="269"/>
      <c r="DF5" s="269"/>
      <c r="DG5" s="269"/>
      <c r="DH5" s="269"/>
      <c r="DI5" s="269"/>
      <c r="DJ5" s="269"/>
      <c r="DK5" s="269"/>
      <c r="DL5" s="269"/>
      <c r="DM5" s="269"/>
      <c r="DN5" s="269"/>
      <c r="DO5" s="269"/>
      <c r="DP5" s="269"/>
      <c r="DQ5" s="269"/>
      <c r="DR5" s="269"/>
      <c r="DS5" s="269"/>
      <c r="DT5" s="269"/>
      <c r="DU5" s="269"/>
      <c r="DV5" s="269"/>
      <c r="DW5" s="269"/>
      <c r="DX5" s="269"/>
      <c r="DY5" s="269"/>
      <c r="DZ5" s="269"/>
      <c r="EA5" s="269"/>
      <c r="EB5" s="269"/>
      <c r="EC5" s="269"/>
      <c r="ED5" s="269"/>
      <c r="EE5" s="269"/>
      <c r="EF5" s="269"/>
      <c r="EG5" s="269"/>
      <c r="EH5" s="269"/>
      <c r="EI5" s="269"/>
      <c r="EJ5" s="269"/>
      <c r="EK5" s="269"/>
      <c r="EL5" s="269"/>
      <c r="EM5" s="269"/>
      <c r="EN5" s="269"/>
      <c r="EO5" s="269"/>
      <c r="EP5" s="269"/>
      <c r="EQ5" s="269"/>
      <c r="ER5" s="269"/>
      <c r="ES5" s="269"/>
      <c r="ET5" s="269"/>
      <c r="EU5" s="269"/>
      <c r="EV5" s="269"/>
      <c r="EW5" s="269"/>
      <c r="EX5" s="269"/>
      <c r="EY5" s="269"/>
      <c r="EZ5" s="269"/>
      <c r="FA5" s="269"/>
      <c r="FB5" s="269"/>
      <c r="FC5" s="269"/>
      <c r="FD5" s="269"/>
      <c r="FE5" s="269"/>
      <c r="FF5" s="269"/>
      <c r="FG5" s="269"/>
      <c r="FH5" s="269"/>
    </row>
    <row r="6" spans="3:164" x14ac:dyDescent="0.3">
      <c r="E6" s="270" t="s">
        <v>552</v>
      </c>
      <c r="F6">
        <v>62</v>
      </c>
      <c r="G6">
        <v>61.7</v>
      </c>
      <c r="H6">
        <v>61.5</v>
      </c>
      <c r="I6">
        <v>61.2</v>
      </c>
      <c r="J6">
        <v>61.099999999999994</v>
      </c>
      <c r="K6">
        <v>61.3</v>
      </c>
      <c r="L6">
        <v>61.099999999999994</v>
      </c>
      <c r="M6">
        <v>61</v>
      </c>
      <c r="N6">
        <v>60.900000000000006</v>
      </c>
      <c r="O6">
        <v>60.900000000000006</v>
      </c>
      <c r="P6">
        <v>61.099999999999994</v>
      </c>
      <c r="Q6">
        <v>61.099999999999994</v>
      </c>
      <c r="R6">
        <v>61</v>
      </c>
      <c r="S6">
        <v>61.2</v>
      </c>
      <c r="T6">
        <v>60.8</v>
      </c>
      <c r="U6">
        <v>60.7</v>
      </c>
      <c r="V6">
        <v>60.7</v>
      </c>
      <c r="W6">
        <v>60.7</v>
      </c>
      <c r="X6">
        <v>60.7</v>
      </c>
      <c r="Y6">
        <v>60.7</v>
      </c>
      <c r="Z6">
        <v>60.7</v>
      </c>
      <c r="AA6">
        <v>60.599999999999994</v>
      </c>
      <c r="AB6">
        <v>60.650000000000006</v>
      </c>
      <c r="AC6">
        <v>60.5</v>
      </c>
      <c r="AD6">
        <v>60.3</v>
      </c>
      <c r="AE6">
        <v>60.2</v>
      </c>
      <c r="AF6">
        <v>60</v>
      </c>
      <c r="AG6">
        <v>59</v>
      </c>
      <c r="AH6">
        <v>59.2</v>
      </c>
      <c r="AI6">
        <v>59</v>
      </c>
      <c r="AJ6">
        <v>59.3</v>
      </c>
      <c r="AK6">
        <v>59.2</v>
      </c>
      <c r="AL6">
        <v>59.099999999999994</v>
      </c>
      <c r="AM6">
        <v>58.8</v>
      </c>
      <c r="AN6">
        <v>58.5</v>
      </c>
      <c r="AO6">
        <v>57.7</v>
      </c>
      <c r="AP6">
        <v>60</v>
      </c>
      <c r="AQ6">
        <v>59.599999999999994</v>
      </c>
      <c r="AR6">
        <v>59.400000000000006</v>
      </c>
      <c r="AS6">
        <v>59.400000000000006</v>
      </c>
      <c r="AT6">
        <v>59.3</v>
      </c>
      <c r="AU6">
        <v>59.2</v>
      </c>
      <c r="AV6">
        <v>59.099999999999994</v>
      </c>
      <c r="AW6">
        <v>58.989999999999995</v>
      </c>
      <c r="AX6" s="206"/>
      <c r="AY6" s="206"/>
      <c r="AZ6" s="206"/>
      <c r="BA6" s="206"/>
      <c r="BB6" s="206"/>
      <c r="BC6" s="206"/>
      <c r="BD6" s="206"/>
      <c r="BE6" s="206"/>
      <c r="BF6" s="206"/>
      <c r="BG6" s="206"/>
      <c r="BH6" s="206"/>
      <c r="BI6" s="206"/>
      <c r="BJ6" s="206"/>
      <c r="BK6" s="206"/>
      <c r="BL6" s="206"/>
      <c r="BM6" s="206"/>
      <c r="BN6" s="206"/>
      <c r="BO6" s="206"/>
      <c r="BP6" s="206"/>
      <c r="BQ6" s="206"/>
      <c r="BR6" s="206"/>
      <c r="BS6" s="206"/>
      <c r="BT6" s="206"/>
      <c r="BU6" s="206"/>
      <c r="BV6" s="206"/>
      <c r="BW6" s="206"/>
      <c r="BX6" s="206"/>
      <c r="BY6" s="206"/>
      <c r="BZ6" s="206"/>
      <c r="CA6" s="206"/>
      <c r="CB6" s="206"/>
      <c r="CC6" s="206"/>
      <c r="CD6" s="206"/>
      <c r="CE6" s="206"/>
      <c r="CF6" s="206"/>
      <c r="CG6" s="206"/>
      <c r="CH6" s="206"/>
      <c r="CI6" s="206"/>
      <c r="CJ6" s="206"/>
      <c r="CK6" s="206"/>
      <c r="CL6" s="206"/>
      <c r="CM6" s="206"/>
      <c r="CN6" s="206"/>
      <c r="CO6" s="206"/>
      <c r="CP6" s="206"/>
      <c r="CQ6" s="206"/>
      <c r="CR6" s="206"/>
      <c r="CS6" s="206"/>
      <c r="CT6" s="206"/>
      <c r="CU6" s="206"/>
      <c r="CV6" s="206"/>
      <c r="CW6" s="206"/>
      <c r="CX6" s="206"/>
      <c r="CY6" s="206"/>
      <c r="CZ6" s="206"/>
      <c r="DA6" s="206"/>
      <c r="DB6" s="206"/>
      <c r="DC6" s="206"/>
      <c r="DD6" s="206"/>
      <c r="DE6" s="206"/>
      <c r="DF6" s="206"/>
      <c r="DG6" s="206"/>
      <c r="DH6" s="206"/>
      <c r="DI6" s="206"/>
      <c r="DJ6" s="206"/>
      <c r="DK6" s="206"/>
      <c r="DL6" s="206"/>
      <c r="DM6" s="206"/>
      <c r="DN6" s="206"/>
      <c r="DO6" s="206"/>
      <c r="DP6" s="206"/>
      <c r="DQ6" s="206"/>
      <c r="DR6" s="206"/>
      <c r="DS6" s="206"/>
      <c r="DT6" s="206"/>
      <c r="DU6" s="206"/>
      <c r="DV6" s="206"/>
      <c r="DW6" s="206"/>
      <c r="DX6" s="206"/>
      <c r="DY6" s="206"/>
      <c r="DZ6" s="206"/>
      <c r="EA6" s="206"/>
      <c r="EB6" s="206"/>
      <c r="EC6" s="206"/>
      <c r="ED6" s="206"/>
      <c r="EE6" s="206"/>
      <c r="EF6" s="206"/>
      <c r="EG6" s="206"/>
      <c r="EH6" s="206"/>
      <c r="EI6" s="206"/>
      <c r="EJ6" s="206"/>
      <c r="EK6" s="206"/>
      <c r="EL6" s="206"/>
      <c r="EM6" s="206"/>
      <c r="EN6" s="206"/>
      <c r="EO6" s="206"/>
      <c r="EP6" s="206"/>
      <c r="EQ6" s="206"/>
      <c r="ER6" s="206"/>
      <c r="ES6" s="206"/>
      <c r="ET6" s="206"/>
      <c r="EU6" s="206"/>
      <c r="EV6" s="206"/>
      <c r="EW6" s="206"/>
      <c r="EX6" s="206"/>
      <c r="EY6" s="206"/>
      <c r="EZ6" s="206"/>
      <c r="FA6" s="206"/>
      <c r="FB6" s="206"/>
      <c r="FC6" s="206"/>
      <c r="FD6" s="206"/>
      <c r="FE6" s="206"/>
      <c r="FF6" s="206"/>
      <c r="FG6" s="206"/>
      <c r="FH6" s="206"/>
    </row>
    <row r="7" spans="3:164" x14ac:dyDescent="0.3">
      <c r="C7" s="266"/>
      <c r="D7" s="266"/>
    </row>
    <row r="8" spans="3:164" ht="40.5" customHeight="1" x14ac:dyDescent="0.3">
      <c r="F8" s="897" t="s">
        <v>553</v>
      </c>
      <c r="G8" s="897"/>
      <c r="H8" s="897"/>
      <c r="I8" s="897"/>
      <c r="J8" s="897"/>
      <c r="K8" s="897"/>
      <c r="L8" s="897"/>
      <c r="M8" s="897"/>
      <c r="N8" s="897"/>
      <c r="O8" s="897"/>
      <c r="P8" s="897"/>
    </row>
    <row r="44" spans="9:9" x14ac:dyDescent="0.3">
      <c r="I44" s="207"/>
    </row>
    <row r="45" spans="9:9" x14ac:dyDescent="0.3">
      <c r="I45" s="207"/>
    </row>
    <row r="51" spans="11:11" x14ac:dyDescent="0.3">
      <c r="K51">
        <f>20*7000/(8*30)</f>
        <v>583.33333333333337</v>
      </c>
    </row>
  </sheetData>
  <mergeCells count="3">
    <mergeCell ref="F8:P8"/>
    <mergeCell ref="K1:M2"/>
    <mergeCell ref="K3:M3"/>
  </mergeCells>
  <phoneticPr fontId="4" type="noConversion"/>
  <hyperlinks>
    <hyperlink ref="K3" r:id="rId1" xr:uid="{BFC18093-D258-4FC0-81BC-6B0A441E64FB}"/>
  </hyperlinks>
  <pageMargins left="0.7" right="0.7" top="0.75" bottom="0.75" header="0.3" footer="0.3"/>
  <pageSetup paperSize="9" orientation="portrait" horizontalDpi="300" verticalDpi="300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F9A9D-2B53-4C9F-B35E-A7E7E95B67A5}">
  <dimension ref="C1:BV51"/>
  <sheetViews>
    <sheetView zoomScale="55" zoomScaleNormal="55" workbookViewId="0">
      <selection activeCell="N70" sqref="N70"/>
    </sheetView>
  </sheetViews>
  <sheetFormatPr defaultRowHeight="16.5" x14ac:dyDescent="0.3"/>
  <cols>
    <col min="4" max="4" width="9.25" bestFit="1" customWidth="1"/>
    <col min="5" max="5" width="27" bestFit="1" customWidth="1"/>
    <col min="6" max="8" width="9.875" bestFit="1" customWidth="1"/>
    <col min="9" max="9" width="10.625" bestFit="1" customWidth="1"/>
    <col min="30" max="49" width="10.625" bestFit="1" customWidth="1"/>
  </cols>
  <sheetData>
    <row r="1" spans="3:74" ht="17.25" customHeight="1" thickBot="1" x14ac:dyDescent="0.35">
      <c r="K1" s="907" t="s">
        <v>617</v>
      </c>
      <c r="L1" s="908"/>
      <c r="M1" s="908"/>
      <c r="N1" s="908"/>
      <c r="O1" s="908"/>
      <c r="P1" s="908"/>
      <c r="Q1" s="908"/>
      <c r="R1" s="909"/>
    </row>
    <row r="2" spans="3:74" ht="17.25" customHeight="1" thickBot="1" x14ac:dyDescent="0.35">
      <c r="E2" s="259" t="s">
        <v>548</v>
      </c>
      <c r="F2" s="260">
        <v>102.3</v>
      </c>
      <c r="H2" s="261" t="s">
        <v>549</v>
      </c>
      <c r="I2" s="262">
        <v>43685</v>
      </c>
      <c r="K2" s="910"/>
      <c r="L2" s="911"/>
      <c r="M2" s="911"/>
      <c r="N2" s="911"/>
      <c r="O2" s="911"/>
      <c r="P2" s="911"/>
      <c r="Q2" s="911"/>
      <c r="R2" s="912"/>
    </row>
    <row r="3" spans="3:74" ht="17.25" thickBot="1" x14ac:dyDescent="0.35">
      <c r="E3" s="263" t="s">
        <v>550</v>
      </c>
      <c r="F3" s="264">
        <v>300</v>
      </c>
      <c r="K3" s="913"/>
      <c r="L3" s="914"/>
      <c r="M3" s="914"/>
      <c r="N3" s="914"/>
      <c r="O3" s="914"/>
      <c r="P3" s="914"/>
      <c r="Q3" s="914"/>
      <c r="R3" s="915"/>
    </row>
    <row r="4" spans="3:74" x14ac:dyDescent="0.3">
      <c r="F4" s="207">
        <f>I2</f>
        <v>43685</v>
      </c>
      <c r="G4" s="207">
        <f>F4+1</f>
        <v>43686</v>
      </c>
      <c r="H4" s="207">
        <f>G4+1</f>
        <v>43687</v>
      </c>
      <c r="I4" s="207">
        <f t="shared" ref="I4:BT4" si="0">H4+1</f>
        <v>43688</v>
      </c>
      <c r="J4" s="207">
        <f t="shared" si="0"/>
        <v>43689</v>
      </c>
      <c r="K4" s="207">
        <f t="shared" si="0"/>
        <v>43690</v>
      </c>
      <c r="L4" s="207">
        <f t="shared" si="0"/>
        <v>43691</v>
      </c>
      <c r="M4" s="207">
        <f t="shared" si="0"/>
        <v>43692</v>
      </c>
      <c r="N4" s="207">
        <f t="shared" si="0"/>
        <v>43693</v>
      </c>
      <c r="O4" s="207">
        <f t="shared" si="0"/>
        <v>43694</v>
      </c>
      <c r="P4" s="207">
        <f t="shared" si="0"/>
        <v>43695</v>
      </c>
      <c r="Q4" s="207">
        <f t="shared" si="0"/>
        <v>43696</v>
      </c>
      <c r="R4" s="207">
        <f t="shared" si="0"/>
        <v>43697</v>
      </c>
      <c r="S4" s="207">
        <f t="shared" si="0"/>
        <v>43698</v>
      </c>
      <c r="T4" s="207">
        <f t="shared" si="0"/>
        <v>43699</v>
      </c>
      <c r="U4" s="207">
        <f t="shared" si="0"/>
        <v>43700</v>
      </c>
      <c r="V4" s="207">
        <f t="shared" si="0"/>
        <v>43701</v>
      </c>
      <c r="W4" s="207">
        <f t="shared" si="0"/>
        <v>43702</v>
      </c>
      <c r="X4" s="207">
        <f t="shared" si="0"/>
        <v>43703</v>
      </c>
      <c r="Y4" s="207">
        <f t="shared" si="0"/>
        <v>43704</v>
      </c>
      <c r="Z4" s="207">
        <f t="shared" si="0"/>
        <v>43705</v>
      </c>
      <c r="AA4" s="207">
        <f t="shared" si="0"/>
        <v>43706</v>
      </c>
      <c r="AB4" s="207">
        <f t="shared" si="0"/>
        <v>43707</v>
      </c>
      <c r="AC4" s="207">
        <f t="shared" si="0"/>
        <v>43708</v>
      </c>
      <c r="AD4" s="207">
        <f t="shared" si="0"/>
        <v>43709</v>
      </c>
      <c r="AE4" s="207">
        <f t="shared" si="0"/>
        <v>43710</v>
      </c>
      <c r="AF4" s="207">
        <f t="shared" si="0"/>
        <v>43711</v>
      </c>
      <c r="AG4" s="207">
        <f t="shared" si="0"/>
        <v>43712</v>
      </c>
      <c r="AH4" s="207">
        <f t="shared" si="0"/>
        <v>43713</v>
      </c>
      <c r="AI4" s="207">
        <f t="shared" si="0"/>
        <v>43714</v>
      </c>
      <c r="AJ4" s="207">
        <f t="shared" si="0"/>
        <v>43715</v>
      </c>
      <c r="AK4" s="207">
        <f t="shared" si="0"/>
        <v>43716</v>
      </c>
      <c r="AL4" s="207">
        <f t="shared" si="0"/>
        <v>43717</v>
      </c>
      <c r="AM4" s="207">
        <f t="shared" si="0"/>
        <v>43718</v>
      </c>
      <c r="AN4" s="207">
        <f t="shared" si="0"/>
        <v>43719</v>
      </c>
      <c r="AO4" s="207">
        <f t="shared" si="0"/>
        <v>43720</v>
      </c>
      <c r="AP4" s="207">
        <f t="shared" si="0"/>
        <v>43721</v>
      </c>
      <c r="AQ4" s="207">
        <f t="shared" si="0"/>
        <v>43722</v>
      </c>
      <c r="AR4" s="207">
        <f t="shared" si="0"/>
        <v>43723</v>
      </c>
      <c r="AS4" s="207">
        <f t="shared" si="0"/>
        <v>43724</v>
      </c>
      <c r="AT4" s="207">
        <f t="shared" si="0"/>
        <v>43725</v>
      </c>
      <c r="AU4" s="207">
        <f t="shared" si="0"/>
        <v>43726</v>
      </c>
      <c r="AV4" s="207">
        <f t="shared" si="0"/>
        <v>43727</v>
      </c>
      <c r="AW4" s="207">
        <f t="shared" si="0"/>
        <v>43728</v>
      </c>
      <c r="AX4" s="207">
        <f t="shared" si="0"/>
        <v>43729</v>
      </c>
      <c r="AY4" s="207">
        <f t="shared" si="0"/>
        <v>43730</v>
      </c>
      <c r="AZ4" s="207">
        <f t="shared" si="0"/>
        <v>43731</v>
      </c>
      <c r="BA4" s="207">
        <f t="shared" si="0"/>
        <v>43732</v>
      </c>
      <c r="BB4" s="207">
        <f t="shared" si="0"/>
        <v>43733</v>
      </c>
      <c r="BC4" s="207">
        <f t="shared" si="0"/>
        <v>43734</v>
      </c>
      <c r="BD4" s="207">
        <f t="shared" si="0"/>
        <v>43735</v>
      </c>
      <c r="BE4" s="207">
        <f t="shared" si="0"/>
        <v>43736</v>
      </c>
      <c r="BF4" s="207">
        <f t="shared" si="0"/>
        <v>43737</v>
      </c>
      <c r="BG4" s="207">
        <f t="shared" si="0"/>
        <v>43738</v>
      </c>
      <c r="BH4" s="207">
        <f t="shared" si="0"/>
        <v>43739</v>
      </c>
      <c r="BI4" s="207">
        <f t="shared" si="0"/>
        <v>43740</v>
      </c>
      <c r="BJ4" s="207">
        <f t="shared" si="0"/>
        <v>43741</v>
      </c>
      <c r="BK4" s="207">
        <f t="shared" si="0"/>
        <v>43742</v>
      </c>
      <c r="BL4" s="207">
        <f t="shared" si="0"/>
        <v>43743</v>
      </c>
      <c r="BM4" s="207">
        <f t="shared" si="0"/>
        <v>43744</v>
      </c>
      <c r="BN4" s="207">
        <f t="shared" si="0"/>
        <v>43745</v>
      </c>
      <c r="BO4" s="207">
        <f t="shared" si="0"/>
        <v>43746</v>
      </c>
      <c r="BP4" s="207">
        <f t="shared" si="0"/>
        <v>43747</v>
      </c>
      <c r="BQ4" s="207">
        <f t="shared" si="0"/>
        <v>43748</v>
      </c>
      <c r="BR4" s="207">
        <f t="shared" si="0"/>
        <v>43749</v>
      </c>
      <c r="BS4" s="207">
        <f t="shared" si="0"/>
        <v>43750</v>
      </c>
      <c r="BT4" s="207">
        <f t="shared" si="0"/>
        <v>43751</v>
      </c>
      <c r="BU4" s="207">
        <f t="shared" ref="BU4:BV4" si="1">BT4+1</f>
        <v>43752</v>
      </c>
      <c r="BV4" s="207">
        <f t="shared" si="1"/>
        <v>43753</v>
      </c>
    </row>
    <row r="5" spans="3:74" x14ac:dyDescent="0.3">
      <c r="E5" t="s">
        <v>551</v>
      </c>
      <c r="F5" s="430">
        <f>F2</f>
        <v>102.3</v>
      </c>
      <c r="G5" s="430">
        <f>F5-(F3/-7000)</f>
        <v>102.34285714285714</v>
      </c>
      <c r="H5" s="430">
        <f>$F$5-(($F$3/-7000)*(H4-$F$4))</f>
        <v>102.38571428571429</v>
      </c>
      <c r="I5" s="430">
        <f t="shared" ref="I5:AY5" si="2">$F$5-(($F$3/-7000)*(I4-$F$4))</f>
        <v>102.42857142857143</v>
      </c>
      <c r="J5" s="430">
        <f t="shared" si="2"/>
        <v>102.47142857142858</v>
      </c>
      <c r="K5" s="430">
        <f t="shared" si="2"/>
        <v>102.51428571428571</v>
      </c>
      <c r="L5" s="430">
        <f t="shared" si="2"/>
        <v>102.55714285714285</v>
      </c>
      <c r="M5" s="430">
        <f t="shared" si="2"/>
        <v>102.6</v>
      </c>
      <c r="N5" s="430">
        <f t="shared" si="2"/>
        <v>102.64285714285714</v>
      </c>
      <c r="O5" s="430">
        <f t="shared" si="2"/>
        <v>102.68571428571428</v>
      </c>
      <c r="P5" s="430">
        <f t="shared" si="2"/>
        <v>102.72857142857143</v>
      </c>
      <c r="Q5" s="430">
        <f t="shared" si="2"/>
        <v>102.77142857142857</v>
      </c>
      <c r="R5" s="430">
        <f t="shared" si="2"/>
        <v>102.81428571428572</v>
      </c>
      <c r="S5" s="430">
        <f t="shared" si="2"/>
        <v>102.85714285714286</v>
      </c>
      <c r="T5" s="430">
        <f t="shared" si="2"/>
        <v>102.89999999999999</v>
      </c>
      <c r="U5" s="430">
        <f t="shared" si="2"/>
        <v>102.94285714285714</v>
      </c>
      <c r="V5" s="430">
        <f t="shared" si="2"/>
        <v>102.98571428571428</v>
      </c>
      <c r="W5" s="430">
        <f t="shared" si="2"/>
        <v>103.02857142857142</v>
      </c>
      <c r="X5" s="430">
        <f t="shared" si="2"/>
        <v>103.07142857142857</v>
      </c>
      <c r="Y5" s="430">
        <f t="shared" si="2"/>
        <v>103.11428571428571</v>
      </c>
      <c r="Z5" s="430">
        <f t="shared" si="2"/>
        <v>103.15714285714286</v>
      </c>
      <c r="AA5" s="430">
        <f t="shared" si="2"/>
        <v>103.2</v>
      </c>
      <c r="AB5" s="430">
        <f t="shared" si="2"/>
        <v>103.24285714285713</v>
      </c>
      <c r="AC5" s="430">
        <f t="shared" si="2"/>
        <v>103.28571428571428</v>
      </c>
      <c r="AD5" s="430">
        <f t="shared" si="2"/>
        <v>103.32857142857142</v>
      </c>
      <c r="AE5" s="430">
        <f t="shared" si="2"/>
        <v>103.37142857142857</v>
      </c>
      <c r="AF5" s="430">
        <f t="shared" si="2"/>
        <v>103.41428571428571</v>
      </c>
      <c r="AG5" s="430">
        <f t="shared" si="2"/>
        <v>103.45714285714286</v>
      </c>
      <c r="AH5" s="430">
        <f t="shared" si="2"/>
        <v>103.5</v>
      </c>
      <c r="AI5" s="430">
        <f t="shared" si="2"/>
        <v>103.54285714285714</v>
      </c>
      <c r="AJ5" s="430">
        <f t="shared" si="2"/>
        <v>103.58571428571429</v>
      </c>
      <c r="AK5" s="430">
        <f t="shared" si="2"/>
        <v>103.62857142857142</v>
      </c>
      <c r="AL5" s="430">
        <f t="shared" si="2"/>
        <v>103.67142857142856</v>
      </c>
      <c r="AM5" s="430">
        <f t="shared" si="2"/>
        <v>103.71428571428571</v>
      </c>
      <c r="AN5" s="430">
        <f t="shared" si="2"/>
        <v>103.75714285714285</v>
      </c>
      <c r="AO5" s="430">
        <f t="shared" si="2"/>
        <v>103.8</v>
      </c>
      <c r="AP5" s="430">
        <f t="shared" si="2"/>
        <v>103.84285714285714</v>
      </c>
      <c r="AQ5" s="430">
        <f t="shared" si="2"/>
        <v>103.88571428571429</v>
      </c>
      <c r="AR5" s="430">
        <f t="shared" si="2"/>
        <v>103.92857142857143</v>
      </c>
      <c r="AS5" s="430">
        <f t="shared" si="2"/>
        <v>103.97142857142858</v>
      </c>
      <c r="AT5" s="430">
        <f t="shared" si="2"/>
        <v>104.01428571428571</v>
      </c>
      <c r="AU5" s="430">
        <f t="shared" si="2"/>
        <v>104.05714285714285</v>
      </c>
      <c r="AV5" s="430">
        <f t="shared" si="2"/>
        <v>104.1</v>
      </c>
      <c r="AW5" s="430">
        <f t="shared" si="2"/>
        <v>104.14285714285714</v>
      </c>
      <c r="AX5" s="430">
        <f t="shared" si="2"/>
        <v>104.18571428571428</v>
      </c>
      <c r="AY5" s="430">
        <f t="shared" si="2"/>
        <v>104.22857142857143</v>
      </c>
      <c r="AZ5" s="430"/>
      <c r="BA5" s="430"/>
      <c r="BB5" s="430"/>
      <c r="BC5" s="430"/>
      <c r="BD5" s="430"/>
      <c r="BE5" s="430"/>
      <c r="BF5" s="430"/>
      <c r="BG5" s="430"/>
      <c r="BH5" s="430"/>
      <c r="BI5" s="430"/>
      <c r="BJ5" s="430"/>
      <c r="BK5" s="430"/>
      <c r="BL5" s="430"/>
      <c r="BM5" s="430"/>
      <c r="BN5" s="430"/>
      <c r="BO5" s="430"/>
      <c r="BP5" s="430"/>
      <c r="BQ5" s="430"/>
      <c r="BR5" s="430"/>
      <c r="BS5" s="430"/>
      <c r="BT5" s="430"/>
    </row>
    <row r="6" spans="3:74" x14ac:dyDescent="0.3">
      <c r="E6" t="s">
        <v>552</v>
      </c>
      <c r="F6" s="206">
        <v>102.3</v>
      </c>
      <c r="G6" s="206">
        <v>102.3</v>
      </c>
      <c r="H6" s="206">
        <v>101.8</v>
      </c>
      <c r="I6" s="206">
        <v>102.5</v>
      </c>
      <c r="J6" s="206">
        <v>102.3</v>
      </c>
      <c r="K6" s="206">
        <v>102.9</v>
      </c>
      <c r="L6" s="265">
        <v>102.3</v>
      </c>
      <c r="M6" s="265">
        <v>102.3</v>
      </c>
      <c r="N6" s="206">
        <v>102.3</v>
      </c>
      <c r="O6" s="206">
        <v>102.6</v>
      </c>
      <c r="P6" s="206">
        <v>103.7</v>
      </c>
      <c r="Q6" s="206">
        <v>103.2</v>
      </c>
      <c r="R6" s="206">
        <v>103.2</v>
      </c>
      <c r="S6" s="206">
        <v>103.6</v>
      </c>
      <c r="T6" s="206">
        <v>102.9</v>
      </c>
      <c r="U6" s="206">
        <v>103.2</v>
      </c>
      <c r="V6" s="206">
        <v>103.4</v>
      </c>
      <c r="W6" s="206">
        <v>103.6</v>
      </c>
      <c r="X6" s="206">
        <v>103.6</v>
      </c>
      <c r="Y6" s="206">
        <v>103.3</v>
      </c>
      <c r="Z6" s="206">
        <v>103.6</v>
      </c>
      <c r="AA6" s="206">
        <v>103.4</v>
      </c>
      <c r="AB6" s="206">
        <v>103.2</v>
      </c>
      <c r="AC6" s="206">
        <v>103.5</v>
      </c>
      <c r="AD6" s="206">
        <v>103.5</v>
      </c>
      <c r="AE6" s="206">
        <v>103.5</v>
      </c>
      <c r="AF6" s="206">
        <v>103.5</v>
      </c>
      <c r="AG6" s="206">
        <v>103.5</v>
      </c>
      <c r="AH6" s="206">
        <v>103.5</v>
      </c>
      <c r="AI6" s="206">
        <v>103.4</v>
      </c>
      <c r="AJ6" s="206">
        <v>103.8</v>
      </c>
      <c r="AK6" s="206">
        <v>104.1</v>
      </c>
      <c r="AL6" s="206">
        <v>104.1</v>
      </c>
      <c r="AM6" s="206">
        <v>104.2</v>
      </c>
      <c r="AN6" s="206">
        <v>104</v>
      </c>
      <c r="AO6" s="206">
        <v>104.1</v>
      </c>
      <c r="AP6" s="206">
        <v>103.7</v>
      </c>
      <c r="AQ6" s="206">
        <v>103.7</v>
      </c>
      <c r="AR6" s="206">
        <v>104.3</v>
      </c>
      <c r="AS6" s="206">
        <v>103.9</v>
      </c>
      <c r="AT6" s="206">
        <v>103.9</v>
      </c>
      <c r="AU6" s="206">
        <v>103.9</v>
      </c>
      <c r="AV6" s="206">
        <v>104.1</v>
      </c>
      <c r="AW6" s="206">
        <v>103.9</v>
      </c>
      <c r="AX6" s="206">
        <v>104.1</v>
      </c>
      <c r="AY6" s="206">
        <v>104.1</v>
      </c>
      <c r="BA6" s="206"/>
      <c r="BC6" s="206"/>
    </row>
    <row r="7" spans="3:74" x14ac:dyDescent="0.3">
      <c r="C7" s="266"/>
      <c r="D7" s="266"/>
    </row>
    <row r="44" spans="9:9" x14ac:dyDescent="0.3">
      <c r="I44" s="207"/>
    </row>
    <row r="45" spans="9:9" x14ac:dyDescent="0.3">
      <c r="I45" s="207"/>
    </row>
    <row r="51" spans="11:11" x14ac:dyDescent="0.3">
      <c r="K51">
        <f>20*7000/(8*30)</f>
        <v>583.33333333333337</v>
      </c>
    </row>
  </sheetData>
  <mergeCells count="1">
    <mergeCell ref="K1:R3"/>
  </mergeCells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초보자용</vt:lpstr>
      <vt:lpstr>중,고급자용</vt:lpstr>
      <vt:lpstr>보충제_추천제품_우선순위</vt:lpstr>
      <vt:lpstr>다이어트_기간_계산기</vt:lpstr>
      <vt:lpstr>식단계산기</vt:lpstr>
      <vt:lpstr>식단계산기(확장판)</vt:lpstr>
      <vt:lpstr>닭가슴살 도우미</vt:lpstr>
      <vt:lpstr>체중변화_도우미(다이어트, 벌크업)</vt:lpstr>
      <vt:lpstr>체중변화_도우미(벌크업, 예시)</vt:lpstr>
      <vt:lpstr>치팅데이_도우미</vt:lpstr>
      <vt:lpstr>단백질 보충제 만능활용 도우미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 daejin</dc:creator>
  <cp:lastModifiedBy>hyun daejin</cp:lastModifiedBy>
  <dcterms:created xsi:type="dcterms:W3CDTF">2019-04-18T12:15:38Z</dcterms:created>
  <dcterms:modified xsi:type="dcterms:W3CDTF">2019-12-30T03:09:07Z</dcterms:modified>
</cp:coreProperties>
</file>