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4976b09689e/Desktop/UCLA/ACADEMIC/ECE183DA/"/>
    </mc:Choice>
  </mc:AlternateContent>
  <xr:revisionPtr revIDLastSave="16" documentId="13_ncr:1_{FD8B7AAF-F8DF-4620-B692-0CFDABA8A3C2}" xr6:coauthVersionLast="46" xr6:coauthVersionMax="46" xr10:uidLastSave="{B40717EE-CC36-4756-A181-556410022464}"/>
  <bookViews>
    <workbookView xWindow="-108" yWindow="-108" windowWidth="23256" windowHeight="12576" activeTab="6" xr2:uid="{BE9E6EEC-FCE5-44A6-97E5-C9EFB61C81E4}"/>
  </bookViews>
  <sheets>
    <sheet name="x-dis" sheetId="7" r:id="rId1"/>
    <sheet name="right wheel(Wr)" sheetId="6" r:id="rId2"/>
    <sheet name="left wheel (WL)" sheetId="5" r:id="rId3"/>
    <sheet name="a" sheetId="4" r:id="rId4"/>
    <sheet name="theta-dis" sheetId="3" r:id="rId5"/>
    <sheet name="y-dis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5" i="1" l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<sst xmlns="http://schemas.openxmlformats.org/spreadsheetml/2006/main" count="20" uniqueCount="20">
  <si>
    <t>Frame</t>
  </si>
  <si>
    <t>Time</t>
  </si>
  <si>
    <t>Linear Displacement2 (mm)</t>
  </si>
  <si>
    <t>Base-1</t>
  </si>
  <si>
    <t>Angular Velocity1 (deg/sec)</t>
  </si>
  <si>
    <t>Tires-6</t>
  </si>
  <si>
    <t>Tires-5</t>
  </si>
  <si>
    <t>Linear Displacement2_2 (y-dis)</t>
  </si>
  <si>
    <t>Angular Displacement1 (deg) (theta-dis)</t>
  </si>
  <si>
    <t>Angular Velocity2 (deg/sec) (left wheel )</t>
  </si>
  <si>
    <t>Angular Velocity3 (deg/sec) (right wheel)</t>
  </si>
  <si>
    <t>y</t>
  </si>
  <si>
    <t>thata</t>
  </si>
  <si>
    <t>omega</t>
  </si>
  <si>
    <t>x</t>
  </si>
  <si>
    <t>WL</t>
  </si>
  <si>
    <t>WR</t>
  </si>
  <si>
    <t>Linear Displacement1 (m)</t>
  </si>
  <si>
    <t>omega_SW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</si>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</sst>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x-dis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1000</c:v>
                </c:pt>
                <c:pt idx="1">
                  <c:v>Linear Displacement1 (m)</c:v>
                </c:pt>
                <c:pt idx="2">
                  <c:v>x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Sheet1!$E$4:$E$405</c:f>
              <c:numCache>
                <c:formatCode>General</c:formatCode>
                <c:ptCount val="402"/>
                <c:pt idx="0">
                  <c:v>5</c:v>
                </c:pt>
                <c:pt idx="1">
                  <c:v>4.9999997192128571</c:v>
                </c:pt>
                <c:pt idx="2">
                  <c:v>4.9999851434593925</c:v>
                </c:pt>
                <c:pt idx="3">
                  <c:v>4.9999891626698032</c:v>
                </c:pt>
                <c:pt idx="4">
                  <c:v>5.0000008322434093</c:v>
                </c:pt>
                <c:pt idx="5">
                  <c:v>5.0000145675449597</c:v>
                </c:pt>
                <c:pt idx="6">
                  <c:v>5.0000440680729294</c:v>
                </c:pt>
                <c:pt idx="7">
                  <c:v>5.0000495434029277</c:v>
                </c:pt>
                <c:pt idx="8">
                  <c:v>5.0000809886606081</c:v>
                </c:pt>
                <c:pt idx="9">
                  <c:v>5.0001050172024373</c:v>
                </c:pt>
                <c:pt idx="10">
                  <c:v>5.0001092224122621</c:v>
                </c:pt>
                <c:pt idx="11">
                  <c:v>5.0001363941246586</c:v>
                </c:pt>
                <c:pt idx="12">
                  <c:v>5.0001603457420156</c:v>
                </c:pt>
                <c:pt idx="13">
                  <c:v>5.0001774089041477</c:v>
                </c:pt>
                <c:pt idx="14">
                  <c:v>5.0002038571825711</c:v>
                </c:pt>
                <c:pt idx="15">
                  <c:v>5.0002595399531042</c:v>
                </c:pt>
                <c:pt idx="16">
                  <c:v>5.0002634020258805</c:v>
                </c:pt>
                <c:pt idx="17">
                  <c:v>5.0003082092554916</c:v>
                </c:pt>
                <c:pt idx="18">
                  <c:v>5.0003568418321818</c:v>
                </c:pt>
                <c:pt idx="19">
                  <c:v>5.0003782886341677</c:v>
                </c:pt>
                <c:pt idx="20">
                  <c:v>5.0004192380833485</c:v>
                </c:pt>
                <c:pt idx="21">
                  <c:v>5.000483078411265</c:v>
                </c:pt>
                <c:pt idx="22">
                  <c:v>5.000527583468128</c:v>
                </c:pt>
                <c:pt idx="23">
                  <c:v>5.0005781793018498</c:v>
                </c:pt>
                <c:pt idx="24">
                  <c:v>5.000684546211156</c:v>
                </c:pt>
                <c:pt idx="25">
                  <c:v>5.0007195647054132</c:v>
                </c:pt>
                <c:pt idx="26">
                  <c:v>5.0007888202819064</c:v>
                </c:pt>
                <c:pt idx="27">
                  <c:v>5.0008974345151298</c:v>
                </c:pt>
                <c:pt idx="28">
                  <c:v>5.0009633611834996</c:v>
                </c:pt>
                <c:pt idx="29">
                  <c:v>5.0010232955269975</c:v>
                </c:pt>
                <c:pt idx="30">
                  <c:v>5.0011609652535283</c:v>
                </c:pt>
                <c:pt idx="31">
                  <c:v>5.0012681156438967</c:v>
                </c:pt>
                <c:pt idx="32">
                  <c:v>5.0013379264028783</c:v>
                </c:pt>
                <c:pt idx="33">
                  <c:v>5.0015348253159848</c:v>
                </c:pt>
                <c:pt idx="34">
                  <c:v>5.0016449022506348</c:v>
                </c:pt>
                <c:pt idx="35">
                  <c:v>5.0017339672039309</c:v>
                </c:pt>
                <c:pt idx="36">
                  <c:v>5.0019404972992421</c:v>
                </c:pt>
                <c:pt idx="37">
                  <c:v>5.0021059934283505</c:v>
                </c:pt>
                <c:pt idx="38">
                  <c:v>5.0021711764363177</c:v>
                </c:pt>
                <c:pt idx="39">
                  <c:v>5.0024388944034603</c:v>
                </c:pt>
                <c:pt idx="40">
                  <c:v>5.0026651854160535</c:v>
                </c:pt>
                <c:pt idx="41">
                  <c:v>5.0027735891181502</c:v>
                </c:pt>
                <c:pt idx="42">
                  <c:v>5.0030374026774602</c:v>
                </c:pt>
                <c:pt idx="43">
                  <c:v>5.0033293762526263</c:v>
                </c:pt>
                <c:pt idx="44">
                  <c:v>5.0033304590724068</c:v>
                </c:pt>
                <c:pt idx="45">
                  <c:v>5.0036389220329918</c:v>
                </c:pt>
                <c:pt idx="46">
                  <c:v>5.0039855683477965</c:v>
                </c:pt>
                <c:pt idx="47">
                  <c:v>5.004124558500596</c:v>
                </c:pt>
                <c:pt idx="48">
                  <c:v>5.0045984042788465</c:v>
                </c:pt>
                <c:pt idx="49">
                  <c:v>5.0050922166458065</c:v>
                </c:pt>
                <c:pt idx="50">
                  <c:v>5.0051521067172713</c:v>
                </c:pt>
                <c:pt idx="51">
                  <c:v>5.0056677782264059</c:v>
                </c:pt>
                <c:pt idx="52">
                  <c:v>5.0058066350626316</c:v>
                </c:pt>
                <c:pt idx="53">
                  <c:v>5.0056370636629621</c:v>
                </c:pt>
                <c:pt idx="54">
                  <c:v>5.0049438537141375</c:v>
                </c:pt>
                <c:pt idx="55">
                  <c:v>5.0048132895865747</c:v>
                </c:pt>
                <c:pt idx="56">
                  <c:v>5.0034744159412776</c:v>
                </c:pt>
                <c:pt idx="57">
                  <c:v>5.0020327260551207</c:v>
                </c:pt>
                <c:pt idx="58">
                  <c:v>5.0015010045156751</c:v>
                </c:pt>
                <c:pt idx="59">
                  <c:v>4.999180913025099</c:v>
                </c:pt>
                <c:pt idx="60">
                  <c:v>4.9974978336532265</c:v>
                </c:pt>
                <c:pt idx="61">
                  <c:v>4.9951425932523392</c:v>
                </c:pt>
                <c:pt idx="62">
                  <c:v>4.9948392852959502</c:v>
                </c:pt>
                <c:pt idx="63">
                  <c:v>4.9923270637901549</c:v>
                </c:pt>
                <c:pt idx="64">
                  <c:v>4.9889655576335068</c:v>
                </c:pt>
                <c:pt idx="65">
                  <c:v>4.9848137649309985</c:v>
                </c:pt>
                <c:pt idx="66">
                  <c:v>4.9839610571402631</c:v>
                </c:pt>
                <c:pt idx="67">
                  <c:v>4.9794584299346081</c:v>
                </c:pt>
                <c:pt idx="68">
                  <c:v>4.9743057584424673</c:v>
                </c:pt>
                <c:pt idx="69">
                  <c:v>4.9713700649099701</c:v>
                </c:pt>
                <c:pt idx="70">
                  <c:v>4.9706265363377815</c:v>
                </c:pt>
                <c:pt idx="71">
                  <c:v>4.9634007536859706</c:v>
                </c:pt>
                <c:pt idx="72">
                  <c:v>4.9551794260090958</c:v>
                </c:pt>
                <c:pt idx="73">
                  <c:v>4.9549394195904304</c:v>
                </c:pt>
                <c:pt idx="74">
                  <c:v>4.9476268393801188</c:v>
                </c:pt>
                <c:pt idx="75">
                  <c:v>4.9394318777754282</c:v>
                </c:pt>
                <c:pt idx="76">
                  <c:v>4.9356728888891297</c:v>
                </c:pt>
                <c:pt idx="77">
                  <c:v>4.928068538465511</c:v>
                </c:pt>
                <c:pt idx="78">
                  <c:v>4.9165816877604831</c:v>
                </c:pt>
                <c:pt idx="79">
                  <c:v>4.913974884854273</c:v>
                </c:pt>
                <c:pt idx="80">
                  <c:v>4.9052007464052236</c:v>
                </c:pt>
                <c:pt idx="81">
                  <c:v>4.8983964678328462</c:v>
                </c:pt>
                <c:pt idx="82">
                  <c:v>4.8907818690625868</c:v>
                </c:pt>
                <c:pt idx="83">
                  <c:v>4.8873765982558819</c:v>
                </c:pt>
                <c:pt idx="84">
                  <c:v>4.874142700576944</c:v>
                </c:pt>
                <c:pt idx="85">
                  <c:v>4.8668718187893498</c:v>
                </c:pt>
                <c:pt idx="86">
                  <c:v>4.8660780147853178</c:v>
                </c:pt>
                <c:pt idx="87">
                  <c:v>4.8601200256695902</c:v>
                </c:pt>
                <c:pt idx="88">
                  <c:v>4.8504264544296873</c:v>
                </c:pt>
                <c:pt idx="89">
                  <c:v>4.8439940421350407</c:v>
                </c:pt>
                <c:pt idx="90">
                  <c:v>4.8432939012605329</c:v>
                </c:pt>
                <c:pt idx="91">
                  <c:v>4.8316263169272986</c:v>
                </c:pt>
                <c:pt idx="92">
                  <c:v>4.8208617465121062</c:v>
                </c:pt>
                <c:pt idx="93">
                  <c:v>4.8189669876445125</c:v>
                </c:pt>
                <c:pt idx="94">
                  <c:v>4.8080978993177013</c:v>
                </c:pt>
                <c:pt idx="95">
                  <c:v>4.8027399684663639</c:v>
                </c:pt>
                <c:pt idx="96">
                  <c:v>4.8000489722288844</c:v>
                </c:pt>
                <c:pt idx="97">
                  <c:v>4.7934560799115919</c:v>
                </c:pt>
                <c:pt idx="98">
                  <c:v>4.7831706659896165</c:v>
                </c:pt>
                <c:pt idx="99">
                  <c:v>4.7813374195845117</c:v>
                </c:pt>
                <c:pt idx="100">
                  <c:v>4.7744867415033685</c:v>
                </c:pt>
                <c:pt idx="101">
                  <c:v>4.7687558590953598</c:v>
                </c:pt>
                <c:pt idx="102">
                  <c:v>4.764948540093819</c:v>
                </c:pt>
                <c:pt idx="103">
                  <c:v>4.7630532856474037</c:v>
                </c:pt>
                <c:pt idx="104">
                  <c:v>4.7549579143742475</c:v>
                </c:pt>
                <c:pt idx="105">
                  <c:v>4.7516050538027397</c:v>
                </c:pt>
                <c:pt idx="106">
                  <c:v>4.7511797424202804</c:v>
                </c:pt>
                <c:pt idx="107">
                  <c:v>4.7472485300258223</c:v>
                </c:pt>
                <c:pt idx="108">
                  <c:v>4.7434658915076984</c:v>
                </c:pt>
                <c:pt idx="109">
                  <c:v>4.7400527419088485</c:v>
                </c:pt>
                <c:pt idx="110">
                  <c:v>4.7363174922058882</c:v>
                </c:pt>
                <c:pt idx="111">
                  <c:v>4.7316523837703253</c:v>
                </c:pt>
                <c:pt idx="112">
                  <c:v>4.7310817576979414</c:v>
                </c:pt>
                <c:pt idx="113">
                  <c:v>4.7269102013709894</c:v>
                </c:pt>
                <c:pt idx="114">
                  <c:v>4.7261010242061499</c:v>
                </c:pt>
                <c:pt idx="115">
                  <c:v>4.7252153107730681</c:v>
                </c:pt>
                <c:pt idx="116">
                  <c:v>4.7232673848017157</c:v>
                </c:pt>
                <c:pt idx="117">
                  <c:v>4.7232575140742901</c:v>
                </c:pt>
                <c:pt idx="118">
                  <c:v>4.7229601328443414</c:v>
                </c:pt>
                <c:pt idx="119">
                  <c:v>4.723279722949103</c:v>
                </c:pt>
                <c:pt idx="120">
                  <c:v>4.7234216061301293</c:v>
                </c:pt>
                <c:pt idx="121">
                  <c:v>4.7242729433042685</c:v>
                </c:pt>
                <c:pt idx="122">
                  <c:v>4.7253956421385102</c:v>
                </c:pt>
                <c:pt idx="123">
                  <c:v>4.7260930575060618</c:v>
                </c:pt>
                <c:pt idx="124">
                  <c:v>4.7275780548635806</c:v>
                </c:pt>
                <c:pt idx="125">
                  <c:v>4.7305120815132691</c:v>
                </c:pt>
                <c:pt idx="126">
                  <c:v>4.7316673585964351</c:v>
                </c:pt>
                <c:pt idx="127">
                  <c:v>4.7344054829739219</c:v>
                </c:pt>
                <c:pt idx="128">
                  <c:v>4.7372440325684328</c:v>
                </c:pt>
                <c:pt idx="129">
                  <c:v>4.7401122243459115</c:v>
                </c:pt>
                <c:pt idx="130">
                  <c:v>4.7417130858995433</c:v>
                </c:pt>
                <c:pt idx="131">
                  <c:v>4.7474884330926894</c:v>
                </c:pt>
                <c:pt idx="132">
                  <c:v>4.7512870926952058</c:v>
                </c:pt>
                <c:pt idx="133">
                  <c:v>4.754215945335341</c:v>
                </c:pt>
                <c:pt idx="134">
                  <c:v>4.7591596307233734</c:v>
                </c:pt>
                <c:pt idx="135">
                  <c:v>4.7652682072130297</c:v>
                </c:pt>
                <c:pt idx="136">
                  <c:v>4.7654439533178783</c:v>
                </c:pt>
                <c:pt idx="137">
                  <c:v>4.7707063070933735</c:v>
                </c:pt>
                <c:pt idx="138">
                  <c:v>4.78190393809433</c:v>
                </c:pt>
                <c:pt idx="139">
                  <c:v>4.7843730921153522</c:v>
                </c:pt>
                <c:pt idx="140">
                  <c:v>4.7902971412301305</c:v>
                </c:pt>
                <c:pt idx="141">
                  <c:v>4.7965977474643573</c:v>
                </c:pt>
                <c:pt idx="142">
                  <c:v>4.8010561750395411</c:v>
                </c:pt>
                <c:pt idx="143">
                  <c:v>4.8078485257719574</c:v>
                </c:pt>
                <c:pt idx="144">
                  <c:v>4.8216993759716278</c:v>
                </c:pt>
                <c:pt idx="145">
                  <c:v>4.822535738614258</c:v>
                </c:pt>
                <c:pt idx="146">
                  <c:v>4.8275247643418773</c:v>
                </c:pt>
                <c:pt idx="147">
                  <c:v>4.8431858239743244</c:v>
                </c:pt>
                <c:pt idx="148">
                  <c:v>4.8458980181366362</c:v>
                </c:pt>
                <c:pt idx="149">
                  <c:v>4.8611168593301919</c:v>
                </c:pt>
                <c:pt idx="150">
                  <c:v>4.8707085845578346</c:v>
                </c:pt>
                <c:pt idx="151">
                  <c:v>4.8776285744676713</c:v>
                </c:pt>
                <c:pt idx="152">
                  <c:v>4.8839989167804676</c:v>
                </c:pt>
                <c:pt idx="153">
                  <c:v>4.8962052881288161</c:v>
                </c:pt>
                <c:pt idx="154">
                  <c:v>4.8987351388784841</c:v>
                </c:pt>
                <c:pt idx="155">
                  <c:v>4.9067983050026509</c:v>
                </c:pt>
                <c:pt idx="156">
                  <c:v>4.919128139055081</c:v>
                </c:pt>
                <c:pt idx="157">
                  <c:v>4.9215419466099748</c:v>
                </c:pt>
                <c:pt idx="158">
                  <c:v>4.9390464386610189</c:v>
                </c:pt>
                <c:pt idx="159">
                  <c:v>4.945261326410038</c:v>
                </c:pt>
                <c:pt idx="160">
                  <c:v>4.9548980469690642</c:v>
                </c:pt>
                <c:pt idx="161">
                  <c:v>4.9607342255632121</c:v>
                </c:pt>
                <c:pt idx="162">
                  <c:v>4.9660015918108131</c:v>
                </c:pt>
                <c:pt idx="163">
                  <c:v>4.9682488067981563</c:v>
                </c:pt>
                <c:pt idx="164">
                  <c:v>4.9735906994042303</c:v>
                </c:pt>
                <c:pt idx="165">
                  <c:v>4.983633056847216</c:v>
                </c:pt>
                <c:pt idx="166">
                  <c:v>4.9836759280871554</c:v>
                </c:pt>
                <c:pt idx="167">
                  <c:v>4.9903269690880343</c:v>
                </c:pt>
                <c:pt idx="168">
                  <c:v>4.9976850594637279</c:v>
                </c:pt>
                <c:pt idx="169">
                  <c:v>4.9984062222144292</c:v>
                </c:pt>
                <c:pt idx="170">
                  <c:v>5.0063489138486634</c:v>
                </c:pt>
                <c:pt idx="171">
                  <c:v>5.0076998460923656</c:v>
                </c:pt>
                <c:pt idx="172">
                  <c:v>5.0090083664368708</c:v>
                </c:pt>
                <c:pt idx="173">
                  <c:v>5.0132186558884868</c:v>
                </c:pt>
                <c:pt idx="174">
                  <c:v>5.0137968313925159</c:v>
                </c:pt>
                <c:pt idx="175">
                  <c:v>5.0148480503329917</c:v>
                </c:pt>
                <c:pt idx="176">
                  <c:v>5.0153549551840557</c:v>
                </c:pt>
                <c:pt idx="177">
                  <c:v>5.01557754620843</c:v>
                </c:pt>
                <c:pt idx="178">
                  <c:v>5.0155885398655338</c:v>
                </c:pt>
                <c:pt idx="179">
                  <c:v>5.0145470434030193</c:v>
                </c:pt>
                <c:pt idx="180">
                  <c:v>5.0135456719504186</c:v>
                </c:pt>
                <c:pt idx="181">
                  <c:v>5.0130617481175754</c:v>
                </c:pt>
                <c:pt idx="182">
                  <c:v>5.0111623877067268</c:v>
                </c:pt>
                <c:pt idx="183">
                  <c:v>5.0063448579889522</c:v>
                </c:pt>
                <c:pt idx="184">
                  <c:v>5.0035361799034703</c:v>
                </c:pt>
                <c:pt idx="185">
                  <c:v>4.9953945135607096</c:v>
                </c:pt>
                <c:pt idx="186">
                  <c:v>4.9950748746357503</c:v>
                </c:pt>
                <c:pt idx="187">
                  <c:v>4.9825213630562857</c:v>
                </c:pt>
                <c:pt idx="188">
                  <c:v>4.980252311913361</c:v>
                </c:pt>
                <c:pt idx="189">
                  <c:v>4.9695385132729983</c:v>
                </c:pt>
                <c:pt idx="190">
                  <c:v>4.9611959430206118</c:v>
                </c:pt>
                <c:pt idx="191">
                  <c:v>4.9385669036150119</c:v>
                </c:pt>
                <c:pt idx="192">
                  <c:v>4.9380707668302417</c:v>
                </c:pt>
                <c:pt idx="193">
                  <c:v>4.9281785461811056</c:v>
                </c:pt>
                <c:pt idx="194">
                  <c:v>4.9202537387443641</c:v>
                </c:pt>
                <c:pt idx="195">
                  <c:v>4.9160902682062426</c:v>
                </c:pt>
                <c:pt idx="196">
                  <c:v>4.9103726318787242</c:v>
                </c:pt>
                <c:pt idx="197">
                  <c:v>4.8993992024424715</c:v>
                </c:pt>
                <c:pt idx="198">
                  <c:v>4.8940487915879993</c:v>
                </c:pt>
                <c:pt idx="199">
                  <c:v>4.8894026225424287</c:v>
                </c:pt>
                <c:pt idx="200">
                  <c:v>4.8794327142269829</c:v>
                </c:pt>
                <c:pt idx="201">
                  <c:v>4.8733951610288377</c:v>
                </c:pt>
                <c:pt idx="202">
                  <c:v>4.8703535115171963</c:v>
                </c:pt>
                <c:pt idx="203">
                  <c:v>4.8619608909641618</c:v>
                </c:pt>
                <c:pt idx="204">
                  <c:v>4.8546953967739368</c:v>
                </c:pt>
                <c:pt idx="205">
                  <c:v>4.8538158567616341</c:v>
                </c:pt>
                <c:pt idx="206">
                  <c:v>4.845857648375854</c:v>
                </c:pt>
                <c:pt idx="207">
                  <c:v>4.8386988487915152</c:v>
                </c:pt>
                <c:pt idx="208">
                  <c:v>4.8382237889205122</c:v>
                </c:pt>
                <c:pt idx="209">
                  <c:v>4.8321376000363685</c:v>
                </c:pt>
                <c:pt idx="210">
                  <c:v>4.8264999059155409</c:v>
                </c:pt>
                <c:pt idx="211">
                  <c:v>4.8246439812586281</c:v>
                </c:pt>
                <c:pt idx="212">
                  <c:v>4.8213857232130097</c:v>
                </c:pt>
                <c:pt idx="213">
                  <c:v>4.8168995887461081</c:v>
                </c:pt>
                <c:pt idx="214">
                  <c:v>4.8146308858952116</c:v>
                </c:pt>
                <c:pt idx="215">
                  <c:v>4.8129186948969576</c:v>
                </c:pt>
                <c:pt idx="216">
                  <c:v>4.8099941699252469</c:v>
                </c:pt>
                <c:pt idx="217">
                  <c:v>4.8082774721107882</c:v>
                </c:pt>
                <c:pt idx="218">
                  <c:v>4.8078654898671989</c:v>
                </c:pt>
                <c:pt idx="219">
                  <c:v>4.8063887272487653</c:v>
                </c:pt>
                <c:pt idx="220">
                  <c:v>4.8055015221690418</c:v>
                </c:pt>
                <c:pt idx="221">
                  <c:v>4.8054498579815608</c:v>
                </c:pt>
                <c:pt idx="222">
                  <c:v>4.8053701412041621</c:v>
                </c:pt>
                <c:pt idx="223">
                  <c:v>4.8056671536451576</c:v>
                </c:pt>
                <c:pt idx="224">
                  <c:v>4.8059239193706214</c:v>
                </c:pt>
                <c:pt idx="225">
                  <c:v>4.8062820754708779</c:v>
                </c:pt>
                <c:pt idx="226">
                  <c:v>4.8071740245585763</c:v>
                </c:pt>
                <c:pt idx="227">
                  <c:v>4.8082740881802817</c:v>
                </c:pt>
                <c:pt idx="228">
                  <c:v>4.8087060580219889</c:v>
                </c:pt>
                <c:pt idx="229">
                  <c:v>4.8096619455745948</c:v>
                </c:pt>
                <c:pt idx="230">
                  <c:v>4.8113909188766204</c:v>
                </c:pt>
                <c:pt idx="231">
                  <c:v>4.8134558754991561</c:v>
                </c:pt>
                <c:pt idx="232">
                  <c:v>4.8137638855340219</c:v>
                </c:pt>
                <c:pt idx="233">
                  <c:v>4.8160649243613891</c:v>
                </c:pt>
                <c:pt idx="234">
                  <c:v>4.818907757734582</c:v>
                </c:pt>
                <c:pt idx="235">
                  <c:v>4.8213313690886155</c:v>
                </c:pt>
                <c:pt idx="236">
                  <c:v>4.8222175943281398</c:v>
                </c:pt>
                <c:pt idx="237">
                  <c:v>4.8258397309637662</c:v>
                </c:pt>
                <c:pt idx="238">
                  <c:v>4.8316303001064407</c:v>
                </c:pt>
                <c:pt idx="239">
                  <c:v>4.8326570729239835</c:v>
                </c:pt>
                <c:pt idx="240">
                  <c:v>4.8380354230223448</c:v>
                </c:pt>
                <c:pt idx="241">
                  <c:v>4.842249516147537</c:v>
                </c:pt>
                <c:pt idx="242">
                  <c:v>4.8433498514651161</c:v>
                </c:pt>
                <c:pt idx="243">
                  <c:v>4.8465632596193986</c:v>
                </c:pt>
                <c:pt idx="244">
                  <c:v>4.8525893479658579</c:v>
                </c:pt>
                <c:pt idx="245">
                  <c:v>4.8559555701367945</c:v>
                </c:pt>
                <c:pt idx="246">
                  <c:v>4.856225492966507</c:v>
                </c:pt>
                <c:pt idx="247">
                  <c:v>4.864918745402167</c:v>
                </c:pt>
                <c:pt idx="248">
                  <c:v>4.8702657464150265</c:v>
                </c:pt>
                <c:pt idx="249">
                  <c:v>4.8713402588047732</c:v>
                </c:pt>
                <c:pt idx="250">
                  <c:v>4.8786346137800507</c:v>
                </c:pt>
                <c:pt idx="251">
                  <c:v>4.885664589820129</c:v>
                </c:pt>
                <c:pt idx="252">
                  <c:v>4.8869272860891355</c:v>
                </c:pt>
                <c:pt idx="253">
                  <c:v>4.9002625589006295</c:v>
                </c:pt>
                <c:pt idx="254">
                  <c:v>4.9023210775132773</c:v>
                </c:pt>
                <c:pt idx="255">
                  <c:v>4.9111166846873209</c:v>
                </c:pt>
                <c:pt idx="256">
                  <c:v>4.9174037592729452</c:v>
                </c:pt>
                <c:pt idx="257">
                  <c:v>4.9190775557394524</c:v>
                </c:pt>
                <c:pt idx="258">
                  <c:v>4.9263061063750593</c:v>
                </c:pt>
                <c:pt idx="259">
                  <c:v>4.9298816062657425</c:v>
                </c:pt>
                <c:pt idx="260">
                  <c:v>4.9328165634267496</c:v>
                </c:pt>
                <c:pt idx="261">
                  <c:v>4.9380804746105174</c:v>
                </c:pt>
                <c:pt idx="262">
                  <c:v>4.9396435429223775</c:v>
                </c:pt>
                <c:pt idx="263">
                  <c:v>4.9424932184031762</c:v>
                </c:pt>
                <c:pt idx="264">
                  <c:v>4.9458986993696712</c:v>
                </c:pt>
                <c:pt idx="265">
                  <c:v>4.9465477168679</c:v>
                </c:pt>
                <c:pt idx="266">
                  <c:v>4.9487744979444459</c:v>
                </c:pt>
                <c:pt idx="267">
                  <c:v>4.9504645863689332</c:v>
                </c:pt>
                <c:pt idx="268">
                  <c:v>4.9505094842844937</c:v>
                </c:pt>
                <c:pt idx="269">
                  <c:v>4.9513996948909806</c:v>
                </c:pt>
                <c:pt idx="270">
                  <c:v>4.9515424671118327</c:v>
                </c:pt>
                <c:pt idx="271">
                  <c:v>4.9515163970340854</c:v>
                </c:pt>
                <c:pt idx="272">
                  <c:v>4.9510001006056985</c:v>
                </c:pt>
                <c:pt idx="273">
                  <c:v>4.9496227634250927</c:v>
                </c:pt>
                <c:pt idx="274">
                  <c:v>4.9493037781969278</c:v>
                </c:pt>
                <c:pt idx="275">
                  <c:v>4.9467875340489247</c:v>
                </c:pt>
                <c:pt idx="276">
                  <c:v>4.9448987526340051</c:v>
                </c:pt>
                <c:pt idx="277">
                  <c:v>4.9428476483374038</c:v>
                </c:pt>
                <c:pt idx="278">
                  <c:v>4.9378751522480835</c:v>
                </c:pt>
                <c:pt idx="279">
                  <c:v>4.9371757917052941</c:v>
                </c:pt>
                <c:pt idx="280">
                  <c:v>4.9328734530270273</c:v>
                </c:pt>
                <c:pt idx="281">
                  <c:v>4.9285746672406336</c:v>
                </c:pt>
                <c:pt idx="282">
                  <c:v>4.9263151422343423</c:v>
                </c:pt>
                <c:pt idx="283">
                  <c:v>4.9236580683989724</c:v>
                </c:pt>
                <c:pt idx="284">
                  <c:v>4.919077451272325</c:v>
                </c:pt>
                <c:pt idx="285">
                  <c:v>4.9143045319464784</c:v>
                </c:pt>
                <c:pt idx="286">
                  <c:v>4.9121936485653483</c:v>
                </c:pt>
                <c:pt idx="287">
                  <c:v>4.9093272707826632</c:v>
                </c:pt>
                <c:pt idx="288">
                  <c:v>4.9042811772218835</c:v>
                </c:pt>
                <c:pt idx="289">
                  <c:v>4.8945939200994708</c:v>
                </c:pt>
                <c:pt idx="290">
                  <c:v>4.8921729538693182</c:v>
                </c:pt>
                <c:pt idx="291">
                  <c:v>4.8856967406480658</c:v>
                </c:pt>
                <c:pt idx="292">
                  <c:v>4.8796307054223256</c:v>
                </c:pt>
                <c:pt idx="293">
                  <c:v>4.8735983802713667</c:v>
                </c:pt>
                <c:pt idx="294">
                  <c:v>4.8733565140404291</c:v>
                </c:pt>
                <c:pt idx="295">
                  <c:v>4.8630076350377314</c:v>
                </c:pt>
                <c:pt idx="296">
                  <c:v>4.8549285631317991</c:v>
                </c:pt>
                <c:pt idx="297">
                  <c:v>4.8503390402884898</c:v>
                </c:pt>
                <c:pt idx="298">
                  <c:v>4.8478231400250662</c:v>
                </c:pt>
                <c:pt idx="299">
                  <c:v>4.8413237116998564</c:v>
                </c:pt>
                <c:pt idx="300">
                  <c:v>4.8272065144897578</c:v>
                </c:pt>
                <c:pt idx="301">
                  <c:v>4.8258129017336202</c:v>
                </c:pt>
                <c:pt idx="302">
                  <c:v>4.8128169967338845</c:v>
                </c:pt>
                <c:pt idx="303">
                  <c:v>4.7994557351599152</c:v>
                </c:pt>
                <c:pt idx="304">
                  <c:v>4.7976293208823169</c:v>
                </c:pt>
                <c:pt idx="305">
                  <c:v>4.7870184731014973</c:v>
                </c:pt>
                <c:pt idx="306">
                  <c:v>4.7693304931693099</c:v>
                </c:pt>
                <c:pt idx="307">
                  <c:v>4.7666630767172222</c:v>
                </c:pt>
                <c:pt idx="308">
                  <c:v>4.753486896979819</c:v>
                </c:pt>
                <c:pt idx="309">
                  <c:v>4.7444568880433646</c:v>
                </c:pt>
                <c:pt idx="310">
                  <c:v>4.7342940889629004</c:v>
                </c:pt>
                <c:pt idx="311">
                  <c:v>4.7332518394407348</c:v>
                </c:pt>
                <c:pt idx="312">
                  <c:v>4.7151354689032434</c:v>
                </c:pt>
                <c:pt idx="313">
                  <c:v>4.7003415819567111</c:v>
                </c:pt>
                <c:pt idx="314">
                  <c:v>4.6966668721367943</c:v>
                </c:pt>
                <c:pt idx="315">
                  <c:v>4.6827275147698533</c:v>
                </c:pt>
                <c:pt idx="316">
                  <c:v>4.6706046898768747</c:v>
                </c:pt>
                <c:pt idx="317">
                  <c:v>4.6659611165254304</c:v>
                </c:pt>
                <c:pt idx="318">
                  <c:v>4.652910322314451</c:v>
                </c:pt>
                <c:pt idx="319">
                  <c:v>4.6317632668972255</c:v>
                </c:pt>
                <c:pt idx="320">
                  <c:v>4.6310855791388104</c:v>
                </c:pt>
                <c:pt idx="321">
                  <c:v>4.6134238541627388</c:v>
                </c:pt>
                <c:pt idx="322">
                  <c:v>4.6024090547478727</c:v>
                </c:pt>
                <c:pt idx="323">
                  <c:v>4.5975401074548401</c:v>
                </c:pt>
                <c:pt idx="324">
                  <c:v>4.5869464046659179</c:v>
                </c:pt>
                <c:pt idx="325">
                  <c:v>4.569929130309978</c:v>
                </c:pt>
                <c:pt idx="326">
                  <c:v>4.5645719252155796</c:v>
                </c:pt>
                <c:pt idx="327">
                  <c:v>4.5618883154446568</c:v>
                </c:pt>
                <c:pt idx="328">
                  <c:v>4.5487973782340889</c:v>
                </c:pt>
                <c:pt idx="329">
                  <c:v>4.5325815391782323</c:v>
                </c:pt>
                <c:pt idx="330">
                  <c:v>4.5283010434402335</c:v>
                </c:pt>
                <c:pt idx="331">
                  <c:v>4.5095146783492615</c:v>
                </c:pt>
                <c:pt idx="332">
                  <c:v>4.5014544289666159</c:v>
                </c:pt>
                <c:pt idx="333">
                  <c:v>4.4946601403858253</c:v>
                </c:pt>
                <c:pt idx="334">
                  <c:v>4.4806533380993052</c:v>
                </c:pt>
                <c:pt idx="335">
                  <c:v>4.4716321208784606</c:v>
                </c:pt>
                <c:pt idx="336">
                  <c:v>4.4706271904402897</c:v>
                </c:pt>
                <c:pt idx="337">
                  <c:v>4.4633341933044601</c:v>
                </c:pt>
                <c:pt idx="338">
                  <c:v>4.4529740870535504</c:v>
                </c:pt>
                <c:pt idx="339">
                  <c:v>4.4449996684526303</c:v>
                </c:pt>
                <c:pt idx="340">
                  <c:v>4.4425712813556038</c:v>
                </c:pt>
                <c:pt idx="341">
                  <c:v>4.436799041569536</c:v>
                </c:pt>
                <c:pt idx="342">
                  <c:v>4.4267917694604604</c:v>
                </c:pt>
                <c:pt idx="343">
                  <c:v>4.4197401157852791</c:v>
                </c:pt>
                <c:pt idx="344">
                  <c:v>4.4142906660909409</c:v>
                </c:pt>
                <c:pt idx="345">
                  <c:v>4.409727488435494</c:v>
                </c:pt>
                <c:pt idx="346">
                  <c:v>4.4014774543795321</c:v>
                </c:pt>
                <c:pt idx="347">
                  <c:v>4.3944542146530434</c:v>
                </c:pt>
                <c:pt idx="348">
                  <c:v>4.3861676424579388</c:v>
                </c:pt>
                <c:pt idx="349">
                  <c:v>4.3817086408315298</c:v>
                </c:pt>
                <c:pt idx="350">
                  <c:v>4.3718352519081396</c:v>
                </c:pt>
                <c:pt idx="351">
                  <c:v>4.3647081387188527</c:v>
                </c:pt>
                <c:pt idx="352">
                  <c:v>4.3577854447951276</c:v>
                </c:pt>
                <c:pt idx="353">
                  <c:v>4.354293973316806</c:v>
                </c:pt>
                <c:pt idx="354">
                  <c:v>4.34439304842045</c:v>
                </c:pt>
                <c:pt idx="355">
                  <c:v>4.328823361610203</c:v>
                </c:pt>
                <c:pt idx="356">
                  <c:v>4.3271942252740159</c:v>
                </c:pt>
                <c:pt idx="357">
                  <c:v>4.3146250663959167</c:v>
                </c:pt>
                <c:pt idx="358">
                  <c:v>4.3034065713366516</c:v>
                </c:pt>
                <c:pt idx="359">
                  <c:v>4.302204378856656</c:v>
                </c:pt>
                <c:pt idx="360">
                  <c:v>4.2968427614615265</c:v>
                </c:pt>
                <c:pt idx="361">
                  <c:v>4.290852738056592</c:v>
                </c:pt>
                <c:pt idx="362">
                  <c:v>4.2797709366284309</c:v>
                </c:pt>
                <c:pt idx="363">
                  <c:v>4.2787470809266948</c:v>
                </c:pt>
                <c:pt idx="364">
                  <c:v>4.274426561020805</c:v>
                </c:pt>
                <c:pt idx="365">
                  <c:v>4.2694003902315059</c:v>
                </c:pt>
                <c:pt idx="366">
                  <c:v>4.258764587002327</c:v>
                </c:pt>
                <c:pt idx="367">
                  <c:v>4.258436595039071</c:v>
                </c:pt>
                <c:pt idx="368">
                  <c:v>4.2518985677192758</c:v>
                </c:pt>
                <c:pt idx="369">
                  <c:v>4.2476688744258393</c:v>
                </c:pt>
                <c:pt idx="370">
                  <c:v>4.2417903996998811</c:v>
                </c:pt>
                <c:pt idx="371">
                  <c:v>4.2402257765735536</c:v>
                </c:pt>
                <c:pt idx="372">
                  <c:v>4.2354269232148773</c:v>
                </c:pt>
                <c:pt idx="373">
                  <c:v>4.2322212828916168</c:v>
                </c:pt>
                <c:pt idx="374">
                  <c:v>4.2286307516459987</c:v>
                </c:pt>
                <c:pt idx="375">
                  <c:v>4.225723699266708</c:v>
                </c:pt>
                <c:pt idx="376">
                  <c:v>4.2219452833856881</c:v>
                </c:pt>
                <c:pt idx="377">
                  <c:v>4.219316229782164</c:v>
                </c:pt>
                <c:pt idx="378">
                  <c:v>4.2174876787800812</c:v>
                </c:pt>
                <c:pt idx="379">
                  <c:v>4.2163325411308232</c:v>
                </c:pt>
                <c:pt idx="380">
                  <c:v>4.2138066963300762</c:v>
                </c:pt>
                <c:pt idx="381">
                  <c:v>4.2118873146122251</c:v>
                </c:pt>
                <c:pt idx="382">
                  <c:v>4.2106493073238687</c:v>
                </c:pt>
                <c:pt idx="383">
                  <c:v>4.21060429073093</c:v>
                </c:pt>
                <c:pt idx="384">
                  <c:v>4.2078039812095698</c:v>
                </c:pt>
                <c:pt idx="385">
                  <c:v>4.2060851327655495</c:v>
                </c:pt>
                <c:pt idx="386">
                  <c:v>4.2056506002895997</c:v>
                </c:pt>
                <c:pt idx="387">
                  <c:v>4.2043156507547064</c:v>
                </c:pt>
                <c:pt idx="388">
                  <c:v>4.2036426226959254</c:v>
                </c:pt>
                <c:pt idx="389">
                  <c:v>4.2031928048050666</c:v>
                </c:pt>
                <c:pt idx="390">
                  <c:v>4.2031386723156716</c:v>
                </c:pt>
                <c:pt idx="391">
                  <c:v>4.202685533435174</c:v>
                </c:pt>
                <c:pt idx="392">
                  <c:v>4.2024158273746108</c:v>
                </c:pt>
                <c:pt idx="393">
                  <c:v>4.2022413367331932</c:v>
                </c:pt>
                <c:pt idx="394">
                  <c:v>4.2022399620842581</c:v>
                </c:pt>
                <c:pt idx="395">
                  <c:v>4.2022627053777146</c:v>
                </c:pt>
                <c:pt idx="396">
                  <c:v>4.2025510421276344</c:v>
                </c:pt>
                <c:pt idx="397">
                  <c:v>4.2032134568950559</c:v>
                </c:pt>
                <c:pt idx="398">
                  <c:v>4.2032579206259095</c:v>
                </c:pt>
                <c:pt idx="399">
                  <c:v>4.204074174719616</c:v>
                </c:pt>
                <c:pt idx="400">
                  <c:v>4.2048385456573385</c:v>
                </c:pt>
                <c:pt idx="401">
                  <c:v>4.2057387189985169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E-4520-9EAC-E2D89EF9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93808"/>
        <c:axId val="453396760"/>
      </c:scatterChart>
      <c:valAx>
        <c:axId val="45339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396760"/>
        <c:crosses val="autoZero"/>
        <c:crossBetween val="midCat"/>
      </c:valAx>
      <c:valAx>
        <c:axId val="453396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393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wheel(Wr)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Sheet1!$H$1:$H$3</c:f>
              <c:strCache>
                <c:ptCount val="3"/>
                <c:pt idx="0">
                  <c:v>Tires-5</c:v>
                </c:pt>
                <c:pt idx="1">
                  <c:v>Angular Velocity3 (deg/sec) (right wheel)</c:v>
                </c:pt>
                <c:pt idx="2">
                  <c:v>WR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Sheet1!$H$4:$H$405</c:f>
              <c:numCache>
                <c:formatCode>General</c:formatCode>
                <c:ptCount val="402"/>
                <c:pt idx="0">
                  <c:v>0</c:v>
                </c:pt>
                <c:pt idx="1">
                  <c:v>0.23708552386371792</c:v>
                </c:pt>
                <c:pt idx="2">
                  <c:v>0.46718973089733906</c:v>
                </c:pt>
                <c:pt idx="3">
                  <c:v>0.55850536063818723</c:v>
                </c:pt>
                <c:pt idx="4">
                  <c:v>0.69687506355557227</c:v>
                </c:pt>
                <c:pt idx="5">
                  <c:v>0.86805695531092475</c:v>
                </c:pt>
                <c:pt idx="6">
                  <c:v>1.1170107212763727</c:v>
                </c:pt>
                <c:pt idx="7">
                  <c:v>1.170068731311726</c:v>
                </c:pt>
                <c:pt idx="8">
                  <c:v>1.4045013565675821</c:v>
                </c:pt>
                <c:pt idx="9">
                  <c:v>1.641307627672846</c:v>
                </c:pt>
                <c:pt idx="10">
                  <c:v>1.6755160819145598</c:v>
                </c:pt>
                <c:pt idx="11">
                  <c:v>1.878393153737864</c:v>
                </c:pt>
                <c:pt idx="12">
                  <c:v>2.1209241051335095</c:v>
                </c:pt>
                <c:pt idx="13">
                  <c:v>2.2340214425527418</c:v>
                </c:pt>
                <c:pt idx="14">
                  <c:v>2.4082751152654125</c:v>
                </c:pt>
                <c:pt idx="15">
                  <c:v>2.7736772461632686</c:v>
                </c:pt>
                <c:pt idx="16">
                  <c:v>2.7925268031909272</c:v>
                </c:pt>
                <c:pt idx="17">
                  <c:v>3.0240272763326086</c:v>
                </c:pt>
                <c:pt idx="18">
                  <c:v>3.2669771125261744</c:v>
                </c:pt>
                <c:pt idx="19">
                  <c:v>3.351032163829113</c:v>
                </c:pt>
                <c:pt idx="20">
                  <c:v>3.5128590910338109</c:v>
                </c:pt>
                <c:pt idx="21">
                  <c:v>3.7685149222975505</c:v>
                </c:pt>
                <c:pt idx="22">
                  <c:v>3.9095375244673156</c:v>
                </c:pt>
                <c:pt idx="23">
                  <c:v>4.0694096838761684</c:v>
                </c:pt>
                <c:pt idx="24">
                  <c:v>4.3810556776414851</c:v>
                </c:pt>
                <c:pt idx="25">
                  <c:v>4.4680428851055014</c:v>
                </c:pt>
                <c:pt idx="26">
                  <c:v>4.6411795469835537</c:v>
                </c:pt>
                <c:pt idx="27">
                  <c:v>4.8936239675265094</c:v>
                </c:pt>
                <c:pt idx="28">
                  <c:v>5.0265482457436867</c:v>
                </c:pt>
                <c:pt idx="29">
                  <c:v>5.1464872734850218</c:v>
                </c:pt>
                <c:pt idx="30">
                  <c:v>5.4077281533857366</c:v>
                </c:pt>
                <c:pt idx="31">
                  <c:v>5.5850536063818721</c:v>
                </c:pt>
                <c:pt idx="32">
                  <c:v>5.6984301949621319</c:v>
                </c:pt>
                <c:pt idx="33">
                  <c:v>5.9952757937156758</c:v>
                </c:pt>
                <c:pt idx="34">
                  <c:v>6.1435589670200574</c:v>
                </c:pt>
                <c:pt idx="35">
                  <c:v>6.2614035974006308</c:v>
                </c:pt>
                <c:pt idx="36">
                  <c:v>6.5170664073605566</c:v>
                </c:pt>
                <c:pt idx="37">
                  <c:v>6.7020643276582437</c:v>
                </c:pt>
                <c:pt idx="38">
                  <c:v>6.7732737592403618</c:v>
                </c:pt>
                <c:pt idx="39">
                  <c:v>6.9813009820361609</c:v>
                </c:pt>
                <c:pt idx="40">
                  <c:v>6.9813170079773359</c:v>
                </c:pt>
                <c:pt idx="41">
                  <c:v>6.9813170084571272</c:v>
                </c:pt>
                <c:pt idx="42">
                  <c:v>6.9813170086320611</c:v>
                </c:pt>
                <c:pt idx="43">
                  <c:v>6.9813170102589002</c:v>
                </c:pt>
                <c:pt idx="44">
                  <c:v>6.9813170079773359</c:v>
                </c:pt>
                <c:pt idx="45">
                  <c:v>6.981317008050727</c:v>
                </c:pt>
                <c:pt idx="46">
                  <c:v>6.9813170070978288</c:v>
                </c:pt>
                <c:pt idx="47">
                  <c:v>6.9813170079773359</c:v>
                </c:pt>
                <c:pt idx="48">
                  <c:v>6.9813170079385545</c:v>
                </c:pt>
                <c:pt idx="49">
                  <c:v>6.9813170079773359</c:v>
                </c:pt>
                <c:pt idx="50">
                  <c:v>6.981317009912801</c:v>
                </c:pt>
                <c:pt idx="51">
                  <c:v>6.981317004538897</c:v>
                </c:pt>
                <c:pt idx="52">
                  <c:v>6.9813170079773359</c:v>
                </c:pt>
                <c:pt idx="53">
                  <c:v>6.9813170122145936</c:v>
                </c:pt>
                <c:pt idx="54">
                  <c:v>6.9813170079652931</c:v>
                </c:pt>
                <c:pt idx="55">
                  <c:v>6.9813170107985902</c:v>
                </c:pt>
                <c:pt idx="56">
                  <c:v>6.9813170092436767</c:v>
                </c:pt>
                <c:pt idx="57">
                  <c:v>6.9813170085154557</c:v>
                </c:pt>
                <c:pt idx="58">
                  <c:v>6.9813170079598823</c:v>
                </c:pt>
                <c:pt idx="59">
                  <c:v>6.9813170043442758</c:v>
                </c:pt>
                <c:pt idx="60">
                  <c:v>6.9813170080649343</c:v>
                </c:pt>
                <c:pt idx="61">
                  <c:v>6.9813170114575573</c:v>
                </c:pt>
                <c:pt idx="62">
                  <c:v>6.9813170079544538</c:v>
                </c:pt>
                <c:pt idx="63">
                  <c:v>6.9813170088765473</c:v>
                </c:pt>
                <c:pt idx="64">
                  <c:v>6.9813170049316833</c:v>
                </c:pt>
                <c:pt idx="65">
                  <c:v>6.9813170079490439</c:v>
                </c:pt>
                <c:pt idx="66">
                  <c:v>6.981317004199588</c:v>
                </c:pt>
                <c:pt idx="67">
                  <c:v>6.981317008733761</c:v>
                </c:pt>
                <c:pt idx="68">
                  <c:v>6.9813170073908006</c:v>
                </c:pt>
                <c:pt idx="69">
                  <c:v>6.9813170079436153</c:v>
                </c:pt>
                <c:pt idx="70">
                  <c:v>6.9813170082166378</c:v>
                </c:pt>
                <c:pt idx="71">
                  <c:v>6.9813170035938015</c:v>
                </c:pt>
                <c:pt idx="72">
                  <c:v>6.9813170086968652</c:v>
                </c:pt>
                <c:pt idx="73">
                  <c:v>6.9813170079773359</c:v>
                </c:pt>
                <c:pt idx="74">
                  <c:v>6.9813170093281336</c:v>
                </c:pt>
                <c:pt idx="75">
                  <c:v>6.9813170085921108</c:v>
                </c:pt>
                <c:pt idx="76">
                  <c:v>6.9813170079773359</c:v>
                </c:pt>
                <c:pt idx="77">
                  <c:v>6.9813170128362971</c:v>
                </c:pt>
                <c:pt idx="78">
                  <c:v>6.9811717336285319</c:v>
                </c:pt>
                <c:pt idx="79">
                  <c:v>6.9696814796307009</c:v>
                </c:pt>
                <c:pt idx="80">
                  <c:v>6.7657339335555866</c:v>
                </c:pt>
                <c:pt idx="81">
                  <c:v>6.6020918678137601</c:v>
                </c:pt>
                <c:pt idx="82">
                  <c:v>6.4228116473391328</c:v>
                </c:pt>
                <c:pt idx="83">
                  <c:v>6.3435038857649939</c:v>
                </c:pt>
                <c:pt idx="84">
                  <c:v>6.0353485540898628</c:v>
                </c:pt>
                <c:pt idx="85">
                  <c:v>5.8643062867009474</c:v>
                </c:pt>
                <c:pt idx="86">
                  <c:v>5.8455963572623881</c:v>
                </c:pt>
                <c:pt idx="87">
                  <c:v>5.7052718867109187</c:v>
                </c:pt>
                <c:pt idx="88">
                  <c:v>5.4765639338101657</c:v>
                </c:pt>
                <c:pt idx="89">
                  <c:v>5.3226957114302591</c:v>
                </c:pt>
                <c:pt idx="90">
                  <c:v>5.3058009260627621</c:v>
                </c:pt>
                <c:pt idx="91">
                  <c:v>5.0197065562173133</c:v>
                </c:pt>
                <c:pt idx="92">
                  <c:v>4.7472955654245768</c:v>
                </c:pt>
                <c:pt idx="93">
                  <c:v>4.6984263504426478</c:v>
                </c:pt>
                <c:pt idx="94">
                  <c:v>4.4110753375134184</c:v>
                </c:pt>
                <c:pt idx="95">
                  <c:v>4.2640488013356963</c:v>
                </c:pt>
                <c:pt idx="96">
                  <c:v>4.1887902047863905</c:v>
                </c:pt>
                <c:pt idx="97">
                  <c:v>3.9998757697053819</c:v>
                </c:pt>
                <c:pt idx="98">
                  <c:v>3.6882297751833777</c:v>
                </c:pt>
                <c:pt idx="99">
                  <c:v>3.6302848441482056</c:v>
                </c:pt>
                <c:pt idx="100">
                  <c:v>3.406743073666358</c:v>
                </c:pt>
                <c:pt idx="101">
                  <c:v>3.2094510557439566</c:v>
                </c:pt>
                <c:pt idx="102">
                  <c:v>3.0717794835100198</c:v>
                </c:pt>
                <c:pt idx="103">
                  <c:v>3.0008493014896138</c:v>
                </c:pt>
                <c:pt idx="104">
                  <c:v>2.6767765659123732</c:v>
                </c:pt>
                <c:pt idx="105">
                  <c:v>2.5321236805004275</c:v>
                </c:pt>
                <c:pt idx="106">
                  <c:v>2.5132741228718345</c:v>
                </c:pt>
                <c:pt idx="107">
                  <c:v>2.3321787600119079</c:v>
                </c:pt>
                <c:pt idx="108">
                  <c:v>2.1427058165194426</c:v>
                </c:pt>
                <c:pt idx="109">
                  <c:v>1.9547687622978422</c:v>
                </c:pt>
                <c:pt idx="110">
                  <c:v>1.726619321262665</c:v>
                </c:pt>
                <c:pt idx="111">
                  <c:v>1.3962634015954636</c:v>
                </c:pt>
                <c:pt idx="112">
                  <c:v>1.350186711672938</c:v>
                </c:pt>
                <c:pt idx="113">
                  <c:v>0.93968526580212475</c:v>
                </c:pt>
                <c:pt idx="114">
                  <c:v>0.83775804095727646</c:v>
                </c:pt>
                <c:pt idx="115">
                  <c:v>0.71153582985182107</c:v>
                </c:pt>
                <c:pt idx="116">
                  <c:v>0.28330184416210191</c:v>
                </c:pt>
                <c:pt idx="117">
                  <c:v>0.27925268031908573</c:v>
                </c:pt>
                <c:pt idx="118">
                  <c:v>3.4624950252012108E-3</c:v>
                </c:pt>
                <c:pt idx="119">
                  <c:v>1.811446798578141E-18</c:v>
                </c:pt>
                <c:pt idx="120">
                  <c:v>-3.6536129796121586E-10</c:v>
                </c:pt>
                <c:pt idx="121">
                  <c:v>-1.4217656645929653E-9</c:v>
                </c:pt>
                <c:pt idx="122">
                  <c:v>-3.0287882086719044E-9</c:v>
                </c:pt>
                <c:pt idx="123">
                  <c:v>-1.2252393232479317E-18</c:v>
                </c:pt>
                <c:pt idx="124">
                  <c:v>1.8386936098915909E-9</c:v>
                </c:pt>
                <c:pt idx="125">
                  <c:v>-7.6370333746846895E-11</c:v>
                </c:pt>
                <c:pt idx="126">
                  <c:v>5.1603360618999313E-20</c:v>
                </c:pt>
                <c:pt idx="127">
                  <c:v>-8.8145028790645893E-11</c:v>
                </c:pt>
                <c:pt idx="128">
                  <c:v>6.4136770401727277E-10</c:v>
                </c:pt>
                <c:pt idx="129">
                  <c:v>-1.1182404967837118E-18</c:v>
                </c:pt>
                <c:pt idx="130">
                  <c:v>-5.4977919684288633E-9</c:v>
                </c:pt>
                <c:pt idx="131">
                  <c:v>1.3216532680600654E-9</c:v>
                </c:pt>
                <c:pt idx="132">
                  <c:v>-7.4831294841825874E-20</c:v>
                </c:pt>
                <c:pt idx="133">
                  <c:v>2.227042981059453E-10</c:v>
                </c:pt>
                <c:pt idx="134">
                  <c:v>-2.5798265441314202E-9</c:v>
                </c:pt>
                <c:pt idx="135">
                  <c:v>-1.0164895439832642E-17</c:v>
                </c:pt>
                <c:pt idx="136">
                  <c:v>1.4840124686447921E-9</c:v>
                </c:pt>
                <c:pt idx="137">
                  <c:v>6.806983324934446E-10</c:v>
                </c:pt>
                <c:pt idx="138">
                  <c:v>7.4400638014998934E-18</c:v>
                </c:pt>
                <c:pt idx="139">
                  <c:v>2.2024243751044556E-9</c:v>
                </c:pt>
                <c:pt idx="140">
                  <c:v>2.2902116481800325E-9</c:v>
                </c:pt>
                <c:pt idx="141">
                  <c:v>-4.4543402563257023E-9</c:v>
                </c:pt>
                <c:pt idx="142">
                  <c:v>1.3937155905941721E-18</c:v>
                </c:pt>
                <c:pt idx="143">
                  <c:v>2.864523608993423E-9</c:v>
                </c:pt>
                <c:pt idx="144">
                  <c:v>-5.3634888331604797E-9</c:v>
                </c:pt>
                <c:pt idx="145">
                  <c:v>2.1888669467625017E-17</c:v>
                </c:pt>
                <c:pt idx="146">
                  <c:v>-1.8937457414856255E-9</c:v>
                </c:pt>
                <c:pt idx="147">
                  <c:v>-3.9933570211161817E-9</c:v>
                </c:pt>
                <c:pt idx="148">
                  <c:v>7.7503057259275613E-17</c:v>
                </c:pt>
                <c:pt idx="149">
                  <c:v>4.2748290527794695E-9</c:v>
                </c:pt>
                <c:pt idx="150">
                  <c:v>1.786646669023824E-17</c:v>
                </c:pt>
                <c:pt idx="151">
                  <c:v>-1.5173631793857184E-9</c:v>
                </c:pt>
                <c:pt idx="152">
                  <c:v>-1.922930777592032E-9</c:v>
                </c:pt>
                <c:pt idx="153">
                  <c:v>-4.7829092079563283E-17</c:v>
                </c:pt>
                <c:pt idx="154">
                  <c:v>3.0189204632918468E-10</c:v>
                </c:pt>
                <c:pt idx="155">
                  <c:v>1.1856830363787564E-9</c:v>
                </c:pt>
                <c:pt idx="156">
                  <c:v>-5.6825279711121719E-4</c:v>
                </c:pt>
                <c:pt idx="157">
                  <c:v>-5.8177641733176376E-3</c:v>
                </c:pt>
                <c:pt idx="158">
                  <c:v>-0.20301669847891973</c:v>
                </c:pt>
                <c:pt idx="159">
                  <c:v>-0.27925268031909445</c:v>
                </c:pt>
                <c:pt idx="160">
                  <c:v>-0.40400881201130751</c:v>
                </c:pt>
                <c:pt idx="161">
                  <c:v>-0.48387508191516077</c:v>
                </c:pt>
                <c:pt idx="162">
                  <c:v>-0.55850536063818368</c:v>
                </c:pt>
                <c:pt idx="163">
                  <c:v>-0.59110811076527259</c:v>
                </c:pt>
                <c:pt idx="164">
                  <c:v>-0.67104418900817964</c:v>
                </c:pt>
                <c:pt idx="165">
                  <c:v>-0.83699009687483394</c:v>
                </c:pt>
                <c:pt idx="166">
                  <c:v>-0.83775804095727646</c:v>
                </c:pt>
                <c:pt idx="167">
                  <c:v>-0.9629330548638666</c:v>
                </c:pt>
                <c:pt idx="168">
                  <c:v>-1.1170107212763727</c:v>
                </c:pt>
                <c:pt idx="169">
                  <c:v>-1.133556444084852</c:v>
                </c:pt>
                <c:pt idx="170">
                  <c:v>-1.3510244705308105</c:v>
                </c:pt>
                <c:pt idx="171">
                  <c:v>-1.3962634015954689</c:v>
                </c:pt>
                <c:pt idx="172">
                  <c:v>-1.4429684144716597</c:v>
                </c:pt>
                <c:pt idx="173">
                  <c:v>-1.6360716373960544</c:v>
                </c:pt>
                <c:pt idx="174">
                  <c:v>-1.6755160819145667</c:v>
                </c:pt>
                <c:pt idx="175">
                  <c:v>-1.7729054552415904</c:v>
                </c:pt>
                <c:pt idx="176">
                  <c:v>-1.8492810585727193</c:v>
                </c:pt>
                <c:pt idx="177">
                  <c:v>-1.9192338589305686</c:v>
                </c:pt>
                <c:pt idx="178">
                  <c:v>-1.9547687622336665</c:v>
                </c:pt>
                <c:pt idx="179">
                  <c:v>-2.1268582241598399</c:v>
                </c:pt>
                <c:pt idx="180">
                  <c:v>-2.2032338340999722</c:v>
                </c:pt>
                <c:pt idx="181">
                  <c:v>-2.2340214425527591</c:v>
                </c:pt>
                <c:pt idx="182">
                  <c:v>-2.3343429672171472</c:v>
                </c:pt>
                <c:pt idx="183">
                  <c:v>-2.5132741228718518</c:v>
                </c:pt>
                <c:pt idx="184">
                  <c:v>-2.5950253438610611</c:v>
                </c:pt>
                <c:pt idx="185">
                  <c:v>-2.7925268031909445</c:v>
                </c:pt>
                <c:pt idx="186">
                  <c:v>-2.7993684926157214</c:v>
                </c:pt>
                <c:pt idx="187">
                  <c:v>-3.0340803711048419</c:v>
                </c:pt>
                <c:pt idx="188">
                  <c:v>-3.0717794835100372</c:v>
                </c:pt>
                <c:pt idx="189">
                  <c:v>-3.2362593099614467</c:v>
                </c:pt>
                <c:pt idx="190">
                  <c:v>-3.3510321638291303</c:v>
                </c:pt>
                <c:pt idx="191">
                  <c:v>-3.0717794835100025</c:v>
                </c:pt>
                <c:pt idx="192">
                  <c:v>-3.0539771260476853</c:v>
                </c:pt>
                <c:pt idx="193">
                  <c:v>-2.6916467723139017</c:v>
                </c:pt>
                <c:pt idx="194">
                  <c:v>-2.391519954784826</c:v>
                </c:pt>
                <c:pt idx="195">
                  <c:v>-2.2340214425527418</c:v>
                </c:pt>
                <c:pt idx="196">
                  <c:v>-2.0218592219087861</c:v>
                </c:pt>
                <c:pt idx="197">
                  <c:v>-1.6109388961192017</c:v>
                </c:pt>
                <c:pt idx="198">
                  <c:v>-1.3962634015954654</c:v>
                </c:pt>
                <c:pt idx="199">
                  <c:v>-1.2081867198789453</c:v>
                </c:pt>
                <c:pt idx="200">
                  <c:v>-0.81067053028901104</c:v>
                </c:pt>
                <c:pt idx="201">
                  <c:v>-0.55850536063818201</c:v>
                </c:pt>
                <c:pt idx="202">
                  <c:v>-0.42802454523130706</c:v>
                </c:pt>
                <c:pt idx="203">
                  <c:v>-5.8782690646051093E-2</c:v>
                </c:pt>
                <c:pt idx="204">
                  <c:v>0.27925268031910494</c:v>
                </c:pt>
                <c:pt idx="205">
                  <c:v>0.32051226277915207</c:v>
                </c:pt>
                <c:pt idx="206">
                  <c:v>0.70357712393696248</c:v>
                </c:pt>
                <c:pt idx="207">
                  <c:v>1.0906213421180584</c:v>
                </c:pt>
                <c:pt idx="208">
                  <c:v>1.1170107212763971</c:v>
                </c:pt>
                <c:pt idx="209">
                  <c:v>1.4634236715727467</c:v>
                </c:pt>
                <c:pt idx="210">
                  <c:v>1.826382342096815</c:v>
                </c:pt>
                <c:pt idx="211">
                  <c:v>1.954768762233684</c:v>
                </c:pt>
                <c:pt idx="212">
                  <c:v>2.195624199011188</c:v>
                </c:pt>
                <c:pt idx="213">
                  <c:v>2.5803645790165723</c:v>
                </c:pt>
                <c:pt idx="214">
                  <c:v>2.79252680319098</c:v>
                </c:pt>
                <c:pt idx="215">
                  <c:v>2.9695031920840345</c:v>
                </c:pt>
                <c:pt idx="216">
                  <c:v>3.350683097061439</c:v>
                </c:pt>
                <c:pt idx="217">
                  <c:v>3.6302848441482753</c:v>
                </c:pt>
                <c:pt idx="218">
                  <c:v>3.7084057816967206</c:v>
                </c:pt>
                <c:pt idx="219">
                  <c:v>4.0680134211768761</c:v>
                </c:pt>
                <c:pt idx="220">
                  <c:v>4.4278304989345108</c:v>
                </c:pt>
                <c:pt idx="221">
                  <c:v>4.4680428851055529</c:v>
                </c:pt>
                <c:pt idx="222">
                  <c:v>4.8228334152462686</c:v>
                </c:pt>
                <c:pt idx="223">
                  <c:v>5.1533289618832834</c:v>
                </c:pt>
                <c:pt idx="224">
                  <c:v>5.3058009260628314</c:v>
                </c:pt>
                <c:pt idx="225">
                  <c:v>5.4662315911457151</c:v>
                </c:pt>
                <c:pt idx="226">
                  <c:v>5.7655206500458487</c:v>
                </c:pt>
                <c:pt idx="227">
                  <c:v>6.0486828697397019</c:v>
                </c:pt>
                <c:pt idx="228">
                  <c:v>6.1435589670201098</c:v>
                </c:pt>
                <c:pt idx="229">
                  <c:v>6.3331017233501701</c:v>
                </c:pt>
                <c:pt idx="230">
                  <c:v>6.6330191016572817</c:v>
                </c:pt>
                <c:pt idx="231">
                  <c:v>6.9276642944895626</c:v>
                </c:pt>
                <c:pt idx="232">
                  <c:v>6.9522281871107579</c:v>
                </c:pt>
                <c:pt idx="233">
                  <c:v>6.7884930292026961</c:v>
                </c:pt>
                <c:pt idx="234">
                  <c:v>6.5805894121928761</c:v>
                </c:pt>
                <c:pt idx="235">
                  <c:v>6.4228116473391328</c:v>
                </c:pt>
                <c:pt idx="236">
                  <c:v>6.3684970001063039</c:v>
                </c:pt>
                <c:pt idx="237">
                  <c:v>6.160733006063114</c:v>
                </c:pt>
                <c:pt idx="238">
                  <c:v>5.8643062867009474</c:v>
                </c:pt>
                <c:pt idx="239">
                  <c:v>5.8139011785643246</c:v>
                </c:pt>
                <c:pt idx="240">
                  <c:v>5.553916932635202</c:v>
                </c:pt>
                <c:pt idx="241">
                  <c:v>5.3563456595480048</c:v>
                </c:pt>
                <c:pt idx="242">
                  <c:v>5.3058009260627621</c:v>
                </c:pt>
                <c:pt idx="243">
                  <c:v>5.1611480350510845</c:v>
                </c:pt>
                <c:pt idx="244">
                  <c:v>4.900744913675271</c:v>
                </c:pt>
                <c:pt idx="245">
                  <c:v>4.7586052990097354</c:v>
                </c:pt>
                <c:pt idx="246">
                  <c:v>4.7472955654245768</c:v>
                </c:pt>
                <c:pt idx="247">
                  <c:v>4.3944598038092018</c:v>
                </c:pt>
                <c:pt idx="248">
                  <c:v>4.1887902047863905</c:v>
                </c:pt>
                <c:pt idx="249">
                  <c:v>4.1482985627488951</c:v>
                </c:pt>
                <c:pt idx="250">
                  <c:v>3.8795178628705433</c:v>
                </c:pt>
                <c:pt idx="251">
                  <c:v>3.6302848441481883</c:v>
                </c:pt>
                <c:pt idx="252">
                  <c:v>3.5868610520031154</c:v>
                </c:pt>
                <c:pt idx="253">
                  <c:v>3.1420115309784764</c:v>
                </c:pt>
                <c:pt idx="254">
                  <c:v>3.0717794835099852</c:v>
                </c:pt>
                <c:pt idx="255">
                  <c:v>2.7560843259934535</c:v>
                </c:pt>
                <c:pt idx="256">
                  <c:v>2.5132741228717999</c:v>
                </c:pt>
                <c:pt idx="257">
                  <c:v>2.4448572170605098</c:v>
                </c:pt>
                <c:pt idx="258">
                  <c:v>2.1262299085083218</c:v>
                </c:pt>
                <c:pt idx="259">
                  <c:v>1.9547687622335967</c:v>
                </c:pt>
                <c:pt idx="260">
                  <c:v>1.8038326885366429</c:v>
                </c:pt>
                <c:pt idx="261">
                  <c:v>1.497771751538683</c:v>
                </c:pt>
                <c:pt idx="262">
                  <c:v>1.3962634015954183</c:v>
                </c:pt>
                <c:pt idx="263">
                  <c:v>1.1936655842929353</c:v>
                </c:pt>
                <c:pt idx="264">
                  <c:v>0.90254466447093229</c:v>
                </c:pt>
                <c:pt idx="265">
                  <c:v>0.83775804095723627</c:v>
                </c:pt>
                <c:pt idx="266">
                  <c:v>0.57651715945299109</c:v>
                </c:pt>
                <c:pt idx="267">
                  <c:v>0.28930577558870474</c:v>
                </c:pt>
                <c:pt idx="268">
                  <c:v>0.27925268031905953</c:v>
                </c:pt>
                <c:pt idx="269">
                  <c:v>6.292167361964608E-3</c:v>
                </c:pt>
                <c:pt idx="270">
                  <c:v>1.2716160043475142E-9</c:v>
                </c:pt>
                <c:pt idx="271">
                  <c:v>5.0239900215429754E-18</c:v>
                </c:pt>
                <c:pt idx="272">
                  <c:v>-1.2822438566285685E-9</c:v>
                </c:pt>
                <c:pt idx="273">
                  <c:v>-6.3790399523236145E-18</c:v>
                </c:pt>
                <c:pt idx="274">
                  <c:v>-1.7877211564536522E-9</c:v>
                </c:pt>
                <c:pt idx="275">
                  <c:v>-7.5402962025481019E-10</c:v>
                </c:pt>
                <c:pt idx="276">
                  <c:v>-1.57665444705563E-17</c:v>
                </c:pt>
                <c:pt idx="277">
                  <c:v>1.0019163635123091E-9</c:v>
                </c:pt>
                <c:pt idx="278">
                  <c:v>5.4772072380313001E-10</c:v>
                </c:pt>
                <c:pt idx="279">
                  <c:v>1.8069718919266231E-17</c:v>
                </c:pt>
                <c:pt idx="280">
                  <c:v>1.7677702767223101E-9</c:v>
                </c:pt>
                <c:pt idx="281">
                  <c:v>1.5141958036708498E-9</c:v>
                </c:pt>
                <c:pt idx="282">
                  <c:v>-1.6866425565463475E-17</c:v>
                </c:pt>
                <c:pt idx="283">
                  <c:v>-1.6899635782606301E-9</c:v>
                </c:pt>
                <c:pt idx="284">
                  <c:v>2.4615734829726664E-10</c:v>
                </c:pt>
                <c:pt idx="285">
                  <c:v>-2.3774154748862764E-9</c:v>
                </c:pt>
                <c:pt idx="286">
                  <c:v>1.1783974000797794E-17</c:v>
                </c:pt>
                <c:pt idx="287">
                  <c:v>1.0719289020086248E-9</c:v>
                </c:pt>
                <c:pt idx="288">
                  <c:v>1.0885837642118754E-9</c:v>
                </c:pt>
                <c:pt idx="289">
                  <c:v>-9.7073199114551479E-17</c:v>
                </c:pt>
                <c:pt idx="290">
                  <c:v>5.4104116991844966E-11</c:v>
                </c:pt>
                <c:pt idx="291">
                  <c:v>-1.289436657525193E-10</c:v>
                </c:pt>
                <c:pt idx="292">
                  <c:v>-1.136754845642959E-9</c:v>
                </c:pt>
                <c:pt idx="293">
                  <c:v>-1.3692246896127849E-9</c:v>
                </c:pt>
                <c:pt idx="294">
                  <c:v>-8.2754585097803901E-17</c:v>
                </c:pt>
                <c:pt idx="295">
                  <c:v>4.0302046810036778E-10</c:v>
                </c:pt>
                <c:pt idx="296">
                  <c:v>2.353518099487494E-9</c:v>
                </c:pt>
                <c:pt idx="297">
                  <c:v>-1.1850309175599024E-17</c:v>
                </c:pt>
                <c:pt idx="298">
                  <c:v>-1.5582583108147672E-9</c:v>
                </c:pt>
                <c:pt idx="299">
                  <c:v>-1.0038535997059287E-9</c:v>
                </c:pt>
                <c:pt idx="300">
                  <c:v>3.2531482591819748E-9</c:v>
                </c:pt>
                <c:pt idx="301">
                  <c:v>6.9350628347934472E-18</c:v>
                </c:pt>
                <c:pt idx="302">
                  <c:v>-1.6501740849909529E-10</c:v>
                </c:pt>
                <c:pt idx="303">
                  <c:v>5.6697862426740709E-10</c:v>
                </c:pt>
                <c:pt idx="304">
                  <c:v>-3.6200883433882918E-18</c:v>
                </c:pt>
                <c:pt idx="305">
                  <c:v>-2.9498630395894854E-9</c:v>
                </c:pt>
                <c:pt idx="306">
                  <c:v>-9.565787594257258E-10</c:v>
                </c:pt>
                <c:pt idx="307">
                  <c:v>-2.7447904445103285E-17</c:v>
                </c:pt>
                <c:pt idx="308">
                  <c:v>6.1177811083363868E-11</c:v>
                </c:pt>
                <c:pt idx="309">
                  <c:v>1.5157520263157454E-9</c:v>
                </c:pt>
                <c:pt idx="310">
                  <c:v>-1.1635528346647439E-2</c:v>
                </c:pt>
                <c:pt idx="311">
                  <c:v>-2.3709430936087631E-2</c:v>
                </c:pt>
                <c:pt idx="312">
                  <c:v>-0.31932544010540048</c:v>
                </c:pt>
                <c:pt idx="313">
                  <c:v>-0.5585053606382343</c:v>
                </c:pt>
                <c:pt idx="314">
                  <c:v>-0.61728804926583536</c:v>
                </c:pt>
                <c:pt idx="315">
                  <c:v>-0.84096944657926442</c:v>
                </c:pt>
                <c:pt idx="316">
                  <c:v>-1.0403558607326258</c:v>
                </c:pt>
                <c:pt idx="317">
                  <c:v>-1.1170107212764266</c:v>
                </c:pt>
                <c:pt idx="318">
                  <c:v>-1.3314767761889617</c:v>
                </c:pt>
                <c:pt idx="319">
                  <c:v>-1.6755160819146155</c:v>
                </c:pt>
                <c:pt idx="320">
                  <c:v>-1.6865465629947709</c:v>
                </c:pt>
                <c:pt idx="321">
                  <c:v>-1.9748749563205272</c:v>
                </c:pt>
                <c:pt idx="322">
                  <c:v>-2.1545740539431906</c:v>
                </c:pt>
                <c:pt idx="323">
                  <c:v>-2.2340214425527942</c:v>
                </c:pt>
                <c:pt idx="324">
                  <c:v>-2.4088336210541805</c:v>
                </c:pt>
                <c:pt idx="325">
                  <c:v>-2.6995356625873432</c:v>
                </c:pt>
                <c:pt idx="326">
                  <c:v>-2.79252680319098</c:v>
                </c:pt>
                <c:pt idx="327">
                  <c:v>-2.8391620021735138</c:v>
                </c:pt>
                <c:pt idx="328">
                  <c:v>-3.0667529364768442</c:v>
                </c:pt>
                <c:pt idx="329">
                  <c:v>-3.3510321638291654</c:v>
                </c:pt>
                <c:pt idx="330">
                  <c:v>-3.4269888916145215</c:v>
                </c:pt>
                <c:pt idx="331">
                  <c:v>-3.763907248531654</c:v>
                </c:pt>
                <c:pt idx="332">
                  <c:v>-3.9095375244673507</c:v>
                </c:pt>
                <c:pt idx="333">
                  <c:v>-4.0333860874270497</c:v>
                </c:pt>
                <c:pt idx="334">
                  <c:v>-4.2956043534412425</c:v>
                </c:pt>
                <c:pt idx="335">
                  <c:v>-4.4680428851055183</c:v>
                </c:pt>
                <c:pt idx="336">
                  <c:v>-4.4873113208792379</c:v>
                </c:pt>
                <c:pt idx="337">
                  <c:v>-4.6270772855842566</c:v>
                </c:pt>
                <c:pt idx="338">
                  <c:v>-4.8254863140073594</c:v>
                </c:pt>
                <c:pt idx="339">
                  <c:v>-4.9793545425994852</c:v>
                </c:pt>
                <c:pt idx="340">
                  <c:v>-5.0265482457437036</c:v>
                </c:pt>
                <c:pt idx="341">
                  <c:v>-5.1395059542975297</c:v>
                </c:pt>
                <c:pt idx="342">
                  <c:v>-5.3374961053288077</c:v>
                </c:pt>
                <c:pt idx="343">
                  <c:v>-5.4772620716480649</c:v>
                </c:pt>
                <c:pt idx="344">
                  <c:v>-5.585053606381889</c:v>
                </c:pt>
                <c:pt idx="345">
                  <c:v>-5.6752522217640742</c:v>
                </c:pt>
                <c:pt idx="346">
                  <c:v>-5.8387546636096044</c:v>
                </c:pt>
                <c:pt idx="347">
                  <c:v>-5.9785206326065961</c:v>
                </c:pt>
                <c:pt idx="348">
                  <c:v>-6.1435589670200743</c:v>
                </c:pt>
                <c:pt idx="349">
                  <c:v>-6.232082068487748</c:v>
                </c:pt>
                <c:pt idx="350">
                  <c:v>-6.4270004376577319</c:v>
                </c:pt>
                <c:pt idx="351">
                  <c:v>-6.5667664052344108</c:v>
                </c:pt>
                <c:pt idx="352">
                  <c:v>-6.7020643276582783</c:v>
                </c:pt>
                <c:pt idx="353">
                  <c:v>-6.7700623564243658</c:v>
                </c:pt>
                <c:pt idx="354">
                  <c:v>-6.9441606778397746</c:v>
                </c:pt>
                <c:pt idx="355">
                  <c:v>-6.4228116473390457</c:v>
                </c:pt>
                <c:pt idx="356">
                  <c:v>-6.3583042779952859</c:v>
                </c:pt>
                <c:pt idx="357">
                  <c:v>-5.8436415905424521</c:v>
                </c:pt>
                <c:pt idx="358">
                  <c:v>-5.359696691423907</c:v>
                </c:pt>
                <c:pt idx="359">
                  <c:v>-5.3058009260626564</c:v>
                </c:pt>
                <c:pt idx="360">
                  <c:v>-5.0597793136417195</c:v>
                </c:pt>
                <c:pt idx="361">
                  <c:v>-4.7802473820165634</c:v>
                </c:pt>
                <c:pt idx="362">
                  <c:v>-4.2426859713987275</c:v>
                </c:pt>
                <c:pt idx="363">
                  <c:v>-4.1887902047862866</c:v>
                </c:pt>
                <c:pt idx="364">
                  <c:v>-3.9536594513230936</c:v>
                </c:pt>
                <c:pt idx="365">
                  <c:v>-3.6741275146181387</c:v>
                </c:pt>
                <c:pt idx="366">
                  <c:v>-3.0717794835099155</c:v>
                </c:pt>
                <c:pt idx="367">
                  <c:v>-3.0519525448089135</c:v>
                </c:pt>
                <c:pt idx="368">
                  <c:v>-2.6316772562848287</c:v>
                </c:pt>
                <c:pt idx="369">
                  <c:v>-2.3521453269868937</c:v>
                </c:pt>
                <c:pt idx="370">
                  <c:v>-1.9547687622335443</c:v>
                </c:pt>
                <c:pt idx="371">
                  <c:v>-1.8355278678009788</c:v>
                </c:pt>
                <c:pt idx="372">
                  <c:v>-1.4297737243749451</c:v>
                </c:pt>
                <c:pt idx="373">
                  <c:v>-1.150241790569638</c:v>
                </c:pt>
                <c:pt idx="374">
                  <c:v>-0.83775804095718043</c:v>
                </c:pt>
                <c:pt idx="375">
                  <c:v>-0.57805304679006286</c:v>
                </c:pt>
                <c:pt idx="376">
                  <c:v>-0.19435986554498699</c:v>
                </c:pt>
                <c:pt idx="377">
                  <c:v>8.5172066025579279E-2</c:v>
                </c:pt>
                <c:pt idx="378">
                  <c:v>0.27925268031918349</c:v>
                </c:pt>
                <c:pt idx="379">
                  <c:v>0.40352012311844748</c:v>
                </c:pt>
                <c:pt idx="380">
                  <c:v>0.73359678939989381</c:v>
                </c:pt>
                <c:pt idx="381">
                  <c:v>1.1267845649515553</c:v>
                </c:pt>
                <c:pt idx="382">
                  <c:v>1.3962634015955475</c:v>
                </c:pt>
                <c:pt idx="383">
                  <c:v>1.4060372440252074</c:v>
                </c:pt>
                <c:pt idx="384">
                  <c:v>1.9955396536220562</c:v>
                </c:pt>
                <c:pt idx="385">
                  <c:v>2.3948709883593526</c:v>
                </c:pt>
                <c:pt idx="386">
                  <c:v>2.5132741228719047</c:v>
                </c:pt>
                <c:pt idx="387">
                  <c:v>2.9109299362224101</c:v>
                </c:pt>
                <c:pt idx="388">
                  <c:v>3.2407273541617974</c:v>
                </c:pt>
                <c:pt idx="389">
                  <c:v>3.6302848441482753</c:v>
                </c:pt>
                <c:pt idx="390">
                  <c:v>3.6833428544638847</c:v>
                </c:pt>
                <c:pt idx="391">
                  <c:v>4.1229306352079131</c:v>
                </c:pt>
                <c:pt idx="392">
                  <c:v>4.4027418232007811</c:v>
                </c:pt>
                <c:pt idx="393">
                  <c:v>4.7384035446532096</c:v>
                </c:pt>
                <c:pt idx="394">
                  <c:v>4.7472955654246638</c:v>
                </c:pt>
                <c:pt idx="395">
                  <c:v>5.0178914121526752</c:v>
                </c:pt>
                <c:pt idx="396">
                  <c:v>5.4574351329083157</c:v>
                </c:pt>
                <c:pt idx="397">
                  <c:v>5.8643062867010345</c:v>
                </c:pt>
                <c:pt idx="398">
                  <c:v>5.8872050087093353</c:v>
                </c:pt>
                <c:pt idx="399">
                  <c:v>6.2965894366906552</c:v>
                </c:pt>
                <c:pt idx="400">
                  <c:v>6.6492855695036299</c:v>
                </c:pt>
                <c:pt idx="401">
                  <c:v>6.9813170079773359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6-43D0-B7AF-592BB9B7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3880"/>
        <c:axId val="452329784"/>
      </c:scatterChart>
      <c:valAx>
        <c:axId val="45232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2329784"/>
        <c:crosses val="autoZero"/>
        <c:crossBetween val="midCat"/>
      </c:valAx>
      <c:valAx>
        <c:axId val="45232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23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wheel (WL)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Sheet1!$G$1:$G$3</c:f>
              <c:strCache>
                <c:ptCount val="3"/>
                <c:pt idx="0">
                  <c:v>Tires-6</c:v>
                </c:pt>
                <c:pt idx="1">
                  <c:v>Angular Velocity2 (deg/sec) (left wheel )</c:v>
                </c:pt>
                <c:pt idx="2">
                  <c:v>WL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Sheet1!$G$4:$G$405</c:f>
              <c:numCache>
                <c:formatCode>General</c:formatCode>
                <c:ptCount val="402"/>
                <c:pt idx="0">
                  <c:v>0</c:v>
                </c:pt>
                <c:pt idx="1">
                  <c:v>0.2370855251686465</c:v>
                </c:pt>
                <c:pt idx="2">
                  <c:v>0.46718972930643127</c:v>
                </c:pt>
                <c:pt idx="3">
                  <c:v>0.55850536063818723</c:v>
                </c:pt>
                <c:pt idx="4">
                  <c:v>0.69687506415334932</c:v>
                </c:pt>
                <c:pt idx="5">
                  <c:v>0.868056956400307</c:v>
                </c:pt>
                <c:pt idx="6">
                  <c:v>1.1170107212763727</c:v>
                </c:pt>
                <c:pt idx="7">
                  <c:v>1.1700687300516521</c:v>
                </c:pt>
                <c:pt idx="8">
                  <c:v>1.404501356485002</c:v>
                </c:pt>
                <c:pt idx="9">
                  <c:v>1.6413076276507153</c:v>
                </c:pt>
                <c:pt idx="10">
                  <c:v>1.6755160819145598</c:v>
                </c:pt>
                <c:pt idx="11">
                  <c:v>1.8783931550776136</c:v>
                </c:pt>
                <c:pt idx="12">
                  <c:v>2.1209241032053745</c:v>
                </c:pt>
                <c:pt idx="13">
                  <c:v>2.2340214425527418</c:v>
                </c:pt>
                <c:pt idx="14">
                  <c:v>2.4082751153166555</c:v>
                </c:pt>
                <c:pt idx="15">
                  <c:v>2.7736772472150562</c:v>
                </c:pt>
                <c:pt idx="16">
                  <c:v>2.7925268031909272</c:v>
                </c:pt>
                <c:pt idx="17">
                  <c:v>3.0240272767016236</c:v>
                </c:pt>
                <c:pt idx="18">
                  <c:v>3.2669771100946514</c:v>
                </c:pt>
                <c:pt idx="19">
                  <c:v>3.351032163829113</c:v>
                </c:pt>
                <c:pt idx="20">
                  <c:v>3.5128590930228056</c:v>
                </c:pt>
                <c:pt idx="21">
                  <c:v>3.7685149222311578</c:v>
                </c:pt>
                <c:pt idx="22">
                  <c:v>3.9095375244673156</c:v>
                </c:pt>
                <c:pt idx="23">
                  <c:v>4.0694096816973344</c:v>
                </c:pt>
                <c:pt idx="24">
                  <c:v>4.3810556754606438</c:v>
                </c:pt>
                <c:pt idx="25">
                  <c:v>4.4680428851055014</c:v>
                </c:pt>
                <c:pt idx="26">
                  <c:v>4.6411795469796093</c:v>
                </c:pt>
                <c:pt idx="27">
                  <c:v>4.8936239678113989</c:v>
                </c:pt>
                <c:pt idx="28">
                  <c:v>5.0265482457436867</c:v>
                </c:pt>
                <c:pt idx="29">
                  <c:v>5.146487273264273</c:v>
                </c:pt>
                <c:pt idx="30">
                  <c:v>5.4077281531272368</c:v>
                </c:pt>
                <c:pt idx="31">
                  <c:v>5.5850536063818721</c:v>
                </c:pt>
                <c:pt idx="32">
                  <c:v>5.6984301965633488</c:v>
                </c:pt>
                <c:pt idx="33">
                  <c:v>5.9952757937781938</c:v>
                </c:pt>
                <c:pt idx="34">
                  <c:v>6.1435589670200574</c:v>
                </c:pt>
                <c:pt idx="35">
                  <c:v>6.2614035994184762</c:v>
                </c:pt>
                <c:pt idx="36">
                  <c:v>6.5170664068745525</c:v>
                </c:pt>
                <c:pt idx="37">
                  <c:v>6.7020643276582437</c:v>
                </c:pt>
                <c:pt idx="38">
                  <c:v>6.7732737588475578</c:v>
                </c:pt>
                <c:pt idx="39">
                  <c:v>6.91314730435953</c:v>
                </c:pt>
                <c:pt idx="40">
                  <c:v>6.7020643276582437</c:v>
                </c:pt>
                <c:pt idx="41">
                  <c:v>6.603348503764817</c:v>
                </c:pt>
                <c:pt idx="42">
                  <c:v>6.3750594403394301</c:v>
                </c:pt>
                <c:pt idx="43">
                  <c:v>6.1443967224563023</c:v>
                </c:pt>
                <c:pt idx="44">
                  <c:v>6.1435589670200574</c:v>
                </c:pt>
                <c:pt idx="45">
                  <c:v>5.9120584962173091</c:v>
                </c:pt>
                <c:pt idx="46">
                  <c:v>5.6753918453652021</c:v>
                </c:pt>
                <c:pt idx="47">
                  <c:v>5.5850536063818721</c:v>
                </c:pt>
                <c:pt idx="48">
                  <c:v>5.297283719367484</c:v>
                </c:pt>
                <c:pt idx="49">
                  <c:v>5.0265482457436867</c:v>
                </c:pt>
                <c:pt idx="50">
                  <c:v>4.9927586725116138</c:v>
                </c:pt>
                <c:pt idx="51">
                  <c:v>4.6550025502478549</c:v>
                </c:pt>
                <c:pt idx="52">
                  <c:v>4.4680428851055014</c:v>
                </c:pt>
                <c:pt idx="53">
                  <c:v>4.2211835191930174</c:v>
                </c:pt>
                <c:pt idx="54">
                  <c:v>3.9095375244672983</c:v>
                </c:pt>
                <c:pt idx="55">
                  <c:v>3.8687666323540211</c:v>
                </c:pt>
                <c:pt idx="56">
                  <c:v>3.597891538651433</c:v>
                </c:pt>
                <c:pt idx="57">
                  <c:v>3.4113507439312278</c:v>
                </c:pt>
                <c:pt idx="58">
                  <c:v>3.351032163829113</c:v>
                </c:pt>
                <c:pt idx="59">
                  <c:v>3.120090196291351</c:v>
                </c:pt>
                <c:pt idx="60">
                  <c:v>2.9803242258960352</c:v>
                </c:pt>
                <c:pt idx="61">
                  <c:v>2.8124933663172005</c:v>
                </c:pt>
                <c:pt idx="62">
                  <c:v>2.7925268031909272</c:v>
                </c:pt>
                <c:pt idx="63">
                  <c:v>2.6365641798256996</c:v>
                </c:pt>
                <c:pt idx="64">
                  <c:v>2.4458345999646416</c:v>
                </c:pt>
                <c:pt idx="65">
                  <c:v>2.2340214425527418</c:v>
                </c:pt>
                <c:pt idx="66">
                  <c:v>2.1935298066783706</c:v>
                </c:pt>
                <c:pt idx="67">
                  <c:v>1.994143390462503</c:v>
                </c:pt>
                <c:pt idx="68">
                  <c:v>1.7873567812524171</c:v>
                </c:pt>
                <c:pt idx="69">
                  <c:v>1.6755160819145565</c:v>
                </c:pt>
                <c:pt idx="70">
                  <c:v>1.6477304370799555</c:v>
                </c:pt>
                <c:pt idx="71">
                  <c:v>1.3897009643816696</c:v>
                </c:pt>
                <c:pt idx="72">
                  <c:v>1.1244109176432182</c:v>
                </c:pt>
                <c:pt idx="73">
                  <c:v>1.1170107212763691</c:v>
                </c:pt>
                <c:pt idx="74">
                  <c:v>0.89737848816055821</c:v>
                </c:pt>
                <c:pt idx="75">
                  <c:v>0.66266661215297862</c:v>
                </c:pt>
                <c:pt idx="76">
                  <c:v>0.55850536063818201</c:v>
                </c:pt>
                <c:pt idx="77">
                  <c:v>0.35534903450109634</c:v>
                </c:pt>
                <c:pt idx="78">
                  <c:v>6.4792268584151588E-2</c:v>
                </c:pt>
                <c:pt idx="79">
                  <c:v>1.1635528346627316E-2</c:v>
                </c:pt>
                <c:pt idx="80">
                  <c:v>2.309214994337028E-10</c:v>
                </c:pt>
                <c:pt idx="81">
                  <c:v>-1.2816312511921036E-9</c:v>
                </c:pt>
                <c:pt idx="82">
                  <c:v>-6.1569397073216869E-18</c:v>
                </c:pt>
                <c:pt idx="83">
                  <c:v>-2.8916791780556039E-10</c:v>
                </c:pt>
                <c:pt idx="84">
                  <c:v>1.6909361481569636E-10</c:v>
                </c:pt>
                <c:pt idx="85">
                  <c:v>1.5890392588581482E-11</c:v>
                </c:pt>
                <c:pt idx="86">
                  <c:v>1.9388706913170119E-10</c:v>
                </c:pt>
                <c:pt idx="87">
                  <c:v>1.131844490985952E-9</c:v>
                </c:pt>
                <c:pt idx="88">
                  <c:v>4.7350806277478284E-10</c:v>
                </c:pt>
                <c:pt idx="89">
                  <c:v>-2.9690564930499088E-10</c:v>
                </c:pt>
                <c:pt idx="90">
                  <c:v>1.5890533656890294E-11</c:v>
                </c:pt>
                <c:pt idx="91">
                  <c:v>1.9315367815739554E-9</c:v>
                </c:pt>
                <c:pt idx="92">
                  <c:v>1.5890519305778815E-11</c:v>
                </c:pt>
                <c:pt idx="93">
                  <c:v>1.3163449142348444E-9</c:v>
                </c:pt>
                <c:pt idx="94">
                  <c:v>-2.134421745863512E-9</c:v>
                </c:pt>
                <c:pt idx="95">
                  <c:v>-3.0837617425041272E-9</c:v>
                </c:pt>
                <c:pt idx="96">
                  <c:v>-8.0557307831956158E-17</c:v>
                </c:pt>
                <c:pt idx="97">
                  <c:v>1.4685944253640421E-9</c:v>
                </c:pt>
                <c:pt idx="98">
                  <c:v>-1.5080058535744188E-9</c:v>
                </c:pt>
                <c:pt idx="99">
                  <c:v>-3.2018889749112123E-17</c:v>
                </c:pt>
                <c:pt idx="100">
                  <c:v>1.2844520278683665E-10</c:v>
                </c:pt>
                <c:pt idx="101">
                  <c:v>1.2397221579908613E-9</c:v>
                </c:pt>
                <c:pt idx="102">
                  <c:v>-4.531017192226048E-18</c:v>
                </c:pt>
                <c:pt idx="103">
                  <c:v>-5.6956706528463825E-9</c:v>
                </c:pt>
                <c:pt idx="104">
                  <c:v>-4.041265549612618E-9</c:v>
                </c:pt>
                <c:pt idx="105">
                  <c:v>-3.2941480917836175E-9</c:v>
                </c:pt>
                <c:pt idx="106">
                  <c:v>-1.2824882239615238E-17</c:v>
                </c:pt>
                <c:pt idx="107">
                  <c:v>-1.2552128227968695E-9</c:v>
                </c:pt>
                <c:pt idx="108">
                  <c:v>-1.0285412170833017E-11</c:v>
                </c:pt>
                <c:pt idx="109">
                  <c:v>1.5890539145511911E-11</c:v>
                </c:pt>
                <c:pt idx="110">
                  <c:v>7.126295065730932E-11</c:v>
                </c:pt>
                <c:pt idx="111">
                  <c:v>-1.131489963448934E-18</c:v>
                </c:pt>
                <c:pt idx="112">
                  <c:v>7.9744374316652214E-10</c:v>
                </c:pt>
                <c:pt idx="113">
                  <c:v>7.1940160823505264E-10</c:v>
                </c:pt>
                <c:pt idx="114">
                  <c:v>1.5890534364398183E-11</c:v>
                </c:pt>
                <c:pt idx="115">
                  <c:v>7.9860350038234345E-10</c:v>
                </c:pt>
                <c:pt idx="116">
                  <c:v>1.9173348900069823E-9</c:v>
                </c:pt>
                <c:pt idx="117">
                  <c:v>1.5890532714365077E-11</c:v>
                </c:pt>
                <c:pt idx="118">
                  <c:v>-4.144085664244828E-2</c:v>
                </c:pt>
                <c:pt idx="119">
                  <c:v>-0.27925268031910494</c:v>
                </c:pt>
                <c:pt idx="120">
                  <c:v>-0.33342770105101527</c:v>
                </c:pt>
                <c:pt idx="121">
                  <c:v>-0.55012778236475957</c:v>
                </c:pt>
                <c:pt idx="122">
                  <c:v>-0.74113661560838717</c:v>
                </c:pt>
                <c:pt idx="123">
                  <c:v>-0.83775804095729389</c:v>
                </c:pt>
                <c:pt idx="124">
                  <c:v>-1.0150834934559543</c:v>
                </c:pt>
                <c:pt idx="125">
                  <c:v>-1.3006193572967164</c:v>
                </c:pt>
                <c:pt idx="126">
                  <c:v>-1.3962634015954827</c:v>
                </c:pt>
                <c:pt idx="127">
                  <c:v>-1.5987215936219912</c:v>
                </c:pt>
                <c:pt idx="128">
                  <c:v>-1.7845642561199253</c:v>
                </c:pt>
                <c:pt idx="129">
                  <c:v>-1.9547687622336665</c:v>
                </c:pt>
                <c:pt idx="130">
                  <c:v>-2.0439899953537566</c:v>
                </c:pt>
                <c:pt idx="131">
                  <c:v>-2.3390204537195829</c:v>
                </c:pt>
                <c:pt idx="132">
                  <c:v>-2.5132741228718518</c:v>
                </c:pt>
                <c:pt idx="133">
                  <c:v>-2.6394963339912891</c:v>
                </c:pt>
                <c:pt idx="134">
                  <c:v>-2.8404186366165018</c:v>
                </c:pt>
                <c:pt idx="135">
                  <c:v>-3.0717794835100372</c:v>
                </c:pt>
                <c:pt idx="136">
                  <c:v>-3.0782022951806591</c:v>
                </c:pt>
                <c:pt idx="137">
                  <c:v>-3.2650223364115138</c:v>
                </c:pt>
                <c:pt idx="138">
                  <c:v>-3.6302848441482229</c:v>
                </c:pt>
                <c:pt idx="139">
                  <c:v>-3.7062415737812202</c:v>
                </c:pt>
                <c:pt idx="140">
                  <c:v>-3.883427398231396</c:v>
                </c:pt>
                <c:pt idx="141">
                  <c:v>-4.0646623872656411</c:v>
                </c:pt>
                <c:pt idx="142">
                  <c:v>-4.1887902047864083</c:v>
                </c:pt>
                <c:pt idx="143">
                  <c:v>-4.3718403355783151</c:v>
                </c:pt>
                <c:pt idx="144">
                  <c:v>-4.7264912414446254</c:v>
                </c:pt>
                <c:pt idx="145">
                  <c:v>-4.7472955654245945</c:v>
                </c:pt>
                <c:pt idx="146">
                  <c:v>-4.8701667479438155</c:v>
                </c:pt>
                <c:pt idx="147">
                  <c:v>-5.2429690749603779</c:v>
                </c:pt>
                <c:pt idx="148">
                  <c:v>-5.3058009260627799</c:v>
                </c:pt>
                <c:pt idx="149">
                  <c:v>-5.6510968648228186</c:v>
                </c:pt>
                <c:pt idx="150">
                  <c:v>-5.8643062867009652</c:v>
                </c:pt>
                <c:pt idx="151">
                  <c:v>-6.0167782494186248</c:v>
                </c:pt>
                <c:pt idx="152">
                  <c:v>-6.1564045890854473</c:v>
                </c:pt>
                <c:pt idx="153">
                  <c:v>-6.4228116473391506</c:v>
                </c:pt>
                <c:pt idx="154">
                  <c:v>-6.4779640550439179</c:v>
                </c:pt>
                <c:pt idx="155">
                  <c:v>-6.6541725003136918</c:v>
                </c:pt>
                <c:pt idx="156">
                  <c:v>-6.9260054793358874</c:v>
                </c:pt>
                <c:pt idx="157">
                  <c:v>-6.9696814796307187</c:v>
                </c:pt>
                <c:pt idx="158">
                  <c:v>-6.9813170068708494</c:v>
                </c:pt>
                <c:pt idx="159">
                  <c:v>-6.9813170079773359</c:v>
                </c:pt>
                <c:pt idx="160">
                  <c:v>-6.981317007684348</c:v>
                </c:pt>
                <c:pt idx="161">
                  <c:v>-6.9813170088788157</c:v>
                </c:pt>
                <c:pt idx="162">
                  <c:v>-6.9813170079773359</c:v>
                </c:pt>
                <c:pt idx="163">
                  <c:v>-6.9813170075211763</c:v>
                </c:pt>
                <c:pt idx="164">
                  <c:v>-6.9813170048399149</c:v>
                </c:pt>
                <c:pt idx="165">
                  <c:v>-6.9813170069654289</c:v>
                </c:pt>
                <c:pt idx="166">
                  <c:v>-6.9813170079773359</c:v>
                </c:pt>
                <c:pt idx="167">
                  <c:v>-6.9813170076635949</c:v>
                </c:pt>
                <c:pt idx="168">
                  <c:v>-6.9813170079773359</c:v>
                </c:pt>
                <c:pt idx="169">
                  <c:v>-6.9813170086480998</c:v>
                </c:pt>
                <c:pt idx="170">
                  <c:v>-6.9813170068523309</c:v>
                </c:pt>
                <c:pt idx="171">
                  <c:v>-6.9813170079773359</c:v>
                </c:pt>
                <c:pt idx="172">
                  <c:v>-6.9813170082508993</c:v>
                </c:pt>
                <c:pt idx="173">
                  <c:v>-6.9813170090754966</c:v>
                </c:pt>
                <c:pt idx="174">
                  <c:v>-6.9813170079773359</c:v>
                </c:pt>
                <c:pt idx="175">
                  <c:v>-6.9813170095809793</c:v>
                </c:pt>
                <c:pt idx="176">
                  <c:v>-6.9813170075685802</c:v>
                </c:pt>
                <c:pt idx="177">
                  <c:v>-6.9813170096600778</c:v>
                </c:pt>
                <c:pt idx="178">
                  <c:v>-6.9813170079773359</c:v>
                </c:pt>
                <c:pt idx="179">
                  <c:v>-6.9813170094376353</c:v>
                </c:pt>
                <c:pt idx="180">
                  <c:v>-6.9813170072588182</c:v>
                </c:pt>
                <c:pt idx="181">
                  <c:v>-6.9813170079773359</c:v>
                </c:pt>
                <c:pt idx="182">
                  <c:v>-6.9813170062030689</c:v>
                </c:pt>
                <c:pt idx="183">
                  <c:v>-6.9813170079773359</c:v>
                </c:pt>
                <c:pt idx="184">
                  <c:v>-6.9813170074934083</c:v>
                </c:pt>
                <c:pt idx="185">
                  <c:v>-6.9813170079773359</c:v>
                </c:pt>
                <c:pt idx="186">
                  <c:v>-6.9813170101083832</c:v>
                </c:pt>
                <c:pt idx="187">
                  <c:v>-6.9813170061345993</c:v>
                </c:pt>
                <c:pt idx="188">
                  <c:v>-6.9813170079773359</c:v>
                </c:pt>
                <c:pt idx="189">
                  <c:v>-6.9813170083694063</c:v>
                </c:pt>
                <c:pt idx="190">
                  <c:v>-6.9813170079773359</c:v>
                </c:pt>
                <c:pt idx="191">
                  <c:v>-6.6322511575784526</c:v>
                </c:pt>
                <c:pt idx="192">
                  <c:v>-6.6174158634782492</c:v>
                </c:pt>
                <c:pt idx="193">
                  <c:v>-6.3154738938385488</c:v>
                </c:pt>
                <c:pt idx="194">
                  <c:v>-6.0653682166287988</c:v>
                </c:pt>
                <c:pt idx="195">
                  <c:v>-5.9341194567807207</c:v>
                </c:pt>
                <c:pt idx="196">
                  <c:v>-5.7573176062103126</c:v>
                </c:pt>
                <c:pt idx="197">
                  <c:v>-5.414884004300923</c:v>
                </c:pt>
                <c:pt idx="198">
                  <c:v>-5.2359877559829888</c:v>
                </c:pt>
                <c:pt idx="199">
                  <c:v>-5.0792571900631271</c:v>
                </c:pt>
                <c:pt idx="200">
                  <c:v>-4.7479936970146506</c:v>
                </c:pt>
                <c:pt idx="201">
                  <c:v>-4.5378560551852569</c:v>
                </c:pt>
                <c:pt idx="202">
                  <c:v>-4.429122043077462</c:v>
                </c:pt>
                <c:pt idx="203">
                  <c:v>-4.1214204964523997</c:v>
                </c:pt>
                <c:pt idx="204">
                  <c:v>-3.839724354387525</c:v>
                </c:pt>
                <c:pt idx="205">
                  <c:v>-3.8053413694894282</c:v>
                </c:pt>
                <c:pt idx="206">
                  <c:v>-3.4861206483256497</c:v>
                </c:pt>
                <c:pt idx="207">
                  <c:v>-3.1635838022608271</c:v>
                </c:pt>
                <c:pt idx="208">
                  <c:v>-3.1415926535897758</c:v>
                </c:pt>
                <c:pt idx="209">
                  <c:v>-2.8529151953305782</c:v>
                </c:pt>
                <c:pt idx="210">
                  <c:v>-2.5504496360633717</c:v>
                </c:pt>
                <c:pt idx="211">
                  <c:v>-2.4434609527920439</c:v>
                </c:pt>
                <c:pt idx="212">
                  <c:v>-2.2427480878664312</c:v>
                </c:pt>
                <c:pt idx="213">
                  <c:v>-1.9221311048299126</c:v>
                </c:pt>
                <c:pt idx="214">
                  <c:v>-1.7453292519942947</c:v>
                </c:pt>
                <c:pt idx="215">
                  <c:v>-1.5978489305545487</c:v>
                </c:pt>
                <c:pt idx="216">
                  <c:v>-1.2801990081994787</c:v>
                </c:pt>
                <c:pt idx="217">
                  <c:v>-1.0471975511965523</c:v>
                </c:pt>
                <c:pt idx="218">
                  <c:v>-0.9820967701253317</c:v>
                </c:pt>
                <c:pt idx="219">
                  <c:v>-0.68242373463973749</c:v>
                </c:pt>
                <c:pt idx="220">
                  <c:v>-0.38257617204500755</c:v>
                </c:pt>
                <c:pt idx="221">
                  <c:v>-0.34906585039881532</c:v>
                </c:pt>
                <c:pt idx="222">
                  <c:v>-5.3407074614609459E-2</c:v>
                </c:pt>
                <c:pt idx="223">
                  <c:v>0.22200588307359964</c:v>
                </c:pt>
                <c:pt idx="224">
                  <c:v>0.34906585039891652</c:v>
                </c:pt>
                <c:pt idx="225">
                  <c:v>0.48275807003361049</c:v>
                </c:pt>
                <c:pt idx="226">
                  <c:v>0.73216562258584994</c:v>
                </c:pt>
                <c:pt idx="227">
                  <c:v>0.96813413588548625</c:v>
                </c:pt>
                <c:pt idx="228">
                  <c:v>1.0471975511966432</c:v>
                </c:pt>
                <c:pt idx="229">
                  <c:v>1.2051498475100131</c:v>
                </c:pt>
                <c:pt idx="230">
                  <c:v>1.4550809985013531</c:v>
                </c:pt>
                <c:pt idx="231">
                  <c:v>1.7033637809549731</c:v>
                </c:pt>
                <c:pt idx="232">
                  <c:v>1.727875959474402</c:v>
                </c:pt>
                <c:pt idx="233">
                  <c:v>1.6971232580558238</c:v>
                </c:pt>
                <c:pt idx="234">
                  <c:v>1.6451473517372488</c:v>
                </c:pt>
                <c:pt idx="235">
                  <c:v>1.6057029118347832</c:v>
                </c:pt>
                <c:pt idx="236">
                  <c:v>1.5921242482876932</c:v>
                </c:pt>
                <c:pt idx="237">
                  <c:v>1.5401832519041463</c:v>
                </c:pt>
                <c:pt idx="238">
                  <c:v>1.4660765716752386</c:v>
                </c:pt>
                <c:pt idx="239">
                  <c:v>1.4534752950868428</c:v>
                </c:pt>
                <c:pt idx="240">
                  <c:v>1.3884792348690476</c:v>
                </c:pt>
                <c:pt idx="241">
                  <c:v>1.3390864156402102</c:v>
                </c:pt>
                <c:pt idx="242">
                  <c:v>1.3264502315156923</c:v>
                </c:pt>
                <c:pt idx="243">
                  <c:v>1.2902870077422048</c:v>
                </c:pt>
                <c:pt idx="244">
                  <c:v>1.2251862290539588</c:v>
                </c:pt>
                <c:pt idx="245">
                  <c:v>1.1896513256203645</c:v>
                </c:pt>
                <c:pt idx="246">
                  <c:v>1.1868238913561442</c:v>
                </c:pt>
                <c:pt idx="247">
                  <c:v>1.0986149509585774</c:v>
                </c:pt>
                <c:pt idx="248">
                  <c:v>1.0471975511965961</c:v>
                </c:pt>
                <c:pt idx="249">
                  <c:v>1.037074641545398</c:v>
                </c:pt>
                <c:pt idx="250">
                  <c:v>0.96987946626599297</c:v>
                </c:pt>
                <c:pt idx="251">
                  <c:v>0.90757121103704785</c:v>
                </c:pt>
                <c:pt idx="252">
                  <c:v>0.89671526306396587</c:v>
                </c:pt>
                <c:pt idx="253">
                  <c:v>0.78550288309626715</c:v>
                </c:pt>
                <c:pt idx="254">
                  <c:v>0.76794487087749808</c:v>
                </c:pt>
                <c:pt idx="255">
                  <c:v>0.68902108064013168</c:v>
                </c:pt>
                <c:pt idx="256">
                  <c:v>0.62831853071794996</c:v>
                </c:pt>
                <c:pt idx="257">
                  <c:v>0.61121430585515457</c:v>
                </c:pt>
                <c:pt idx="258">
                  <c:v>0.53155747784865715</c:v>
                </c:pt>
                <c:pt idx="259">
                  <c:v>0.4886921905584018</c:v>
                </c:pt>
                <c:pt idx="260">
                  <c:v>0.45095817220476281</c:v>
                </c:pt>
                <c:pt idx="261">
                  <c:v>0.37444293750586494</c:v>
                </c:pt>
                <c:pt idx="262">
                  <c:v>0.3490658503988554</c:v>
                </c:pt>
                <c:pt idx="263">
                  <c:v>0.29841639858044378</c:v>
                </c:pt>
                <c:pt idx="264">
                  <c:v>0.2256361644325906</c:v>
                </c:pt>
                <c:pt idx="265">
                  <c:v>0.20943951023930907</c:v>
                </c:pt>
                <c:pt idx="266">
                  <c:v>0.14412928730217212</c:v>
                </c:pt>
                <c:pt idx="267">
                  <c:v>7.2326443669615867E-2</c:v>
                </c:pt>
                <c:pt idx="268">
                  <c:v>6.981317007976498E-2</c:v>
                </c:pt>
                <c:pt idx="269">
                  <c:v>-2.1334661858917078E-2</c:v>
                </c:pt>
                <c:pt idx="270">
                  <c:v>-0.22437952984334203</c:v>
                </c:pt>
                <c:pt idx="271">
                  <c:v>-0.27925268031912065</c:v>
                </c:pt>
                <c:pt idx="272">
                  <c:v>-0.54133132206345547</c:v>
                </c:pt>
                <c:pt idx="273">
                  <c:v>-0.83775804095729567</c:v>
                </c:pt>
                <c:pt idx="274">
                  <c:v>-0.88955941305350772</c:v>
                </c:pt>
                <c:pt idx="275">
                  <c:v>-1.2134925237062968</c:v>
                </c:pt>
                <c:pt idx="276">
                  <c:v>-1.3962634015954793</c:v>
                </c:pt>
                <c:pt idx="277">
                  <c:v>-1.5663282829415366</c:v>
                </c:pt>
                <c:pt idx="278">
                  <c:v>-1.9119034761584466</c:v>
                </c:pt>
                <c:pt idx="279">
                  <c:v>-1.9547687622336665</c:v>
                </c:pt>
                <c:pt idx="280">
                  <c:v>-2.1963223323807646</c:v>
                </c:pt>
                <c:pt idx="281">
                  <c:v>-2.4095317519910999</c:v>
                </c:pt>
                <c:pt idx="282">
                  <c:v>-2.5132741228718518</c:v>
                </c:pt>
                <c:pt idx="283">
                  <c:v>-2.6293036094150986</c:v>
                </c:pt>
                <c:pt idx="284">
                  <c:v>-2.8164029096582048</c:v>
                </c:pt>
                <c:pt idx="285">
                  <c:v>-2.9963812589804348</c:v>
                </c:pt>
                <c:pt idx="286">
                  <c:v>-3.0717794835100549</c:v>
                </c:pt>
                <c:pt idx="287">
                  <c:v>-3.1706349341444553</c:v>
                </c:pt>
                <c:pt idx="288">
                  <c:v>-3.3363713968747648</c:v>
                </c:pt>
                <c:pt idx="289">
                  <c:v>-3.6302848441482403</c:v>
                </c:pt>
                <c:pt idx="290">
                  <c:v>-3.6992602595637103</c:v>
                </c:pt>
                <c:pt idx="291">
                  <c:v>-3.876166830092568</c:v>
                </c:pt>
                <c:pt idx="292">
                  <c:v>-4.033386086908215</c:v>
                </c:pt>
                <c:pt idx="293">
                  <c:v>-4.1829258991893914</c:v>
                </c:pt>
                <c:pt idx="294">
                  <c:v>-4.1887902047864438</c:v>
                </c:pt>
                <c:pt idx="295">
                  <c:v>-4.4341136857267562</c:v>
                </c:pt>
                <c:pt idx="296">
                  <c:v>-4.6330812208808601</c:v>
                </c:pt>
                <c:pt idx="297">
                  <c:v>-4.747295565424646</c:v>
                </c:pt>
                <c:pt idx="298">
                  <c:v>-4.8095689121854193</c:v>
                </c:pt>
                <c:pt idx="299">
                  <c:v>-4.964973032448186</c:v>
                </c:pt>
                <c:pt idx="300">
                  <c:v>-5.2760605147029693</c:v>
                </c:pt>
                <c:pt idx="301">
                  <c:v>-5.3058009260628314</c:v>
                </c:pt>
                <c:pt idx="302">
                  <c:v>-5.5734646174962696</c:v>
                </c:pt>
                <c:pt idx="303">
                  <c:v>-5.8300978321170893</c:v>
                </c:pt>
                <c:pt idx="304">
                  <c:v>-5.8643062867010167</c:v>
                </c:pt>
                <c:pt idx="305">
                  <c:v>-6.060062416305346</c:v>
                </c:pt>
                <c:pt idx="306">
                  <c:v>-6.3758971979929946</c:v>
                </c:pt>
                <c:pt idx="307">
                  <c:v>-6.4228116473391852</c:v>
                </c:pt>
                <c:pt idx="308">
                  <c:v>-6.6520780972303095</c:v>
                </c:pt>
                <c:pt idx="309">
                  <c:v>-6.8083199725907972</c:v>
                </c:pt>
                <c:pt idx="310">
                  <c:v>-6.9696814796307187</c:v>
                </c:pt>
                <c:pt idx="311">
                  <c:v>-6.9752004951000481</c:v>
                </c:pt>
                <c:pt idx="312">
                  <c:v>-6.9813170088772623</c:v>
                </c:pt>
                <c:pt idx="313">
                  <c:v>-6.9813170080098335</c:v>
                </c:pt>
                <c:pt idx="314">
                  <c:v>-6.981317007331616</c:v>
                </c:pt>
                <c:pt idx="315">
                  <c:v>-6.9813170078971201</c:v>
                </c:pt>
                <c:pt idx="316">
                  <c:v>-6.9813170089718941</c:v>
                </c:pt>
                <c:pt idx="317">
                  <c:v>-6.9813170079773359</c:v>
                </c:pt>
                <c:pt idx="318">
                  <c:v>-6.9813170094160455</c:v>
                </c:pt>
                <c:pt idx="319">
                  <c:v>-6.9813170079989781</c:v>
                </c:pt>
                <c:pt idx="320">
                  <c:v>-6.9813170087036367</c:v>
                </c:pt>
                <c:pt idx="321">
                  <c:v>-6.9813170069764245</c:v>
                </c:pt>
                <c:pt idx="322">
                  <c:v>-6.9813170096629396</c:v>
                </c:pt>
                <c:pt idx="323">
                  <c:v>-6.9813170079935665</c:v>
                </c:pt>
                <c:pt idx="324">
                  <c:v>-6.9813170085556679</c:v>
                </c:pt>
                <c:pt idx="325">
                  <c:v>-6.9813170051809692</c:v>
                </c:pt>
                <c:pt idx="326">
                  <c:v>-6.9813170079881388</c:v>
                </c:pt>
                <c:pt idx="327">
                  <c:v>-6.9813170084034581</c:v>
                </c:pt>
                <c:pt idx="328">
                  <c:v>-6.9813170067455692</c:v>
                </c:pt>
                <c:pt idx="329">
                  <c:v>-6.9813170079827289</c:v>
                </c:pt>
                <c:pt idx="330">
                  <c:v>-6.981317007963181</c:v>
                </c:pt>
                <c:pt idx="331">
                  <c:v>-6.9813170080916196</c:v>
                </c:pt>
                <c:pt idx="332">
                  <c:v>-6.9813170079773004</c:v>
                </c:pt>
                <c:pt idx="333">
                  <c:v>-6.9813170094948642</c:v>
                </c:pt>
                <c:pt idx="334">
                  <c:v>-6.981317007644571</c:v>
                </c:pt>
                <c:pt idx="335">
                  <c:v>-6.9813170079718727</c:v>
                </c:pt>
                <c:pt idx="336">
                  <c:v>-6.9813170089542664</c:v>
                </c:pt>
                <c:pt idx="337">
                  <c:v>-6.9813170057870177</c:v>
                </c:pt>
                <c:pt idx="338">
                  <c:v>-6.9813170078666644</c:v>
                </c:pt>
                <c:pt idx="339">
                  <c:v>-6.981317007977859</c:v>
                </c:pt>
                <c:pt idx="340">
                  <c:v>-6.9813170079664628</c:v>
                </c:pt>
                <c:pt idx="341">
                  <c:v>-6.9813170082988947</c:v>
                </c:pt>
                <c:pt idx="342">
                  <c:v>-6.9813170075853694</c:v>
                </c:pt>
                <c:pt idx="343">
                  <c:v>-6.9813170078047051</c:v>
                </c:pt>
                <c:pt idx="344">
                  <c:v>-6.9813170079610334</c:v>
                </c:pt>
                <c:pt idx="345">
                  <c:v>-6.9813170068005999</c:v>
                </c:pt>
                <c:pt idx="346">
                  <c:v>-6.9813170081463181</c:v>
                </c:pt>
                <c:pt idx="347">
                  <c:v>-6.9813170080745683</c:v>
                </c:pt>
                <c:pt idx="348">
                  <c:v>-6.9813170079556057</c:v>
                </c:pt>
                <c:pt idx="349">
                  <c:v>-6.9813170090531917</c:v>
                </c:pt>
                <c:pt idx="350">
                  <c:v>-6.9813170077343685</c:v>
                </c:pt>
                <c:pt idx="351">
                  <c:v>-6.9813170076154245</c:v>
                </c:pt>
                <c:pt idx="352">
                  <c:v>-6.9813170079501958</c:v>
                </c:pt>
                <c:pt idx="353">
                  <c:v>-6.9813170076139581</c:v>
                </c:pt>
                <c:pt idx="354">
                  <c:v>-6.9741546065554418</c:v>
                </c:pt>
                <c:pt idx="355">
                  <c:v>-6.6322511575783993</c:v>
                </c:pt>
                <c:pt idx="356">
                  <c:v>-6.591934051200389</c:v>
                </c:pt>
                <c:pt idx="357">
                  <c:v>-6.2702698753138923</c:v>
                </c:pt>
                <c:pt idx="358">
                  <c:v>-5.9678043094546833</c:v>
                </c:pt>
                <c:pt idx="359">
                  <c:v>-5.9341194567806514</c:v>
                </c:pt>
                <c:pt idx="360">
                  <c:v>-5.7803559508514857</c:v>
                </c:pt>
                <c:pt idx="361">
                  <c:v>-5.605648494432109</c:v>
                </c:pt>
                <c:pt idx="362">
                  <c:v>-5.2696726117605479</c:v>
                </c:pt>
                <c:pt idx="363">
                  <c:v>-5.2359877559829195</c:v>
                </c:pt>
                <c:pt idx="364">
                  <c:v>-5.0890310361707813</c:v>
                </c:pt>
                <c:pt idx="365">
                  <c:v>-4.914323576397285</c:v>
                </c:pt>
                <c:pt idx="366">
                  <c:v>-4.5378560551851876</c:v>
                </c:pt>
                <c:pt idx="367">
                  <c:v>-4.5254642161345489</c:v>
                </c:pt>
                <c:pt idx="368">
                  <c:v>-4.2627921628382905</c:v>
                </c:pt>
                <c:pt idx="369">
                  <c:v>-4.0880847079874245</c:v>
                </c:pt>
                <c:pt idx="370">
                  <c:v>-3.8397243543874549</c:v>
                </c:pt>
                <c:pt idx="371">
                  <c:v>-3.7651987939083273</c:v>
                </c:pt>
                <c:pt idx="372">
                  <c:v>-3.5116024567464712</c:v>
                </c:pt>
                <c:pt idx="373">
                  <c:v>-3.3368949992694952</c:v>
                </c:pt>
                <c:pt idx="374">
                  <c:v>-3.1415926535897407</c:v>
                </c:pt>
                <c:pt idx="375">
                  <c:v>-2.9792770351809619</c:v>
                </c:pt>
                <c:pt idx="376">
                  <c:v>-2.739468796875717</c:v>
                </c:pt>
                <c:pt idx="377">
                  <c:v>-2.5647613376493283</c:v>
                </c:pt>
                <c:pt idx="378">
                  <c:v>-2.4434609527920088</c:v>
                </c:pt>
                <c:pt idx="379">
                  <c:v>-2.3657938018662428</c:v>
                </c:pt>
                <c:pt idx="380">
                  <c:v>-2.1594958838520868</c:v>
                </c:pt>
                <c:pt idx="381">
                  <c:v>-1.9137535272184867</c:v>
                </c:pt>
                <c:pt idx="382">
                  <c:v>-1.7453292519942825</c:v>
                </c:pt>
                <c:pt idx="383">
                  <c:v>-1.7392206000077466</c:v>
                </c:pt>
                <c:pt idx="384">
                  <c:v>-1.370781593586381</c:v>
                </c:pt>
                <c:pt idx="385">
                  <c:v>-1.1211995102779866</c:v>
                </c:pt>
                <c:pt idx="386">
                  <c:v>-1.0471975511965559</c:v>
                </c:pt>
                <c:pt idx="387">
                  <c:v>-0.79866266528015273</c:v>
                </c:pt>
                <c:pt idx="388">
                  <c:v>-0.5925392809602531</c:v>
                </c:pt>
                <c:pt idx="389">
                  <c:v>-0.34906585039882398</c:v>
                </c:pt>
                <c:pt idx="390">
                  <c:v>-0.3159045958138389</c:v>
                </c:pt>
                <c:pt idx="391">
                  <c:v>-4.1162231888797016E-2</c:v>
                </c:pt>
                <c:pt idx="392">
                  <c:v>0.13371976046181142</c:v>
                </c:pt>
                <c:pt idx="393">
                  <c:v>0.34350834021917293</c:v>
                </c:pt>
                <c:pt idx="394">
                  <c:v>0.34906585039890958</c:v>
                </c:pt>
                <c:pt idx="395">
                  <c:v>0.51818825963332071</c:v>
                </c:pt>
                <c:pt idx="396">
                  <c:v>0.79290308327937642</c:v>
                </c:pt>
                <c:pt idx="397">
                  <c:v>1.04719755119665</c:v>
                </c:pt>
                <c:pt idx="398">
                  <c:v>1.0615092523201031</c:v>
                </c:pt>
                <c:pt idx="399">
                  <c:v>1.3173745143189906</c:v>
                </c:pt>
                <c:pt idx="400">
                  <c:v>1.5378096040271008</c:v>
                </c:pt>
                <c:pt idx="401">
                  <c:v>1.7453292519943295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5-4B32-A6F8-A1206D26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1080"/>
        <c:axId val="452395016"/>
      </c:scatterChart>
      <c:valAx>
        <c:axId val="45239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2395016"/>
        <c:crosses val="autoZero"/>
        <c:crossBetween val="midCat"/>
      </c:valAx>
      <c:valAx>
        <c:axId val="45239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91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omega_SW</c:v>
                </c:pt>
                <c:pt idx="1">
                  <c:v>Angular Velocity1 (deg/sec)</c:v>
                </c:pt>
                <c:pt idx="2">
                  <c:v>omega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Sheet1!$C$4:$C$405</c:f>
              <c:numCache>
                <c:formatCode>General</c:formatCode>
                <c:ptCount val="402"/>
                <c:pt idx="0">
                  <c:v>0</c:v>
                </c:pt>
                <c:pt idx="1">
                  <c:v>3.7614966101138197E-3</c:v>
                </c:pt>
                <c:pt idx="2">
                  <c:v>9.9319028505078753E-3</c:v>
                </c:pt>
                <c:pt idx="3">
                  <c:v>1.2688377562681603E-2</c:v>
                </c:pt>
                <c:pt idx="4">
                  <c:v>1.1447553301877052E-2</c:v>
                </c:pt>
                <c:pt idx="5">
                  <c:v>1.0410220590674662E-2</c:v>
                </c:pt>
                <c:pt idx="6">
                  <c:v>1.1461235552649728E-2</c:v>
                </c:pt>
                <c:pt idx="7">
                  <c:v>1.3115156020572708E-2</c:v>
                </c:pt>
                <c:pt idx="8">
                  <c:v>1.0725040991688306E-2</c:v>
                </c:pt>
                <c:pt idx="9">
                  <c:v>1.527001742071382E-2</c:v>
                </c:pt>
                <c:pt idx="10">
                  <c:v>1.5495426945067739E-2</c:v>
                </c:pt>
                <c:pt idx="11">
                  <c:v>1.3557536383855987E-2</c:v>
                </c:pt>
                <c:pt idx="12">
                  <c:v>1.7097276862263634E-2</c:v>
                </c:pt>
                <c:pt idx="13">
                  <c:v>1.8888610351822911E-2</c:v>
                </c:pt>
                <c:pt idx="14">
                  <c:v>1.667770599939861E-2</c:v>
                </c:pt>
                <c:pt idx="15">
                  <c:v>2.2900205790541205E-2</c:v>
                </c:pt>
                <c:pt idx="16">
                  <c:v>2.3025411234745382E-2</c:v>
                </c:pt>
                <c:pt idx="17">
                  <c:v>1.9818361926112023E-2</c:v>
                </c:pt>
                <c:pt idx="18">
                  <c:v>2.5769859790113519E-2</c:v>
                </c:pt>
                <c:pt idx="19">
                  <c:v>2.6160993980855491E-2</c:v>
                </c:pt>
                <c:pt idx="20">
                  <c:v>2.3741778590666566E-2</c:v>
                </c:pt>
                <c:pt idx="21">
                  <c:v>2.7820478356645334E-2</c:v>
                </c:pt>
                <c:pt idx="22">
                  <c:v>2.986265109421414E-2</c:v>
                </c:pt>
                <c:pt idx="23">
                  <c:v>2.6785356483504955E-2</c:v>
                </c:pt>
                <c:pt idx="24">
                  <c:v>3.3275845854643882E-2</c:v>
                </c:pt>
                <c:pt idx="25">
                  <c:v>3.3332656315217278E-2</c:v>
                </c:pt>
                <c:pt idx="26">
                  <c:v>3.0748937660830891E-2</c:v>
                </c:pt>
                <c:pt idx="27">
                  <c:v>3.6258563409830455E-2</c:v>
                </c:pt>
                <c:pt idx="28">
                  <c:v>3.6894918538714683E-2</c:v>
                </c:pt>
                <c:pt idx="29">
                  <c:v>3.4704877272954279E-2</c:v>
                </c:pt>
                <c:pt idx="30">
                  <c:v>3.9505772871935234E-2</c:v>
                </c:pt>
                <c:pt idx="31">
                  <c:v>4.0435243680988109E-2</c:v>
                </c:pt>
                <c:pt idx="32">
                  <c:v>3.8674308990018717E-2</c:v>
                </c:pt>
                <c:pt idx="33">
                  <c:v>4.4597747241414312E-2</c:v>
                </c:pt>
                <c:pt idx="34">
                  <c:v>4.4211850689331422E-2</c:v>
                </c:pt>
                <c:pt idx="35">
                  <c:v>4.3080731081292019E-2</c:v>
                </c:pt>
                <c:pt idx="36">
                  <c:v>4.8445794555843094E-2</c:v>
                </c:pt>
                <c:pt idx="37">
                  <c:v>4.8904155454250697E-2</c:v>
                </c:pt>
                <c:pt idx="38">
                  <c:v>4.8144726851693943E-2</c:v>
                </c:pt>
                <c:pt idx="39">
                  <c:v>5.2972899703217086E-2</c:v>
                </c:pt>
                <c:pt idx="40">
                  <c:v>5.1967449860028436E-2</c:v>
                </c:pt>
                <c:pt idx="41">
                  <c:v>5.0357395114205547E-2</c:v>
                </c:pt>
                <c:pt idx="42">
                  <c:v>5.4562771226338451E-2</c:v>
                </c:pt>
                <c:pt idx="43">
                  <c:v>5.34182051254024E-2</c:v>
                </c:pt>
                <c:pt idx="44">
                  <c:v>5.3390329841198694E-2</c:v>
                </c:pt>
                <c:pt idx="45">
                  <c:v>5.5074086849897085E-2</c:v>
                </c:pt>
                <c:pt idx="46">
                  <c:v>5.782106142043545E-2</c:v>
                </c:pt>
                <c:pt idx="47">
                  <c:v>5.6913681265517241E-2</c:v>
                </c:pt>
                <c:pt idx="48">
                  <c:v>6.4152797406736087E-2</c:v>
                </c:pt>
                <c:pt idx="49">
                  <c:v>-0.14998749154836852</c:v>
                </c:pt>
                <c:pt idx="50">
                  <c:v>-0.19700268398567206</c:v>
                </c:pt>
                <c:pt idx="51">
                  <c:v>-0.54387512407729521</c:v>
                </c:pt>
                <c:pt idx="52">
                  <c:v>-0.65866215615090407</c:v>
                </c:pt>
                <c:pt idx="53">
                  <c:v>-0.96244353354226386</c:v>
                </c:pt>
                <c:pt idx="54">
                  <c:v>-1.2312379583182744</c:v>
                </c:pt>
                <c:pt idx="55">
                  <c:v>-1.2578423647150676</c:v>
                </c:pt>
                <c:pt idx="56">
                  <c:v>-1.5562527914410853</c:v>
                </c:pt>
                <c:pt idx="57">
                  <c:v>-1.6899985744014339</c:v>
                </c:pt>
                <c:pt idx="58">
                  <c:v>-1.7185110752528969</c:v>
                </c:pt>
                <c:pt idx="59">
                  <c:v>-1.8277731000015192</c:v>
                </c:pt>
                <c:pt idx="60">
                  <c:v>-1.8941081172237944</c:v>
                </c:pt>
                <c:pt idx="61">
                  <c:v>-1.9733095116921227</c:v>
                </c:pt>
                <c:pt idx="62">
                  <c:v>-1.9828657443045961</c:v>
                </c:pt>
                <c:pt idx="63">
                  <c:v>-2.0567565703765989</c:v>
                </c:pt>
                <c:pt idx="64">
                  <c:v>-2.1473397500982219</c:v>
                </c:pt>
                <c:pt idx="65">
                  <c:v>-2.247346575513411</c:v>
                </c:pt>
                <c:pt idx="66">
                  <c:v>-2.2657824032070861</c:v>
                </c:pt>
                <c:pt idx="67">
                  <c:v>-2.3607191105426764</c:v>
                </c:pt>
                <c:pt idx="68">
                  <c:v>-2.4587659164835105</c:v>
                </c:pt>
                <c:pt idx="69">
                  <c:v>-2.5118543510173925</c:v>
                </c:pt>
                <c:pt idx="70">
                  <c:v>-2.5248401753605991</c:v>
                </c:pt>
                <c:pt idx="71">
                  <c:v>-2.6470562200418857</c:v>
                </c:pt>
                <c:pt idx="72">
                  <c:v>-2.7721105213089623</c:v>
                </c:pt>
                <c:pt idx="73">
                  <c:v>-2.7756717190658828</c:v>
                </c:pt>
                <c:pt idx="74">
                  <c:v>-2.8801529162677664</c:v>
                </c:pt>
                <c:pt idx="75">
                  <c:v>-2.9913683539084928</c:v>
                </c:pt>
                <c:pt idx="76">
                  <c:v>-3.0399756708369252</c:v>
                </c:pt>
                <c:pt idx="77">
                  <c:v>-3.1367951138615968</c:v>
                </c:pt>
                <c:pt idx="78">
                  <c:v>-3.2743693870987767</c:v>
                </c:pt>
                <c:pt idx="79">
                  <c:v>-3.2943467058881413</c:v>
                </c:pt>
                <c:pt idx="80">
                  <c:v>-3.2033667781058903</c:v>
                </c:pt>
                <c:pt idx="81">
                  <c:v>-3.1258633753389367</c:v>
                </c:pt>
                <c:pt idx="82">
                  <c:v>-3.0409084755046378</c:v>
                </c:pt>
                <c:pt idx="83">
                  <c:v>-3.0033319709135373</c:v>
                </c:pt>
                <c:pt idx="84">
                  <c:v>-2.8574324891887217</c:v>
                </c:pt>
                <c:pt idx="85">
                  <c:v>-2.7765515831911016</c:v>
                </c:pt>
                <c:pt idx="86">
                  <c:v>-2.7676710669418929</c:v>
                </c:pt>
                <c:pt idx="87">
                  <c:v>-2.7011769629502349</c:v>
                </c:pt>
                <c:pt idx="88">
                  <c:v>-2.5927854257418619</c:v>
                </c:pt>
                <c:pt idx="89">
                  <c:v>-2.520014786735755</c:v>
                </c:pt>
                <c:pt idx="90">
                  <c:v>-2.5120702577421481</c:v>
                </c:pt>
                <c:pt idx="91">
                  <c:v>-2.3766989301319001</c:v>
                </c:pt>
                <c:pt idx="92">
                  <c:v>-2.2475035883210808</c:v>
                </c:pt>
                <c:pt idx="93">
                  <c:v>-2.2245022500662786</c:v>
                </c:pt>
                <c:pt idx="94">
                  <c:v>-2.0883420367716901</c:v>
                </c:pt>
                <c:pt idx="95">
                  <c:v>-2.018792405038516</c:v>
                </c:pt>
                <c:pt idx="96">
                  <c:v>-1.9832513837269719</c:v>
                </c:pt>
                <c:pt idx="97">
                  <c:v>-1.8937876445238495</c:v>
                </c:pt>
                <c:pt idx="98">
                  <c:v>-1.7461656341583607</c:v>
                </c:pt>
                <c:pt idx="99">
                  <c:v>-1.7187402710452186</c:v>
                </c:pt>
                <c:pt idx="100">
                  <c:v>-1.612949568421054</c:v>
                </c:pt>
                <c:pt idx="101">
                  <c:v>-1.5194714059320109</c:v>
                </c:pt>
                <c:pt idx="102">
                  <c:v>-1.454314705703597</c:v>
                </c:pt>
                <c:pt idx="103">
                  <c:v>-1.4207359990042632</c:v>
                </c:pt>
                <c:pt idx="104">
                  <c:v>-1.2672981947360868</c:v>
                </c:pt>
                <c:pt idx="105">
                  <c:v>-1.1988227262817293</c:v>
                </c:pt>
                <c:pt idx="106">
                  <c:v>-1.1899292000100228</c:v>
                </c:pt>
                <c:pt idx="107">
                  <c:v>-1.1042447153888519</c:v>
                </c:pt>
                <c:pt idx="108">
                  <c:v>-1.0145087934505432</c:v>
                </c:pt>
                <c:pt idx="109">
                  <c:v>-0.92552468854574677</c:v>
                </c:pt>
                <c:pt idx="110">
                  <c:v>-0.81748450125500094</c:v>
                </c:pt>
                <c:pt idx="111">
                  <c:v>-0.6610776467788918</c:v>
                </c:pt>
                <c:pt idx="112">
                  <c:v>-0.63927680018385091</c:v>
                </c:pt>
                <c:pt idx="113">
                  <c:v>-0.44495007906306644</c:v>
                </c:pt>
                <c:pt idx="114">
                  <c:v>-0.39667383518444471</c:v>
                </c:pt>
                <c:pt idx="115">
                  <c:v>-0.33690868471605756</c:v>
                </c:pt>
                <c:pt idx="116">
                  <c:v>-0.13419296458203914</c:v>
                </c:pt>
                <c:pt idx="117">
                  <c:v>-0.13227582475989971</c:v>
                </c:pt>
                <c:pt idx="118">
                  <c:v>-2.1175767209400155E-2</c:v>
                </c:pt>
                <c:pt idx="119">
                  <c:v>-0.13211242017659386</c:v>
                </c:pt>
                <c:pt idx="120">
                  <c:v>-0.15776261197809202</c:v>
                </c:pt>
                <c:pt idx="121">
                  <c:v>-0.26036559664428538</c:v>
                </c:pt>
                <c:pt idx="122">
                  <c:v>-0.35077954056937111</c:v>
                </c:pt>
                <c:pt idx="123">
                  <c:v>-0.39650567003784087</c:v>
                </c:pt>
                <c:pt idx="124">
                  <c:v>-0.48047581157746638</c:v>
                </c:pt>
                <c:pt idx="125">
                  <c:v>-0.61565385236405279</c:v>
                </c:pt>
                <c:pt idx="126">
                  <c:v>-0.66097783111475561</c:v>
                </c:pt>
                <c:pt idx="127">
                  <c:v>-0.75679556590735197</c:v>
                </c:pt>
                <c:pt idx="128">
                  <c:v>-0.84475457489530537</c:v>
                </c:pt>
                <c:pt idx="129">
                  <c:v>-0.92531494515492241</c:v>
                </c:pt>
                <c:pt idx="130">
                  <c:v>-0.96763820519482679</c:v>
                </c:pt>
                <c:pt idx="131">
                  <c:v>-1.1072503511679685</c:v>
                </c:pt>
                <c:pt idx="132">
                  <c:v>-1.1897683792079774</c:v>
                </c:pt>
                <c:pt idx="133">
                  <c:v>-1.2494822655175897</c:v>
                </c:pt>
                <c:pt idx="134">
                  <c:v>-1.3446676892364511</c:v>
                </c:pt>
                <c:pt idx="135">
                  <c:v>-1.4542089120496853</c:v>
                </c:pt>
                <c:pt idx="136">
                  <c:v>-1.4572736871596237</c:v>
                </c:pt>
                <c:pt idx="137">
                  <c:v>-1.5456111548269873</c:v>
                </c:pt>
                <c:pt idx="138">
                  <c:v>-1.7185133830094441</c:v>
                </c:pt>
                <c:pt idx="139">
                  <c:v>-1.7543762129135478</c:v>
                </c:pt>
                <c:pt idx="140">
                  <c:v>-1.8383196815266563</c:v>
                </c:pt>
                <c:pt idx="141">
                  <c:v>-1.9241958041893479</c:v>
                </c:pt>
                <c:pt idx="142">
                  <c:v>-1.982825842880295</c:v>
                </c:pt>
                <c:pt idx="143">
                  <c:v>-2.0693632170665719</c:v>
                </c:pt>
                <c:pt idx="144">
                  <c:v>-2.2374823243297621</c:v>
                </c:pt>
                <c:pt idx="145">
                  <c:v>-2.2473516239162854</c:v>
                </c:pt>
                <c:pt idx="146">
                  <c:v>-2.3053417023115075</c:v>
                </c:pt>
                <c:pt idx="147">
                  <c:v>-2.4817146330863586</c:v>
                </c:pt>
                <c:pt idx="148">
                  <c:v>-2.5115945354658891</c:v>
                </c:pt>
                <c:pt idx="149">
                  <c:v>-2.6750020302192374</c:v>
                </c:pt>
                <c:pt idx="150">
                  <c:v>-2.7760197976657817</c:v>
                </c:pt>
                <c:pt idx="151">
                  <c:v>-2.8484711586567628</c:v>
                </c:pt>
                <c:pt idx="152">
                  <c:v>-2.9144866120797213</c:v>
                </c:pt>
                <c:pt idx="153">
                  <c:v>-3.0404948313905091</c:v>
                </c:pt>
                <c:pt idx="154">
                  <c:v>-3.066571678976008</c:v>
                </c:pt>
                <c:pt idx="155">
                  <c:v>-3.150180120998098</c:v>
                </c:pt>
                <c:pt idx="156">
                  <c:v>-3.2784842510873391</c:v>
                </c:pt>
                <c:pt idx="157">
                  <c:v>-3.2968268573639152</c:v>
                </c:pt>
                <c:pt idx="158">
                  <c:v>-3.2091320516900219</c:v>
                </c:pt>
                <c:pt idx="159">
                  <c:v>-3.1730745627471886</c:v>
                </c:pt>
                <c:pt idx="160">
                  <c:v>-3.113831943400593</c:v>
                </c:pt>
                <c:pt idx="161">
                  <c:v>-3.0760449321982812</c:v>
                </c:pt>
                <c:pt idx="162">
                  <c:v>-3.040810558261628</c:v>
                </c:pt>
                <c:pt idx="163">
                  <c:v>-3.0252550019913009</c:v>
                </c:pt>
                <c:pt idx="164">
                  <c:v>-2.9874101358980329</c:v>
                </c:pt>
                <c:pt idx="165">
                  <c:v>-2.908865242077757</c:v>
                </c:pt>
                <c:pt idx="166">
                  <c:v>-2.9084951731713002</c:v>
                </c:pt>
                <c:pt idx="167">
                  <c:v>-2.8494814589402901</c:v>
                </c:pt>
                <c:pt idx="168">
                  <c:v>-2.7761406386766172</c:v>
                </c:pt>
                <c:pt idx="169">
                  <c:v>-2.7684516056347781</c:v>
                </c:pt>
                <c:pt idx="170">
                  <c:v>-2.6655222770592339</c:v>
                </c:pt>
                <c:pt idx="171">
                  <c:v>-2.644277608138776</c:v>
                </c:pt>
                <c:pt idx="172">
                  <c:v>-2.6219895403174029</c:v>
                </c:pt>
                <c:pt idx="173">
                  <c:v>-2.5306334585933059</c:v>
                </c:pt>
                <c:pt idx="174">
                  <c:v>-2.511915079221207</c:v>
                </c:pt>
                <c:pt idx="175">
                  <c:v>-2.4658520817771916</c:v>
                </c:pt>
                <c:pt idx="176">
                  <c:v>-2.4295022321670912</c:v>
                </c:pt>
                <c:pt idx="177">
                  <c:v>-2.3966500222114835</c:v>
                </c:pt>
                <c:pt idx="178">
                  <c:v>-2.3796581502212661</c:v>
                </c:pt>
                <c:pt idx="179">
                  <c:v>-2.2983211955825582</c:v>
                </c:pt>
                <c:pt idx="180">
                  <c:v>-2.2620546365257859</c:v>
                </c:pt>
                <c:pt idx="181">
                  <c:v>-2.2474552305940803</c:v>
                </c:pt>
                <c:pt idx="182">
                  <c:v>-2.1999570501042656</c:v>
                </c:pt>
                <c:pt idx="183">
                  <c:v>-2.115525569344388</c:v>
                </c:pt>
                <c:pt idx="184">
                  <c:v>-2.0767902493663386</c:v>
                </c:pt>
                <c:pt idx="185">
                  <c:v>-1.9831443339847374</c:v>
                </c:pt>
                <c:pt idx="186">
                  <c:v>-1.9798491089313301</c:v>
                </c:pt>
                <c:pt idx="187">
                  <c:v>-1.8687217402760492</c:v>
                </c:pt>
                <c:pt idx="188">
                  <c:v>-1.8508430935554281</c:v>
                </c:pt>
                <c:pt idx="189">
                  <c:v>-1.7730193814879993</c:v>
                </c:pt>
                <c:pt idx="190">
                  <c:v>-1.7187998076045619</c:v>
                </c:pt>
                <c:pt idx="191">
                  <c:v>-1.5952789757000836</c:v>
                </c:pt>
                <c:pt idx="192">
                  <c:v>-1.5871117954816878</c:v>
                </c:pt>
                <c:pt idx="193">
                  <c:v>-1.4883124720328123</c:v>
                </c:pt>
                <c:pt idx="194">
                  <c:v>-1.468842706960275</c:v>
                </c:pt>
                <c:pt idx="195">
                  <c:v>-1.4165770387216352</c:v>
                </c:pt>
                <c:pt idx="196">
                  <c:v>-1.349124914952907</c:v>
                </c:pt>
                <c:pt idx="197">
                  <c:v>-1.3089726984682439</c:v>
                </c:pt>
                <c:pt idx="198">
                  <c:v>-1.256407707256725</c:v>
                </c:pt>
                <c:pt idx="199">
                  <c:v>-1.2017948712604534</c:v>
                </c:pt>
                <c:pt idx="200">
                  <c:v>-1.142439492498353</c:v>
                </c:pt>
                <c:pt idx="201">
                  <c:v>-1.1111204524760234</c:v>
                </c:pt>
                <c:pt idx="202">
                  <c:v>-1.0844547259458912</c:v>
                </c:pt>
                <c:pt idx="203">
                  <c:v>-1.0178422135182654</c:v>
                </c:pt>
                <c:pt idx="204">
                  <c:v>-0.94631392552561611</c:v>
                </c:pt>
                <c:pt idx="205">
                  <c:v>-0.93766611925359789</c:v>
                </c:pt>
                <c:pt idx="206">
                  <c:v>-0.89011967128509473</c:v>
                </c:pt>
                <c:pt idx="207">
                  <c:v>-0.80378756662295336</c:v>
                </c:pt>
                <c:pt idx="208">
                  <c:v>-0.79723449154987447</c:v>
                </c:pt>
                <c:pt idx="209">
                  <c:v>-0.75509803643284346</c:v>
                </c:pt>
                <c:pt idx="210">
                  <c:v>-0.71307517663397735</c:v>
                </c:pt>
                <c:pt idx="211">
                  <c:v>-0.68415882910862069</c:v>
                </c:pt>
                <c:pt idx="212">
                  <c:v>-0.62749064367968788</c:v>
                </c:pt>
                <c:pt idx="213">
                  <c:v>-0.5853755988052981</c:v>
                </c:pt>
                <c:pt idx="214">
                  <c:v>-0.55825725096340817</c:v>
                </c:pt>
                <c:pt idx="215">
                  <c:v>-0.51751273827533373</c:v>
                </c:pt>
                <c:pt idx="216">
                  <c:v>-0.43663714804062437</c:v>
                </c:pt>
                <c:pt idx="217">
                  <c:v>-0.39378120340138711</c:v>
                </c:pt>
                <c:pt idx="218">
                  <c:v>-0.37800216614431703</c:v>
                </c:pt>
                <c:pt idx="219">
                  <c:v>-0.29651928799717858</c:v>
                </c:pt>
                <c:pt idx="220">
                  <c:v>-0.1932285336135818</c:v>
                </c:pt>
                <c:pt idx="221">
                  <c:v>-0.1797166093040202</c:v>
                </c:pt>
                <c:pt idx="222">
                  <c:v>-8.6098547163903083E-2</c:v>
                </c:pt>
                <c:pt idx="223">
                  <c:v>3.7112603158968296E-4</c:v>
                </c:pt>
                <c:pt idx="224">
                  <c:v>4.8010543627135232E-3</c:v>
                </c:pt>
                <c:pt idx="225">
                  <c:v>6.0686344791847915E-3</c:v>
                </c:pt>
                <c:pt idx="226">
                  <c:v>7.8442502515041618E-3</c:v>
                </c:pt>
                <c:pt idx="227">
                  <c:v>1.1328675556388801E-2</c:v>
                </c:pt>
                <c:pt idx="228">
                  <c:v>1.2953761315417216E-2</c:v>
                </c:pt>
                <c:pt idx="229">
                  <c:v>1.5378389332509595E-2</c:v>
                </c:pt>
                <c:pt idx="230">
                  <c:v>1.3878991727887523E-2</c:v>
                </c:pt>
                <c:pt idx="231">
                  <c:v>1.5657738452982361E-2</c:v>
                </c:pt>
                <c:pt idx="232">
                  <c:v>1.5998451312087519E-2</c:v>
                </c:pt>
                <c:pt idx="233">
                  <c:v>1.7457405674465021E-2</c:v>
                </c:pt>
                <c:pt idx="234">
                  <c:v>1.4096936928125995E-2</c:v>
                </c:pt>
                <c:pt idx="235">
                  <c:v>1.5380001804359217E-2</c:v>
                </c:pt>
                <c:pt idx="236">
                  <c:v>1.5574775521861374E-2</c:v>
                </c:pt>
                <c:pt idx="237">
                  <c:v>1.4915981295729703E-2</c:v>
                </c:pt>
                <c:pt idx="238">
                  <c:v>-5.7654964482793523E-2</c:v>
                </c:pt>
                <c:pt idx="239">
                  <c:v>-8.8813896106863827E-2</c:v>
                </c:pt>
                <c:pt idx="240">
                  <c:v>-0.23925151239797224</c:v>
                </c:pt>
                <c:pt idx="241">
                  <c:v>-0.3090800828799129</c:v>
                </c:pt>
                <c:pt idx="242">
                  <c:v>-0.32814022162791523</c:v>
                </c:pt>
                <c:pt idx="243">
                  <c:v>-0.39124244933010538</c:v>
                </c:pt>
                <c:pt idx="244">
                  <c:v>-0.53298541911644148</c:v>
                </c:pt>
                <c:pt idx="245">
                  <c:v>-0.59205879246752546</c:v>
                </c:pt>
                <c:pt idx="246">
                  <c:v>-0.59542624034272795</c:v>
                </c:pt>
                <c:pt idx="247">
                  <c:v>-0.74692456520420658</c:v>
                </c:pt>
                <c:pt idx="248">
                  <c:v>-0.85079632168777475</c:v>
                </c:pt>
                <c:pt idx="249">
                  <c:v>-0.86326883611605354</c:v>
                </c:pt>
                <c:pt idx="250">
                  <c:v>-0.9667056709216818</c:v>
                </c:pt>
                <c:pt idx="251">
                  <c:v>-1.0984915845935961</c:v>
                </c:pt>
                <c:pt idx="252">
                  <c:v>-1.1173819504039535</c:v>
                </c:pt>
                <c:pt idx="253">
                  <c:v>-1.1156699805805705</c:v>
                </c:pt>
                <c:pt idx="254">
                  <c:v>-1.0907938013275686</c:v>
                </c:pt>
                <c:pt idx="255">
                  <c:v>-0.97865660537667354</c:v>
                </c:pt>
                <c:pt idx="256">
                  <c:v>-0.89244564627857859</c:v>
                </c:pt>
                <c:pt idx="257">
                  <c:v>-0.86809857162854998</c:v>
                </c:pt>
                <c:pt idx="258">
                  <c:v>-0.75500709583847714</c:v>
                </c:pt>
                <c:pt idx="259">
                  <c:v>-0.6941004144208206</c:v>
                </c:pt>
                <c:pt idx="260">
                  <c:v>-0.64051681055377485</c:v>
                </c:pt>
                <c:pt idx="261">
                  <c:v>-0.53186373115078023</c:v>
                </c:pt>
                <c:pt idx="262">
                  <c:v>-0.49585608217919352</c:v>
                </c:pt>
                <c:pt idx="263">
                  <c:v>-0.42388459289859043</c:v>
                </c:pt>
                <c:pt idx="264">
                  <c:v>-0.32050998231131117</c:v>
                </c:pt>
                <c:pt idx="265">
                  <c:v>-0.29752090141039333</c:v>
                </c:pt>
                <c:pt idx="266">
                  <c:v>-0.20474560931924057</c:v>
                </c:pt>
                <c:pt idx="267">
                  <c:v>-0.1027754084882793</c:v>
                </c:pt>
                <c:pt idx="268">
                  <c:v>-9.9206085912943623E-2</c:v>
                </c:pt>
                <c:pt idx="269">
                  <c:v>-1.3025601526996014E-2</c:v>
                </c:pt>
                <c:pt idx="270">
                  <c:v>-0.10613491941524557</c:v>
                </c:pt>
                <c:pt idx="271">
                  <c:v>-0.13210932303010353</c:v>
                </c:pt>
                <c:pt idx="272">
                  <c:v>-0.25619064157818344</c:v>
                </c:pt>
                <c:pt idx="273">
                  <c:v>-0.39653308089572509</c:v>
                </c:pt>
                <c:pt idx="274">
                  <c:v>-0.42104449458086629</c:v>
                </c:pt>
                <c:pt idx="275">
                  <c:v>-0.57442863414211398</c:v>
                </c:pt>
                <c:pt idx="276">
                  <c:v>-0.66094994190721224</c:v>
                </c:pt>
                <c:pt idx="277">
                  <c:v>-0.74142947079753718</c:v>
                </c:pt>
                <c:pt idx="278">
                  <c:v>-0.90511198639567403</c:v>
                </c:pt>
                <c:pt idx="279">
                  <c:v>-0.92535697990719168</c:v>
                </c:pt>
                <c:pt idx="280">
                  <c:v>-1.0397003514251553</c:v>
                </c:pt>
                <c:pt idx="281">
                  <c:v>-1.1407259142361779</c:v>
                </c:pt>
                <c:pt idx="282">
                  <c:v>-1.1897522892720045</c:v>
                </c:pt>
                <c:pt idx="283">
                  <c:v>-1.2446750860096276</c:v>
                </c:pt>
                <c:pt idx="284">
                  <c:v>-1.3333340108859466</c:v>
                </c:pt>
                <c:pt idx="285">
                  <c:v>-1.4184992480571372</c:v>
                </c:pt>
                <c:pt idx="286">
                  <c:v>-1.4542655229666162</c:v>
                </c:pt>
                <c:pt idx="287">
                  <c:v>-1.5009965547629258</c:v>
                </c:pt>
                <c:pt idx="288">
                  <c:v>-1.5794551929460907</c:v>
                </c:pt>
                <c:pt idx="289">
                  <c:v>-1.7187218258370782</c:v>
                </c:pt>
                <c:pt idx="290">
                  <c:v>-1.7513048158483622</c:v>
                </c:pt>
                <c:pt idx="291">
                  <c:v>-1.8350084326839613</c:v>
                </c:pt>
                <c:pt idx="292">
                  <c:v>-1.9094404358358383</c:v>
                </c:pt>
                <c:pt idx="293">
                  <c:v>-1.980325620298206</c:v>
                </c:pt>
                <c:pt idx="294">
                  <c:v>-1.9830732771239075</c:v>
                </c:pt>
                <c:pt idx="295">
                  <c:v>-2.044664514802125</c:v>
                </c:pt>
                <c:pt idx="296">
                  <c:v>-1.9907730065306828</c:v>
                </c:pt>
                <c:pt idx="297">
                  <c:v>-2.0629042329987572</c:v>
                </c:pt>
                <c:pt idx="298">
                  <c:v>-2.1403086603690205</c:v>
                </c:pt>
                <c:pt idx="299">
                  <c:v>-2.3479552809471995</c:v>
                </c:pt>
                <c:pt idx="300">
                  <c:v>-2.4835324991299683</c:v>
                </c:pt>
                <c:pt idx="301">
                  <c:v>-2.502551909716785</c:v>
                </c:pt>
                <c:pt idx="302">
                  <c:v>-2.6386326941837059</c:v>
                </c:pt>
                <c:pt idx="303">
                  <c:v>-2.7465092312476052</c:v>
                </c:pt>
                <c:pt idx="304">
                  <c:v>-2.7527275109239229</c:v>
                </c:pt>
                <c:pt idx="305">
                  <c:v>-2.8470812380761581</c:v>
                </c:pt>
                <c:pt idx="306">
                  <c:v>-3.0181603120405134</c:v>
                </c:pt>
                <c:pt idx="307">
                  <c:v>-3.0365416129012432</c:v>
                </c:pt>
                <c:pt idx="308">
                  <c:v>-3.1109188726314119</c:v>
                </c:pt>
                <c:pt idx="309">
                  <c:v>-3.2233176306028355</c:v>
                </c:pt>
                <c:pt idx="310">
                  <c:v>-3.2942366883326328</c:v>
                </c:pt>
                <c:pt idx="311">
                  <c:v>-3.2913476719190027</c:v>
                </c:pt>
                <c:pt idx="312">
                  <c:v>-3.1541890726487436</c:v>
                </c:pt>
                <c:pt idx="313">
                  <c:v>-3.0408588150454348</c:v>
                </c:pt>
                <c:pt idx="314">
                  <c:v>-3.0130967991704813</c:v>
                </c:pt>
                <c:pt idx="315">
                  <c:v>-2.9069991133127129</c:v>
                </c:pt>
                <c:pt idx="316">
                  <c:v>-2.8128573967955228</c:v>
                </c:pt>
                <c:pt idx="317">
                  <c:v>-2.7765072756411113</c:v>
                </c:pt>
                <c:pt idx="318">
                  <c:v>-2.6747440911293849</c:v>
                </c:pt>
                <c:pt idx="319">
                  <c:v>-2.5125597683202634</c:v>
                </c:pt>
                <c:pt idx="320">
                  <c:v>-2.5069073802762878</c:v>
                </c:pt>
                <c:pt idx="321">
                  <c:v>-2.3701923488803809</c:v>
                </c:pt>
                <c:pt idx="322">
                  <c:v>-2.2853876093774903</c:v>
                </c:pt>
                <c:pt idx="323">
                  <c:v>-2.2475926418439469</c:v>
                </c:pt>
                <c:pt idx="324">
                  <c:v>-2.164722700852205</c:v>
                </c:pt>
                <c:pt idx="325">
                  <c:v>-2.027227745162576</c:v>
                </c:pt>
                <c:pt idx="326">
                  <c:v>-1.9829895812384557</c:v>
                </c:pt>
                <c:pt idx="327">
                  <c:v>-1.96113824285181</c:v>
                </c:pt>
                <c:pt idx="328">
                  <c:v>-1.8531775712972738</c:v>
                </c:pt>
                <c:pt idx="329">
                  <c:v>-1.7188084902939194</c:v>
                </c:pt>
                <c:pt idx="330">
                  <c:v>-1.6829528751076468</c:v>
                </c:pt>
                <c:pt idx="331">
                  <c:v>-1.5232498816570348</c:v>
                </c:pt>
                <c:pt idx="332">
                  <c:v>-1.4544347732073932</c:v>
                </c:pt>
                <c:pt idx="333">
                  <c:v>-1.3956203350309397</c:v>
                </c:pt>
                <c:pt idx="334">
                  <c:v>-1.2715091334590118</c:v>
                </c:pt>
                <c:pt idx="335">
                  <c:v>-1.1897308612764133</c:v>
                </c:pt>
                <c:pt idx="336">
                  <c:v>-1.1807143842282366</c:v>
                </c:pt>
                <c:pt idx="337">
                  <c:v>-1.1145362572418109</c:v>
                </c:pt>
                <c:pt idx="338">
                  <c:v>-1.0208945527320337</c:v>
                </c:pt>
                <c:pt idx="339">
                  <c:v>-0.94789473883032749</c:v>
                </c:pt>
                <c:pt idx="340">
                  <c:v>-0.92532578251421982</c:v>
                </c:pt>
                <c:pt idx="341">
                  <c:v>-0.87204426967946458</c:v>
                </c:pt>
                <c:pt idx="342">
                  <c:v>-0.77822397381254615</c:v>
                </c:pt>
                <c:pt idx="343">
                  <c:v>-0.71222594391016059</c:v>
                </c:pt>
                <c:pt idx="344">
                  <c:v>-0.6611909614433239</c:v>
                </c:pt>
                <c:pt idx="345">
                  <c:v>-0.61819368849954637</c:v>
                </c:pt>
                <c:pt idx="346">
                  <c:v>-0.54097749029589615</c:v>
                </c:pt>
                <c:pt idx="347">
                  <c:v>-0.47494197426270557</c:v>
                </c:pt>
                <c:pt idx="348">
                  <c:v>-0.39680076018673466</c:v>
                </c:pt>
                <c:pt idx="349">
                  <c:v>-0.35473693434465653</c:v>
                </c:pt>
                <c:pt idx="350">
                  <c:v>-0.26229738253777557</c:v>
                </c:pt>
                <c:pt idx="351">
                  <c:v>-0.19655033421198093</c:v>
                </c:pt>
                <c:pt idx="352">
                  <c:v>-0.13215282175816867</c:v>
                </c:pt>
                <c:pt idx="353">
                  <c:v>-9.9822267240426213E-2</c:v>
                </c:pt>
                <c:pt idx="354">
                  <c:v>-1.4362666523412008E-2</c:v>
                </c:pt>
                <c:pt idx="355">
                  <c:v>-7.1673593707030608E-2</c:v>
                </c:pt>
                <c:pt idx="356">
                  <c:v>-6.8077781895836575E-2</c:v>
                </c:pt>
                <c:pt idx="357">
                  <c:v>-3.6581146677929631E-2</c:v>
                </c:pt>
                <c:pt idx="358">
                  <c:v>-0.14080609366356592</c:v>
                </c:pt>
                <c:pt idx="359">
                  <c:v>-0.14457449848064235</c:v>
                </c:pt>
                <c:pt idx="360">
                  <c:v>-0.13495840961303651</c:v>
                </c:pt>
                <c:pt idx="361">
                  <c:v>-0.1343757316539691</c:v>
                </c:pt>
                <c:pt idx="362">
                  <c:v>-0.12357061519713594</c:v>
                </c:pt>
                <c:pt idx="363">
                  <c:v>-0.13997557561439644</c:v>
                </c:pt>
                <c:pt idx="364">
                  <c:v>-0.14642599702934295</c:v>
                </c:pt>
                <c:pt idx="365">
                  <c:v>-0.14590912315449936</c:v>
                </c:pt>
                <c:pt idx="366">
                  <c:v>-0.16833313790234203</c:v>
                </c:pt>
                <c:pt idx="367">
                  <c:v>-0.17614499261555408</c:v>
                </c:pt>
                <c:pt idx="368">
                  <c:v>-0.18006613086796588</c:v>
                </c:pt>
                <c:pt idx="369">
                  <c:v>-0.17987063964715191</c:v>
                </c:pt>
                <c:pt idx="370">
                  <c:v>-0.11354964776784644</c:v>
                </c:pt>
                <c:pt idx="371">
                  <c:v>-0.14285393007787142</c:v>
                </c:pt>
                <c:pt idx="372">
                  <c:v>-0.17461170618039978</c:v>
                </c:pt>
                <c:pt idx="373">
                  <c:v>-0.17462276017754202</c:v>
                </c:pt>
                <c:pt idx="374">
                  <c:v>-0.20262120649161156</c:v>
                </c:pt>
                <c:pt idx="375">
                  <c:v>-0.27176398811575986</c:v>
                </c:pt>
                <c:pt idx="376">
                  <c:v>-0.23630576697702266</c:v>
                </c:pt>
                <c:pt idx="377">
                  <c:v>-0.23616326080652306</c:v>
                </c:pt>
                <c:pt idx="378">
                  <c:v>-0.23373097542875659</c:v>
                </c:pt>
                <c:pt idx="379">
                  <c:v>-0.20357797019035456</c:v>
                </c:pt>
                <c:pt idx="380">
                  <c:v>-0.11515041468811843</c:v>
                </c:pt>
                <c:pt idx="381">
                  <c:v>-0.14613534881217854</c:v>
                </c:pt>
                <c:pt idx="382">
                  <c:v>-0.14689434059428044</c:v>
                </c:pt>
                <c:pt idx="383">
                  <c:v>-0.14724976823977762</c:v>
                </c:pt>
                <c:pt idx="384">
                  <c:v>-0.21221608934303129</c:v>
                </c:pt>
                <c:pt idx="385">
                  <c:v>-0.10498411068536617</c:v>
                </c:pt>
                <c:pt idx="386">
                  <c:v>-0.10014219896412749</c:v>
                </c:pt>
                <c:pt idx="387">
                  <c:v>-4.8356081332074904E-2</c:v>
                </c:pt>
                <c:pt idx="388">
                  <c:v>-0.15013822635266361</c:v>
                </c:pt>
                <c:pt idx="389">
                  <c:v>-9.6617677436657209E-2</c:v>
                </c:pt>
                <c:pt idx="390">
                  <c:v>-9.6245912711701215E-2</c:v>
                </c:pt>
                <c:pt idx="391">
                  <c:v>-9.2366898033646547E-2</c:v>
                </c:pt>
                <c:pt idx="392">
                  <c:v>-1.067956031299289E-2</c:v>
                </c:pt>
                <c:pt idx="393">
                  <c:v>1.6005973854496869E-2</c:v>
                </c:pt>
                <c:pt idx="394">
                  <c:v>1.7746875693287839E-2</c:v>
                </c:pt>
                <c:pt idx="395">
                  <c:v>5.1726355195051137E-2</c:v>
                </c:pt>
                <c:pt idx="396">
                  <c:v>4.1215730542880955E-2</c:v>
                </c:pt>
                <c:pt idx="397">
                  <c:v>1.8176084649646221E-2</c:v>
                </c:pt>
                <c:pt idx="398">
                  <c:v>1.7874059256943974E-2</c:v>
                </c:pt>
                <c:pt idx="399">
                  <c:v>1.7234037357405474E-2</c:v>
                </c:pt>
                <c:pt idx="400">
                  <c:v>2.0466509381215078E-2</c:v>
                </c:pt>
                <c:pt idx="401">
                  <c:v>1.9608620503301186E-2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9-4DE4-8CA7-23BCF5F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24432"/>
        <c:axId val="238225088"/>
      </c:scatterChart>
      <c:valAx>
        <c:axId val="2382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8225088"/>
        <c:crosses val="autoZero"/>
        <c:crossBetween val="midCat"/>
      </c:valAx>
      <c:valAx>
        <c:axId val="23822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224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theta-dis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0">
                  <c:v>Base-1</c:v>
                </c:pt>
                <c:pt idx="1">
                  <c:v>Angular Displacement1 (deg) (theta-dis)</c:v>
                </c:pt>
                <c:pt idx="2">
                  <c:v>thata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Sheet1!$D$4:$D$405</c:f>
              <c:numCache>
                <c:formatCode>0.0000E+00</c:formatCode>
                <c:ptCount val="402"/>
                <c:pt idx="0">
                  <c:v>-3.6402442252687967E-15</c:v>
                </c:pt>
                <c:pt idx="1">
                  <c:v>-1.49637627127674E-3</c:v>
                </c:pt>
                <c:pt idx="2">
                  <c:v>-7.0835544923059839E-3</c:v>
                </c:pt>
                <c:pt idx="3">
                  <c:v>-1.1397435746503197E-2</c:v>
                </c:pt>
                <c:pt idx="4">
                  <c:v>-1.8457823234358611E-2</c:v>
                </c:pt>
                <c:pt idx="5">
                  <c:v>-2.6025470586651115E-2</c:v>
                </c:pt>
                <c:pt idx="6">
                  <c:v>-3.6831283971843293E-2</c:v>
                </c:pt>
                <c:pt idx="7">
                  <c:v>-3.9486509707073167E-2</c:v>
                </c:pt>
                <c:pt idx="8">
                  <c:v>-5.2963348982292081E-2</c:v>
                </c:pt>
                <c:pt idx="9">
                  <c:v>-6.5409172821301931E-2</c:v>
                </c:pt>
                <c:pt idx="10">
                  <c:v>-6.7562760148734788E-2</c:v>
                </c:pt>
                <c:pt idx="11">
                  <c:v>-8.0813657058877469E-2</c:v>
                </c:pt>
                <c:pt idx="12">
                  <c:v>-9.5139830383130494E-2</c:v>
                </c:pt>
                <c:pt idx="13">
                  <c:v>-0.10376347102809133</c:v>
                </c:pt>
                <c:pt idx="14">
                  <c:v>-0.11697044093773436</c:v>
                </c:pt>
                <c:pt idx="15">
                  <c:v>-0.1450853949867128</c:v>
                </c:pt>
                <c:pt idx="16">
                  <c:v>-0.14686289235614797</c:v>
                </c:pt>
                <c:pt idx="17">
                  <c:v>-0.16715803373711424</c:v>
                </c:pt>
                <c:pt idx="18">
                  <c:v>-0.18910086856863625</c:v>
                </c:pt>
                <c:pt idx="19">
                  <c:v>-0.19814748084264264</c:v>
                </c:pt>
                <c:pt idx="20">
                  <c:v>-0.21486951502683746</c:v>
                </c:pt>
                <c:pt idx="21">
                  <c:v>-0.24068521343670579</c:v>
                </c:pt>
                <c:pt idx="22">
                  <c:v>-0.25767715504868444</c:v>
                </c:pt>
                <c:pt idx="23">
                  <c:v>-0.27628000172158423</c:v>
                </c:pt>
                <c:pt idx="24">
                  <c:v>-0.31377190694201568</c:v>
                </c:pt>
                <c:pt idx="25">
                  <c:v>-0.32566094139887403</c:v>
                </c:pt>
                <c:pt idx="26">
                  <c:v>-0.34824063477688871</c:v>
                </c:pt>
                <c:pt idx="27">
                  <c:v>-0.38232937576695225</c:v>
                </c:pt>
                <c:pt idx="28">
                  <c:v>-0.40245702476855483</c:v>
                </c:pt>
                <c:pt idx="29">
                  <c:v>-0.42003019544212061</c:v>
                </c:pt>
                <c:pt idx="30">
                  <c:v>-0.4588517152128318</c:v>
                </c:pt>
                <c:pt idx="31">
                  <c:v>-0.48833662542283834</c:v>
                </c:pt>
                <c:pt idx="32">
                  <c:v>-0.50672206891805516</c:v>
                </c:pt>
                <c:pt idx="33">
                  <c:v>-0.556654871082918</c:v>
                </c:pt>
                <c:pt idx="34">
                  <c:v>-0.58391919252481528</c:v>
                </c:pt>
                <c:pt idx="35">
                  <c:v>-0.60505120930075229</c:v>
                </c:pt>
                <c:pt idx="36">
                  <c:v>-0.65256357334082327</c:v>
                </c:pt>
                <c:pt idx="37">
                  <c:v>-0.6898858396825357</c:v>
                </c:pt>
                <c:pt idx="38">
                  <c:v>-0.70403539909107793</c:v>
                </c:pt>
                <c:pt idx="39">
                  <c:v>-0.76041910124722112</c:v>
                </c:pt>
                <c:pt idx="40">
                  <c:v>-0.80648563433790166</c:v>
                </c:pt>
                <c:pt idx="41">
                  <c:v>-0.82709826487498062</c:v>
                </c:pt>
                <c:pt idx="42">
                  <c:v>-0.87561154801852958</c:v>
                </c:pt>
                <c:pt idx="43">
                  <c:v>-0.92756348083706697</c:v>
                </c:pt>
                <c:pt idx="44">
                  <c:v>-0.92774707055874317</c:v>
                </c:pt>
                <c:pt idx="45">
                  <c:v>-0.9784287852911101</c:v>
                </c:pt>
                <c:pt idx="46">
                  <c:v>-1.0339856855379517</c:v>
                </c:pt>
                <c:pt idx="47">
                  <c:v>-1.055239316112955</c:v>
                </c:pt>
                <c:pt idx="48">
                  <c:v>-1.1244562201720021</c:v>
                </c:pt>
                <c:pt idx="49">
                  <c:v>-1.1043243716708415</c:v>
                </c:pt>
                <c:pt idx="50">
                  <c:v>-1.0803079502845334</c:v>
                </c:pt>
                <c:pt idx="51">
                  <c:v>-0.52189472408387205</c:v>
                </c:pt>
                <c:pt idx="52">
                  <c:v>-6.5887012705025672E-2</c:v>
                </c:pt>
                <c:pt idx="53">
                  <c:v>0.7466419481707447</c:v>
                </c:pt>
                <c:pt idx="54">
                  <c:v>2.1748929341237231</c:v>
                </c:pt>
                <c:pt idx="55">
                  <c:v>2.3830721452511465</c:v>
                </c:pt>
                <c:pt idx="56">
                  <c:v>3.9299186629174914</c:v>
                </c:pt>
                <c:pt idx="57">
                  <c:v>5.1845739747400623</c:v>
                </c:pt>
                <c:pt idx="58">
                  <c:v>5.6064318938916138</c:v>
                </c:pt>
                <c:pt idx="59">
                  <c:v>7.2868612184688963</c:v>
                </c:pt>
                <c:pt idx="60">
                  <c:v>8.3541693968379143</c:v>
                </c:pt>
                <c:pt idx="61">
                  <c:v>9.685950715367996</c:v>
                </c:pt>
                <c:pt idx="62">
                  <c:v>9.8480255621854713</c:v>
                </c:pt>
                <c:pt idx="63">
                  <c:v>11.140736281047712</c:v>
                </c:pt>
                <c:pt idx="64">
                  <c:v>12.785847800355088</c:v>
                </c:pt>
                <c:pt idx="65">
                  <c:v>14.695574936386194</c:v>
                </c:pt>
                <c:pt idx="66">
                  <c:v>15.070568983227204</c:v>
                </c:pt>
                <c:pt idx="67">
                  <c:v>16.963549126403279</c:v>
                </c:pt>
                <c:pt idx="68">
                  <c:v>19.008432398531401</c:v>
                </c:pt>
                <c:pt idx="69">
                  <c:v>20.149056349641711</c:v>
                </c:pt>
                <c:pt idx="70">
                  <c:v>20.43619073702741</c:v>
                </c:pt>
                <c:pt idx="71">
                  <c:v>23.174360762499333</c:v>
                </c:pt>
                <c:pt idx="72">
                  <c:v>26.124316716022964</c:v>
                </c:pt>
                <c:pt idx="73">
                  <c:v>26.208549177983059</c:v>
                </c:pt>
                <c:pt idx="74">
                  <c:v>28.757430849429557</c:v>
                </c:pt>
                <c:pt idx="75">
                  <c:v>31.584961210060744</c:v>
                </c:pt>
                <c:pt idx="76">
                  <c:v>32.874024569233235</c:v>
                </c:pt>
                <c:pt idx="77">
                  <c:v>35.448824541045411</c:v>
                </c:pt>
                <c:pt idx="78">
                  <c:v>39.272805323149711</c:v>
                </c:pt>
                <c:pt idx="79">
                  <c:v>40.144411145917196</c:v>
                </c:pt>
                <c:pt idx="80">
                  <c:v>43.022159499410421</c:v>
                </c:pt>
                <c:pt idx="81">
                  <c:v>45.14719549056931</c:v>
                </c:pt>
                <c:pt idx="82">
                  <c:v>47.415577577795737</c:v>
                </c:pt>
                <c:pt idx="83">
                  <c:v>48.399098734545461</c:v>
                </c:pt>
                <c:pt idx="84">
                  <c:v>52.104572340548344</c:v>
                </c:pt>
                <c:pt idx="85">
                  <c:v>54.081718809676772</c:v>
                </c:pt>
                <c:pt idx="86">
                  <c:v>54.294553351500227</c:v>
                </c:pt>
                <c:pt idx="87">
                  <c:v>55.869084793271973</c:v>
                </c:pt>
                <c:pt idx="88">
                  <c:v>58.353302781802427</c:v>
                </c:pt>
                <c:pt idx="89">
                  <c:v>59.967418863195917</c:v>
                </c:pt>
                <c:pt idx="90">
                  <c:v>60.141853524884986</c:v>
                </c:pt>
                <c:pt idx="91">
                  <c:v>63.011419118823895</c:v>
                </c:pt>
                <c:pt idx="92">
                  <c:v>65.595964687187049</c:v>
                </c:pt>
                <c:pt idx="93">
                  <c:v>66.044363877582072</c:v>
                </c:pt>
                <c:pt idx="94">
                  <c:v>68.587090732396902</c:v>
                </c:pt>
                <c:pt idx="95">
                  <c:v>69.826080807878583</c:v>
                </c:pt>
                <c:pt idx="96">
                  <c:v>70.444030578616477</c:v>
                </c:pt>
                <c:pt idx="97">
                  <c:v>71.946740141888256</c:v>
                </c:pt>
                <c:pt idx="98">
                  <c:v>74.274168017494475</c:v>
                </c:pt>
                <c:pt idx="99">
                  <c:v>74.686097854625658</c:v>
                </c:pt>
                <c:pt idx="100">
                  <c:v>76.214172605409374</c:v>
                </c:pt>
                <c:pt idx="101">
                  <c:v>77.482164706372288</c:v>
                </c:pt>
                <c:pt idx="102">
                  <c:v>78.322176662010349</c:v>
                </c:pt>
                <c:pt idx="103">
                  <c:v>78.740599406692084</c:v>
                </c:pt>
                <c:pt idx="104">
                  <c:v>80.527940371787068</c:v>
                </c:pt>
                <c:pt idx="105">
                  <c:v>81.259875906350516</c:v>
                </c:pt>
                <c:pt idx="106">
                  <c:v>81.352259840744864</c:v>
                </c:pt>
                <c:pt idx="107">
                  <c:v>82.204667209483404</c:v>
                </c:pt>
                <c:pt idx="108">
                  <c:v>83.028305019998214</c:v>
                </c:pt>
                <c:pt idx="109">
                  <c:v>83.776364790326767</c:v>
                </c:pt>
                <c:pt idx="110">
                  <c:v>84.592269990050141</c:v>
                </c:pt>
                <c:pt idx="111">
                  <c:v>85.594457291917863</c:v>
                </c:pt>
                <c:pt idx="112">
                  <c:v>85.717390104187686</c:v>
                </c:pt>
                <c:pt idx="113">
                  <c:v>86.630566004007719</c:v>
                </c:pt>
                <c:pt idx="114">
                  <c:v>86.806574443191224</c:v>
                </c:pt>
                <c:pt idx="115">
                  <c:v>86.996554759463933</c:v>
                </c:pt>
                <c:pt idx="116">
                  <c:v>87.410480207574892</c:v>
                </c:pt>
                <c:pt idx="117">
                  <c:v>87.412694002490994</c:v>
                </c:pt>
                <c:pt idx="118">
                  <c:v>87.491960817728554</c:v>
                </c:pt>
                <c:pt idx="119">
                  <c:v>87.566379956736014</c:v>
                </c:pt>
                <c:pt idx="120">
                  <c:v>87.598600920422982</c:v>
                </c:pt>
                <c:pt idx="121">
                  <c:v>87.78450648552105</c:v>
                </c:pt>
                <c:pt idx="122">
                  <c:v>88.024023127731439</c:v>
                </c:pt>
                <c:pt idx="123">
                  <c:v>88.172167009262253</c:v>
                </c:pt>
                <c:pt idx="124">
                  <c:v>88.491233381929547</c:v>
                </c:pt>
                <c:pt idx="125">
                  <c:v>89.133404858596847</c:v>
                </c:pt>
                <c:pt idx="126">
                  <c:v>89.383930401636945</c:v>
                </c:pt>
                <c:pt idx="127">
                  <c:v>89.972840613004436</c:v>
                </c:pt>
                <c:pt idx="128">
                  <c:v>90.583518301315806</c:v>
                </c:pt>
                <c:pt idx="129">
                  <c:v>91.201677341871289</c:v>
                </c:pt>
                <c:pt idx="130">
                  <c:v>91.548195118154325</c:v>
                </c:pt>
                <c:pt idx="131">
                  <c:v>92.804162536124807</c:v>
                </c:pt>
                <c:pt idx="132">
                  <c:v>93.625409243734467</c:v>
                </c:pt>
                <c:pt idx="133">
                  <c:v>94.257127674738911</c:v>
                </c:pt>
                <c:pt idx="134">
                  <c:v>95.3265497199897</c:v>
                </c:pt>
                <c:pt idx="135">
                  <c:v>96.655113846010352</c:v>
                </c:pt>
                <c:pt idx="136">
                  <c:v>96.693481454475545</c:v>
                </c:pt>
                <c:pt idx="137">
                  <c:v>97.844505314803072</c:v>
                </c:pt>
                <c:pt idx="138">
                  <c:v>100.29078631385013</c:v>
                </c:pt>
                <c:pt idx="139">
                  <c:v>100.83204877109287</c:v>
                </c:pt>
                <c:pt idx="140">
                  <c:v>102.13819849688619</c:v>
                </c:pt>
                <c:pt idx="141">
                  <c:v>103.53731085545937</c:v>
                </c:pt>
                <c:pt idx="142">
                  <c:v>104.53238322007059</c:v>
                </c:pt>
                <c:pt idx="143">
                  <c:v>106.05440965514401</c:v>
                </c:pt>
                <c:pt idx="144">
                  <c:v>109.18841931659438</c:v>
                </c:pt>
                <c:pt idx="145">
                  <c:v>109.37986030562124</c:v>
                </c:pt>
                <c:pt idx="146">
                  <c:v>110.52760549926002</c:v>
                </c:pt>
                <c:pt idx="147">
                  <c:v>114.18946227673226</c:v>
                </c:pt>
                <c:pt idx="148">
                  <c:v>114.83322112398774</c:v>
                </c:pt>
                <c:pt idx="149">
                  <c:v>118.50789517022523</c:v>
                </c:pt>
                <c:pt idx="150">
                  <c:v>120.89254715977879</c:v>
                </c:pt>
                <c:pt idx="151">
                  <c:v>122.65212126577892</c:v>
                </c:pt>
                <c:pt idx="152">
                  <c:v>124.30306526237783</c:v>
                </c:pt>
                <c:pt idx="153">
                  <c:v>127.55810016175886</c:v>
                </c:pt>
                <c:pt idx="154">
                  <c:v>128.24920035383539</c:v>
                </c:pt>
                <c:pt idx="155">
                  <c:v>130.49679346309284</c:v>
                </c:pt>
                <c:pt idx="156">
                  <c:v>134.09754899814115</c:v>
                </c:pt>
                <c:pt idx="157">
                  <c:v>134.82859813860614</c:v>
                </c:pt>
                <c:pt idx="158">
                  <c:v>140.25467911334147</c:v>
                </c:pt>
                <c:pt idx="159">
                  <c:v>142.25119246035362</c:v>
                </c:pt>
                <c:pt idx="160">
                  <c:v>145.46965820617649</c:v>
                </c:pt>
                <c:pt idx="161">
                  <c:v>147.49834597975456</c:v>
                </c:pt>
                <c:pt idx="162">
                  <c:v>149.37162678210763</c:v>
                </c:pt>
                <c:pt idx="163">
                  <c:v>150.18318121377686</c:v>
                </c:pt>
                <c:pt idx="164">
                  <c:v>152.15547382841473</c:v>
                </c:pt>
                <c:pt idx="165">
                  <c:v>156.1706865238223</c:v>
                </c:pt>
                <c:pt idx="166">
                  <c:v>156.18901866360736</c:v>
                </c:pt>
                <c:pt idx="167">
                  <c:v>159.14659722286277</c:v>
                </c:pt>
                <c:pt idx="168">
                  <c:v>162.70346485442241</c:v>
                </c:pt>
                <c:pt idx="169">
                  <c:v>163.07993273543207</c:v>
                </c:pt>
                <c:pt idx="170">
                  <c:v>167.92921841626634</c:v>
                </c:pt>
                <c:pt idx="171">
                  <c:v>168.91488615057168</c:v>
                </c:pt>
                <c:pt idx="172">
                  <c:v>169.92417166702035</c:v>
                </c:pt>
                <c:pt idx="173">
                  <c:v>174.00716548524011</c:v>
                </c:pt>
                <c:pt idx="174">
                  <c:v>174.82335013151692</c:v>
                </c:pt>
                <c:pt idx="175">
                  <c:v>176.81265529019112</c:v>
                </c:pt>
                <c:pt idx="176">
                  <c:v>178.34695589804767</c:v>
                </c:pt>
                <c:pt idx="177">
                  <c:v>179.73234740854835</c:v>
                </c:pt>
                <c:pt idx="178">
                  <c:v>-179.57117337518665</c:v>
                </c:pt>
                <c:pt idx="179">
                  <c:v>-176.26768689524766</c:v>
                </c:pt>
                <c:pt idx="180">
                  <c:v>-174.8384328319853</c:v>
                </c:pt>
                <c:pt idx="181">
                  <c:v>-174.26870205720644</c:v>
                </c:pt>
                <c:pt idx="182">
                  <c:v>-172.43775734428655</c:v>
                </c:pt>
                <c:pt idx="183">
                  <c:v>-169.26918426512728</c:v>
                </c:pt>
                <c:pt idx="184">
                  <c:v>-167.86291778125138</c:v>
                </c:pt>
                <c:pt idx="185">
                  <c:v>-164.57269805248228</c:v>
                </c:pt>
                <c:pt idx="186">
                  <c:v>-164.46143833166695</c:v>
                </c:pt>
                <c:pt idx="187">
                  <c:v>-160.75461776039759</c:v>
                </c:pt>
                <c:pt idx="188">
                  <c:v>-160.17918956605811</c:v>
                </c:pt>
                <c:pt idx="189">
                  <c:v>-157.73321507349115</c:v>
                </c:pt>
                <c:pt idx="190">
                  <c:v>-156.08868614220225</c:v>
                </c:pt>
                <c:pt idx="191">
                  <c:v>-152.26630249963443</c:v>
                </c:pt>
                <c:pt idx="192">
                  <c:v>-152.18881133750824</c:v>
                </c:pt>
                <c:pt idx="193">
                  <c:v>-150.6774648075336</c:v>
                </c:pt>
                <c:pt idx="194">
                  <c:v>-149.4631440785268</c:v>
                </c:pt>
                <c:pt idx="195">
                  <c:v>-148.84049370019099</c:v>
                </c:pt>
                <c:pt idx="196">
                  <c:v>-148.0396952878032</c:v>
                </c:pt>
                <c:pt idx="197">
                  <c:v>-146.55448682142946</c:v>
                </c:pt>
                <c:pt idx="198">
                  <c:v>-145.7978658546221</c:v>
                </c:pt>
                <c:pt idx="199">
                  <c:v>-145.16638218975726</c:v>
                </c:pt>
                <c:pt idx="200">
                  <c:v>-143.90439198361295</c:v>
                </c:pt>
                <c:pt idx="201">
                  <c:v>-143.12324267316504</c:v>
                </c:pt>
                <c:pt idx="202">
                  <c:v>-142.73148500071821</c:v>
                </c:pt>
                <c:pt idx="203">
                  <c:v>-141.67395070576217</c:v>
                </c:pt>
                <c:pt idx="204">
                  <c:v>-140.76214286927956</c:v>
                </c:pt>
                <c:pt idx="205">
                  <c:v>-140.65582250836638</c:v>
                </c:pt>
                <c:pt idx="206">
                  <c:v>-139.70386569578275</c:v>
                </c:pt>
                <c:pt idx="207">
                  <c:v>-138.79982529955046</c:v>
                </c:pt>
                <c:pt idx="208">
                  <c:v>-138.74203432698141</c:v>
                </c:pt>
                <c:pt idx="209">
                  <c:v>-138.01546569437519</c:v>
                </c:pt>
                <c:pt idx="210">
                  <c:v>-137.28014254059099</c:v>
                </c:pt>
                <c:pt idx="211">
                  <c:v>-137.03454416265438</c:v>
                </c:pt>
                <c:pt idx="212">
                  <c:v>-136.60380579488947</c:v>
                </c:pt>
                <c:pt idx="213">
                  <c:v>-135.96882415842359</c:v>
                </c:pt>
                <c:pt idx="214">
                  <c:v>-135.63624489333677</c:v>
                </c:pt>
                <c:pt idx="215">
                  <c:v>-135.37544825444806</c:v>
                </c:pt>
                <c:pt idx="216">
                  <c:v>-134.88276830313109</c:v>
                </c:pt>
                <c:pt idx="217">
                  <c:v>-134.56425141080905</c:v>
                </c:pt>
                <c:pt idx="218">
                  <c:v>-134.48169374506716</c:v>
                </c:pt>
                <c:pt idx="219">
                  <c:v>-134.15025011867081</c:v>
                </c:pt>
                <c:pt idx="220">
                  <c:v>-133.90498786553914</c:v>
                </c:pt>
                <c:pt idx="221">
                  <c:v>-133.88448487246632</c:v>
                </c:pt>
                <c:pt idx="222">
                  <c:v>-133.75793290461206</c:v>
                </c:pt>
                <c:pt idx="223">
                  <c:v>-133.72365486488698</c:v>
                </c:pt>
                <c:pt idx="224">
                  <c:v>-133.72496812022123</c:v>
                </c:pt>
                <c:pt idx="225">
                  <c:v>-133.72739847229684</c:v>
                </c:pt>
                <c:pt idx="226">
                  <c:v>-133.73303075038618</c:v>
                </c:pt>
                <c:pt idx="227">
                  <c:v>-133.74033238340107</c:v>
                </c:pt>
                <c:pt idx="228">
                  <c:v>-133.74348500609469</c:v>
                </c:pt>
                <c:pt idx="229">
                  <c:v>-133.75099444208655</c:v>
                </c:pt>
                <c:pt idx="230">
                  <c:v>-133.76273510462013</c:v>
                </c:pt>
                <c:pt idx="231">
                  <c:v>-133.77528269004594</c:v>
                </c:pt>
                <c:pt idx="232">
                  <c:v>-133.7771010903044</c:v>
                </c:pt>
                <c:pt idx="233">
                  <c:v>-133.79091307696211</c:v>
                </c:pt>
                <c:pt idx="234">
                  <c:v>-133.80480549789095</c:v>
                </c:pt>
                <c:pt idx="235">
                  <c:v>-133.81417814746567</c:v>
                </c:pt>
                <c:pt idx="236">
                  <c:v>-133.81761951366167</c:v>
                </c:pt>
                <c:pt idx="237">
                  <c:v>-133.83106945653321</c:v>
                </c:pt>
                <c:pt idx="238">
                  <c:v>-133.82596632830496</c:v>
                </c:pt>
                <c:pt idx="239">
                  <c:v>-133.81084868106345</c:v>
                </c:pt>
                <c:pt idx="240">
                  <c:v>-133.62887550588974</c:v>
                </c:pt>
                <c:pt idx="241">
                  <c:v>-133.40597467822178</c:v>
                </c:pt>
                <c:pt idx="242">
                  <c:v>-133.33995116335007</c:v>
                </c:pt>
                <c:pt idx="243">
                  <c:v>-133.12734976386866</c:v>
                </c:pt>
                <c:pt idx="244">
                  <c:v>-132.63427342515473</c:v>
                </c:pt>
                <c:pt idx="245">
                  <c:v>-132.30476106573863</c:v>
                </c:pt>
                <c:pt idx="246">
                  <c:v>-132.27720541637953</c:v>
                </c:pt>
                <c:pt idx="247">
                  <c:v>-131.32349152004807</c:v>
                </c:pt>
                <c:pt idx="248">
                  <c:v>-130.64482171152548</c:v>
                </c:pt>
                <c:pt idx="249">
                  <c:v>-130.50238909724993</c:v>
                </c:pt>
                <c:pt idx="250">
                  <c:v>-129.49974523606551</c:v>
                </c:pt>
                <c:pt idx="251">
                  <c:v>-128.44144636262132</c:v>
                </c:pt>
                <c:pt idx="252">
                  <c:v>-128.24396384715487</c:v>
                </c:pt>
                <c:pt idx="253">
                  <c:v>-126.13147938975668</c:v>
                </c:pt>
                <c:pt idx="254">
                  <c:v>-125.81354172442623</c:v>
                </c:pt>
                <c:pt idx="255">
                  <c:v>-124.47313402888561</c:v>
                </c:pt>
                <c:pt idx="256">
                  <c:v>-123.54096667005975</c:v>
                </c:pt>
                <c:pt idx="257">
                  <c:v>-123.29383571771737</c:v>
                </c:pt>
                <c:pt idx="258">
                  <c:v>-122.23270098833851</c:v>
                </c:pt>
                <c:pt idx="259">
                  <c:v>-121.72289533715642</c:v>
                </c:pt>
                <c:pt idx="260">
                  <c:v>-121.30957573152293</c:v>
                </c:pt>
                <c:pt idx="261">
                  <c:v>-120.57335732737741</c:v>
                </c:pt>
                <c:pt idx="262">
                  <c:v>-120.35931260642793</c:v>
                </c:pt>
                <c:pt idx="263">
                  <c:v>-119.97701883613438</c:v>
                </c:pt>
                <c:pt idx="264">
                  <c:v>-119.53239025084213</c:v>
                </c:pt>
                <c:pt idx="265">
                  <c:v>-119.45023875079306</c:v>
                </c:pt>
                <c:pt idx="266">
                  <c:v>-119.18102218719329</c:v>
                </c:pt>
                <c:pt idx="267">
                  <c:v>-118.99980852636007</c:v>
                </c:pt>
                <c:pt idx="268">
                  <c:v>-118.99564236885996</c:v>
                </c:pt>
                <c:pt idx="269">
                  <c:v>-118.93705428954489</c:v>
                </c:pt>
                <c:pt idx="270">
                  <c:v>-118.88798783290049</c:v>
                </c:pt>
                <c:pt idx="271">
                  <c:v>-118.86116274888037</c:v>
                </c:pt>
                <c:pt idx="272">
                  <c:v>-118.65235683131107</c:v>
                </c:pt>
                <c:pt idx="273">
                  <c:v>-118.25535713526327</c:v>
                </c:pt>
                <c:pt idx="274">
                  <c:v>-118.16846237990808</c:v>
                </c:pt>
                <c:pt idx="275">
                  <c:v>-117.50683706706099</c:v>
                </c:pt>
                <c:pt idx="276">
                  <c:v>-117.04357923732324</c:v>
                </c:pt>
                <c:pt idx="277">
                  <c:v>-116.55423339922696</c:v>
                </c:pt>
                <c:pt idx="278">
                  <c:v>-115.38678562590655</c:v>
                </c:pt>
                <c:pt idx="279">
                  <c:v>-115.22579922023455</c:v>
                </c:pt>
                <c:pt idx="280">
                  <c:v>-114.25189819231139</c:v>
                </c:pt>
                <c:pt idx="281">
                  <c:v>-113.2980841182746</c:v>
                </c:pt>
                <c:pt idx="282">
                  <c:v>-112.80204444306804</c:v>
                </c:pt>
                <c:pt idx="283">
                  <c:v>-112.22247968577449</c:v>
                </c:pt>
                <c:pt idx="284">
                  <c:v>-111.23284302587716</c:v>
                </c:pt>
                <c:pt idx="285">
                  <c:v>-110.21668288511837</c:v>
                </c:pt>
                <c:pt idx="286">
                  <c:v>-109.77229006898784</c:v>
                </c:pt>
                <c:pt idx="287">
                  <c:v>-109.17290258006793</c:v>
                </c:pt>
                <c:pt idx="288">
                  <c:v>-108.12539208280434</c:v>
                </c:pt>
                <c:pt idx="289">
                  <c:v>-106.1365548300333</c:v>
                </c:pt>
                <c:pt idx="290">
                  <c:v>-105.64550704233348</c:v>
                </c:pt>
                <c:pt idx="291">
                  <c:v>-104.34380287032697</c:v>
                </c:pt>
                <c:pt idx="292">
                  <c:v>-103.13593063779021</c:v>
                </c:pt>
                <c:pt idx="293">
                  <c:v>-101.94252887959541</c:v>
                </c:pt>
                <c:pt idx="294">
                  <c:v>-101.89484197652496</c:v>
                </c:pt>
                <c:pt idx="295">
                  <c:v>-99.846917005866644</c:v>
                </c:pt>
                <c:pt idx="296">
                  <c:v>-98.214251548612296</c:v>
                </c:pt>
                <c:pt idx="297">
                  <c:v>-97.267641882321769</c:v>
                </c:pt>
                <c:pt idx="298">
                  <c:v>-96.73099381096965</c:v>
                </c:pt>
                <c:pt idx="299">
                  <c:v>-95.302407130139628</c:v>
                </c:pt>
                <c:pt idx="300">
                  <c:v>-92.21335436336598</c:v>
                </c:pt>
                <c:pt idx="301">
                  <c:v>-91.909155287733171</c:v>
                </c:pt>
                <c:pt idx="302">
                  <c:v>-89.081450124533148</c:v>
                </c:pt>
                <c:pt idx="303">
                  <c:v>-86.240441678458382</c:v>
                </c:pt>
                <c:pt idx="304">
                  <c:v>-85.854459941027542</c:v>
                </c:pt>
                <c:pt idx="305">
                  <c:v>-83.617453688951088</c:v>
                </c:pt>
                <c:pt idx="306">
                  <c:v>-79.80403945439933</c:v>
                </c:pt>
                <c:pt idx="307">
                  <c:v>-79.221096546184782</c:v>
                </c:pt>
                <c:pt idx="308">
                  <c:v>-76.331355174054508</c:v>
                </c:pt>
                <c:pt idx="309">
                  <c:v>-74.301506417057297</c:v>
                </c:pt>
                <c:pt idx="310">
                  <c:v>-71.985502070094753</c:v>
                </c:pt>
                <c:pt idx="311">
                  <c:v>-71.747756814379443</c:v>
                </c:pt>
                <c:pt idx="312">
                  <c:v>-67.75429756499318</c:v>
                </c:pt>
                <c:pt idx="313">
                  <c:v>-64.714215691820712</c:v>
                </c:pt>
                <c:pt idx="314">
                  <c:v>-63.984018325558061</c:v>
                </c:pt>
                <c:pt idx="315">
                  <c:v>-61.267025132842896</c:v>
                </c:pt>
                <c:pt idx="316">
                  <c:v>-58.927098303672452</c:v>
                </c:pt>
                <c:pt idx="317">
                  <c:v>-58.047965527425234</c:v>
                </c:pt>
                <c:pt idx="318">
                  <c:v>-55.649204249022382</c:v>
                </c:pt>
                <c:pt idx="319">
                  <c:v>-51.987650462787784</c:v>
                </c:pt>
                <c:pt idx="320">
                  <c:v>-51.874050034942648</c:v>
                </c:pt>
                <c:pt idx="321">
                  <c:v>-48.988721110127607</c:v>
                </c:pt>
                <c:pt idx="322">
                  <c:v>-47.272221183489279</c:v>
                </c:pt>
                <c:pt idx="323">
                  <c:v>-46.533339810061101</c:v>
                </c:pt>
                <c:pt idx="324">
                  <c:v>-44.950733048245958</c:v>
                </c:pt>
                <c:pt idx="325">
                  <c:v>-42.450346264880828</c:v>
                </c:pt>
                <c:pt idx="326">
                  <c:v>-41.685156412118246</c:v>
                </c:pt>
                <c:pt idx="327">
                  <c:v>-41.307748639943505</c:v>
                </c:pt>
                <c:pt idx="328">
                  <c:v>-39.526546177760679</c:v>
                </c:pt>
                <c:pt idx="329">
                  <c:v>-37.442977124593995</c:v>
                </c:pt>
                <c:pt idx="330">
                  <c:v>-36.912842686910302</c:v>
                </c:pt>
                <c:pt idx="331">
                  <c:v>-34.696503774712468</c:v>
                </c:pt>
                <c:pt idx="332">
                  <c:v>-33.806775754730666</c:v>
                </c:pt>
                <c:pt idx="333">
                  <c:v>-33.082585305648848</c:v>
                </c:pt>
                <c:pt idx="334">
                  <c:v>-31.647495939706925</c:v>
                </c:pt>
                <c:pt idx="335">
                  <c:v>-30.776600077410951</c:v>
                </c:pt>
                <c:pt idx="336">
                  <c:v>-30.682889706626387</c:v>
                </c:pt>
                <c:pt idx="337">
                  <c:v>-30.02463618510869</c:v>
                </c:pt>
                <c:pt idx="338">
                  <c:v>-29.155382512564142</c:v>
                </c:pt>
                <c:pt idx="339">
                  <c:v>-28.533891813554817</c:v>
                </c:pt>
                <c:pt idx="340">
                  <c:v>-28.35248646226956</c:v>
                </c:pt>
                <c:pt idx="341">
                  <c:v>-27.935893664892276</c:v>
                </c:pt>
                <c:pt idx="342">
                  <c:v>-27.26549081381928</c:v>
                </c:pt>
                <c:pt idx="343">
                  <c:v>-26.838081444751598</c:v>
                </c:pt>
                <c:pt idx="344">
                  <c:v>-26.53436951976321</c:v>
                </c:pt>
                <c:pt idx="345">
                  <c:v>-26.297591231204844</c:v>
                </c:pt>
                <c:pt idx="346">
                  <c:v>-25.908662130352027</c:v>
                </c:pt>
                <c:pt idx="347">
                  <c:v>-25.617349713059699</c:v>
                </c:pt>
                <c:pt idx="348">
                  <c:v>-25.322245765688617</c:v>
                </c:pt>
                <c:pt idx="349">
                  <c:v>-25.185765089694062</c:v>
                </c:pt>
                <c:pt idx="350">
                  <c:v>-24.938908472195774</c:v>
                </c:pt>
                <c:pt idx="351">
                  <c:v>-24.807335751403528</c:v>
                </c:pt>
                <c:pt idx="352">
                  <c:v>-24.716108522418686</c:v>
                </c:pt>
                <c:pt idx="353">
                  <c:v>-24.683705718963786</c:v>
                </c:pt>
                <c:pt idx="354">
                  <c:v>-24.640265782858965</c:v>
                </c:pt>
                <c:pt idx="355">
                  <c:v>-24.585031641379761</c:v>
                </c:pt>
                <c:pt idx="356">
                  <c:v>-24.575784367225015</c:v>
                </c:pt>
                <c:pt idx="357">
                  <c:v>-24.518116245945464</c:v>
                </c:pt>
                <c:pt idx="358">
                  <c:v>-24.453415058877706</c:v>
                </c:pt>
                <c:pt idx="359">
                  <c:v>-24.437554127803072</c:v>
                </c:pt>
                <c:pt idx="360">
                  <c:v>-24.367944705959751</c:v>
                </c:pt>
                <c:pt idx="361">
                  <c:v>-24.290736319934993</c:v>
                </c:pt>
                <c:pt idx="362">
                  <c:v>-24.169563940042906</c:v>
                </c:pt>
                <c:pt idx="363">
                  <c:v>-24.154930857893241</c:v>
                </c:pt>
                <c:pt idx="364">
                  <c:v>-24.083422143539572</c:v>
                </c:pt>
                <c:pt idx="365">
                  <c:v>-23.999681875685315</c:v>
                </c:pt>
                <c:pt idx="366">
                  <c:v>-23.816185692148814</c:v>
                </c:pt>
                <c:pt idx="367">
                  <c:v>-23.809176989487206</c:v>
                </c:pt>
                <c:pt idx="368">
                  <c:v>-23.646703035384657</c:v>
                </c:pt>
                <c:pt idx="369">
                  <c:v>-23.543465038245657</c:v>
                </c:pt>
                <c:pt idx="370">
                  <c:v>-23.414739729351989</c:v>
                </c:pt>
                <c:pt idx="371">
                  <c:v>-23.384495064754184</c:v>
                </c:pt>
                <c:pt idx="372">
                  <c:v>-23.241533996062653</c:v>
                </c:pt>
                <c:pt idx="373">
                  <c:v>-23.141401178748339</c:v>
                </c:pt>
                <c:pt idx="374">
                  <c:v>-23.025166920522313</c:v>
                </c:pt>
                <c:pt idx="375">
                  <c:v>-22.902211993200265</c:v>
                </c:pt>
                <c:pt idx="376">
                  <c:v>-22.700348362637705</c:v>
                </c:pt>
                <c:pt idx="377">
                  <c:v>-22.564794472946282</c:v>
                </c:pt>
                <c:pt idx="378">
                  <c:v>-22.470804172717298</c:v>
                </c:pt>
                <c:pt idx="379">
                  <c:v>-22.414263195410328</c:v>
                </c:pt>
                <c:pt idx="380">
                  <c:v>-22.317999597263857</c:v>
                </c:pt>
                <c:pt idx="381">
                  <c:v>-22.208954400314052</c:v>
                </c:pt>
                <c:pt idx="382">
                  <c:v>-22.128142039958405</c:v>
                </c:pt>
                <c:pt idx="383">
                  <c:v>-22.125195172806503</c:v>
                </c:pt>
                <c:pt idx="384">
                  <c:v>-21.887347201750586</c:v>
                </c:pt>
                <c:pt idx="385">
                  <c:v>-21.765527723544039</c:v>
                </c:pt>
                <c:pt idx="386">
                  <c:v>-21.740611804902549</c:v>
                </c:pt>
                <c:pt idx="387">
                  <c:v>-21.676125603092203</c:v>
                </c:pt>
                <c:pt idx="388">
                  <c:v>-21.607489230877235</c:v>
                </c:pt>
                <c:pt idx="389">
                  <c:v>-21.510631964787503</c:v>
                </c:pt>
                <c:pt idx="390">
                  <c:v>-21.500144777740815</c:v>
                </c:pt>
                <c:pt idx="391">
                  <c:v>-21.414152501978133</c:v>
                </c:pt>
                <c:pt idx="392">
                  <c:v>-21.374112022231945</c:v>
                </c:pt>
                <c:pt idx="393">
                  <c:v>-21.376118259574309</c:v>
                </c:pt>
                <c:pt idx="394">
                  <c:v>-21.376424976803396</c:v>
                </c:pt>
                <c:pt idx="395">
                  <c:v>-21.397350974882741</c:v>
                </c:pt>
                <c:pt idx="396">
                  <c:v>-21.452677544526072</c:v>
                </c:pt>
                <c:pt idx="397">
                  <c:v>-21.472690104847239</c:v>
                </c:pt>
                <c:pt idx="398">
                  <c:v>-21.473537385600153</c:v>
                </c:pt>
                <c:pt idx="399">
                  <c:v>-21.487188790511599</c:v>
                </c:pt>
                <c:pt idx="400">
                  <c:v>-21.501615316673316</c:v>
                </c:pt>
                <c:pt idx="401">
                  <c:v>-21.515300874739943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6-46A3-A724-2A176EA1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61848"/>
        <c:axId val="449862504"/>
      </c:scatterChart>
      <c:valAx>
        <c:axId val="4498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9862504"/>
        <c:crosses val="autoZero"/>
        <c:crossBetween val="midCat"/>
      </c:valAx>
      <c:valAx>
        <c:axId val="449862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49861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y-dis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Sheet1!$F$1:$F$3</c:f>
              <c:strCache>
                <c:ptCount val="3"/>
                <c:pt idx="0">
                  <c:v>Linear Displacement2_2 (y-dis)</c:v>
                </c:pt>
                <c:pt idx="1">
                  <c:v>Linear Displacement2 (mm)</c:v>
                </c:pt>
                <c:pt idx="2">
                  <c:v>y</c:v>
                </c:pt>
              </c:strCache>
            </c:strRef>
          </c:tx>
          <c:xVal>
            <c:numRef>
              <c:f>Sheet1!$B$4:$B$405</c:f>
              <c:numCache>
                <c:formatCode>0.000</c:formatCode>
                <c:ptCount val="402"/>
                <c:pt idx="0">
                  <c:v>0</c:v>
                </c:pt>
                <c:pt idx="1">
                  <c:v>1.6979999999999478E-2</c:v>
                </c:pt>
                <c:pt idx="2">
                  <c:v>3.3459999999999573E-2</c:v>
                </c:pt>
                <c:pt idx="3">
                  <c:v>0.04</c:v>
                </c:pt>
                <c:pt idx="4">
                  <c:v>4.9910000000003035E-2</c:v>
                </c:pt>
                <c:pt idx="5">
                  <c:v>6.2170000000006789E-2</c:v>
                </c:pt>
                <c:pt idx="6">
                  <c:v>0.08</c:v>
                </c:pt>
                <c:pt idx="7">
                  <c:v>8.3799999999998528E-2</c:v>
                </c:pt>
                <c:pt idx="8">
                  <c:v>0.10058999999999202</c:v>
                </c:pt>
                <c:pt idx="9">
                  <c:v>0.11754999999998544</c:v>
                </c:pt>
                <c:pt idx="10">
                  <c:v>0.12</c:v>
                </c:pt>
                <c:pt idx="11">
                  <c:v>0.13453000000000759</c:v>
                </c:pt>
                <c:pt idx="12">
                  <c:v>0.15190000000002496</c:v>
                </c:pt>
                <c:pt idx="13">
                  <c:v>0.16</c:v>
                </c:pt>
                <c:pt idx="14">
                  <c:v>0.17248000000001248</c:v>
                </c:pt>
                <c:pt idx="15">
                  <c:v>0.19865000000003866</c:v>
                </c:pt>
                <c:pt idx="16">
                  <c:v>0.2</c:v>
                </c:pt>
                <c:pt idx="17">
                  <c:v>0.21658000000001659</c:v>
                </c:pt>
                <c:pt idx="18">
                  <c:v>0.23398000000003399</c:v>
                </c:pt>
                <c:pt idx="19">
                  <c:v>0.24000000000000002</c:v>
                </c:pt>
                <c:pt idx="20">
                  <c:v>0.25159000000001158</c:v>
                </c:pt>
                <c:pt idx="21">
                  <c:v>0.26990000000002989</c:v>
                </c:pt>
                <c:pt idx="22">
                  <c:v>0.28000000000000003</c:v>
                </c:pt>
                <c:pt idx="23">
                  <c:v>0.29145000000001148</c:v>
                </c:pt>
                <c:pt idx="24">
                  <c:v>0.3137700000000338</c:v>
                </c:pt>
                <c:pt idx="25">
                  <c:v>0.32</c:v>
                </c:pt>
                <c:pt idx="26">
                  <c:v>0.33240000000001241</c:v>
                </c:pt>
                <c:pt idx="27">
                  <c:v>0.35048000000003049</c:v>
                </c:pt>
                <c:pt idx="28">
                  <c:v>0.36</c:v>
                </c:pt>
                <c:pt idx="29">
                  <c:v>0.36859000000000858</c:v>
                </c:pt>
                <c:pt idx="30">
                  <c:v>0.38730000000002729</c:v>
                </c:pt>
                <c:pt idx="31">
                  <c:v>0.39999999999999997</c:v>
                </c:pt>
                <c:pt idx="32">
                  <c:v>0.40812000000000809</c:v>
                </c:pt>
                <c:pt idx="33">
                  <c:v>0.42938000000002935</c:v>
                </c:pt>
                <c:pt idx="34">
                  <c:v>0.43999999999999995</c:v>
                </c:pt>
                <c:pt idx="35">
                  <c:v>0.44844000000000839</c:v>
                </c:pt>
                <c:pt idx="36">
                  <c:v>0.46675049979003053</c:v>
                </c:pt>
                <c:pt idx="37">
                  <c:v>0.47999999999999993</c:v>
                </c:pt>
                <c:pt idx="38">
                  <c:v>0.48510000000000503</c:v>
                </c:pt>
                <c:pt idx="39">
                  <c:v>0.50487999999999766</c:v>
                </c:pt>
                <c:pt idx="40">
                  <c:v>0.51999999999999991</c:v>
                </c:pt>
                <c:pt idx="41">
                  <c:v>0.52706999999996773</c:v>
                </c:pt>
                <c:pt idx="42">
                  <c:v>0.54341999999989332</c:v>
                </c:pt>
                <c:pt idx="43">
                  <c:v>0.55993999999981814</c:v>
                </c:pt>
                <c:pt idx="44">
                  <c:v>0.55999999999999994</c:v>
                </c:pt>
                <c:pt idx="45">
                  <c:v>0.57657999999992449</c:v>
                </c:pt>
                <c:pt idx="46">
                  <c:v>0.59352999999984735</c:v>
                </c:pt>
                <c:pt idx="47">
                  <c:v>0.6</c:v>
                </c:pt>
                <c:pt idx="48">
                  <c:v>0.62060999999990618</c:v>
                </c:pt>
                <c:pt idx="49">
                  <c:v>0.64</c:v>
                </c:pt>
                <c:pt idx="50">
                  <c:v>0.642419999999989</c:v>
                </c:pt>
                <c:pt idx="51">
                  <c:v>0.66660999999987891</c:v>
                </c:pt>
                <c:pt idx="52">
                  <c:v>0.68</c:v>
                </c:pt>
                <c:pt idx="53">
                  <c:v>0.69767999999991959</c:v>
                </c:pt>
                <c:pt idx="54">
                  <c:v>0.72000000000000008</c:v>
                </c:pt>
                <c:pt idx="55">
                  <c:v>0.7229199999999868</c:v>
                </c:pt>
                <c:pt idx="56">
                  <c:v>0.74231999999989851</c:v>
                </c:pt>
                <c:pt idx="57">
                  <c:v>0.7556799999998377</c:v>
                </c:pt>
                <c:pt idx="58">
                  <c:v>0.76000000000000012</c:v>
                </c:pt>
                <c:pt idx="59">
                  <c:v>0.77653999999992485</c:v>
                </c:pt>
                <c:pt idx="60">
                  <c:v>0.78654999999987929</c:v>
                </c:pt>
                <c:pt idx="61">
                  <c:v>0.79856999999982459</c:v>
                </c:pt>
                <c:pt idx="62">
                  <c:v>0.80000000000000016</c:v>
                </c:pt>
                <c:pt idx="63">
                  <c:v>0.81116999999994932</c:v>
                </c:pt>
                <c:pt idx="64">
                  <c:v>0.82482999999988715</c:v>
                </c:pt>
                <c:pt idx="65">
                  <c:v>0.84000000000000019</c:v>
                </c:pt>
                <c:pt idx="66">
                  <c:v>0.84289999999998699</c:v>
                </c:pt>
                <c:pt idx="67">
                  <c:v>0.857179999999922</c:v>
                </c:pt>
                <c:pt idx="68">
                  <c:v>0.8719899999998546</c:v>
                </c:pt>
                <c:pt idx="69">
                  <c:v>0.88000000000000023</c:v>
                </c:pt>
                <c:pt idx="70">
                  <c:v>0.88198999999999117</c:v>
                </c:pt>
                <c:pt idx="71">
                  <c:v>0.90046999999990707</c:v>
                </c:pt>
                <c:pt idx="72">
                  <c:v>0.9194699999998206</c:v>
                </c:pt>
                <c:pt idx="73">
                  <c:v>0.92000000000000026</c:v>
                </c:pt>
                <c:pt idx="74">
                  <c:v>0.93572999999992867</c:v>
                </c:pt>
                <c:pt idx="75">
                  <c:v>0.95253999999985217</c:v>
                </c:pt>
                <c:pt idx="76">
                  <c:v>0.9600000000000003</c:v>
                </c:pt>
                <c:pt idx="77">
                  <c:v>0.97454999999993408</c:v>
                </c:pt>
                <c:pt idx="78">
                  <c:v>0.99536999999983933</c:v>
                </c:pt>
                <c:pt idx="79">
                  <c:v>1.0000000000000002</c:v>
                </c:pt>
                <c:pt idx="80">
                  <c:v>1.0154400000001014</c:v>
                </c:pt>
                <c:pt idx="81">
                  <c:v>1.0271600000001782</c:v>
                </c:pt>
                <c:pt idx="82">
                  <c:v>1.0400000000000003</c:v>
                </c:pt>
                <c:pt idx="83">
                  <c:v>1.0456800000000375</c:v>
                </c:pt>
                <c:pt idx="84">
                  <c:v>1.0677500000001821</c:v>
                </c:pt>
                <c:pt idx="85">
                  <c:v>1.0800000000000003</c:v>
                </c:pt>
                <c:pt idx="86">
                  <c:v>1.0813400000000091</c:v>
                </c:pt>
                <c:pt idx="87">
                  <c:v>1.0913900000000749</c:v>
                </c:pt>
                <c:pt idx="88">
                  <c:v>1.1077700000001822</c:v>
                </c:pt>
                <c:pt idx="89">
                  <c:v>1.1187900000002544</c:v>
                </c:pt>
                <c:pt idx="90">
                  <c:v>1.1200000000000003</c:v>
                </c:pt>
                <c:pt idx="91">
                  <c:v>1.1404900000001346</c:v>
                </c:pt>
                <c:pt idx="92">
                  <c:v>1.1600000000000004</c:v>
                </c:pt>
                <c:pt idx="93">
                  <c:v>1.1635000000000233</c:v>
                </c:pt>
                <c:pt idx="94">
                  <c:v>1.1840800000001581</c:v>
                </c:pt>
                <c:pt idx="95">
                  <c:v>1.1946100000002271</c:v>
                </c:pt>
                <c:pt idx="96">
                  <c:v>1.2000000000000004</c:v>
                </c:pt>
                <c:pt idx="97">
                  <c:v>1.213530000000089</c:v>
                </c:pt>
                <c:pt idx="98">
                  <c:v>1.2358500000002353</c:v>
                </c:pt>
                <c:pt idx="99">
                  <c:v>1.2400000000000004</c:v>
                </c:pt>
                <c:pt idx="100">
                  <c:v>1.2560100000001053</c:v>
                </c:pt>
                <c:pt idx="101">
                  <c:v>1.2701400000001979</c:v>
                </c:pt>
                <c:pt idx="102">
                  <c:v>1.2800000000000005</c:v>
                </c:pt>
                <c:pt idx="103">
                  <c:v>1.2850800000000338</c:v>
                </c:pt>
                <c:pt idx="104">
                  <c:v>1.3082900000001858</c:v>
                </c:pt>
                <c:pt idx="105">
                  <c:v>1.3186500000002537</c:v>
                </c:pt>
                <c:pt idx="106">
                  <c:v>1.3200000000000005</c:v>
                </c:pt>
                <c:pt idx="107">
                  <c:v>1.3329700000000855</c:v>
                </c:pt>
                <c:pt idx="108">
                  <c:v>1.3465400000001744</c:v>
                </c:pt>
                <c:pt idx="109">
                  <c:v>1.3600000000000005</c:v>
                </c:pt>
                <c:pt idx="110">
                  <c:v>1.3763400000001076</c:v>
                </c:pt>
                <c:pt idx="111">
                  <c:v>1.4000000000000006</c:v>
                </c:pt>
                <c:pt idx="112">
                  <c:v>1.4033000000000222</c:v>
                </c:pt>
                <c:pt idx="113">
                  <c:v>1.4327000000002148</c:v>
                </c:pt>
                <c:pt idx="114">
                  <c:v>1.4400000000000006</c:v>
                </c:pt>
                <c:pt idx="115">
                  <c:v>1.4490400000000598</c:v>
                </c:pt>
                <c:pt idx="116">
                  <c:v>1.4797100000002608</c:v>
                </c:pt>
                <c:pt idx="117">
                  <c:v>1.4800000000000006</c:v>
                </c:pt>
                <c:pt idx="118">
                  <c:v>1.5027200000001495</c:v>
                </c:pt>
                <c:pt idx="119">
                  <c:v>1.5200000000000007</c:v>
                </c:pt>
                <c:pt idx="120">
                  <c:v>1.5238800000000261</c:v>
                </c:pt>
                <c:pt idx="121">
                  <c:v>1.5394000000001278</c:v>
                </c:pt>
                <c:pt idx="122">
                  <c:v>1.5530800000002174</c:v>
                </c:pt>
                <c:pt idx="123">
                  <c:v>1.5600000000000007</c:v>
                </c:pt>
                <c:pt idx="124">
                  <c:v>1.5727000000000839</c:v>
                </c:pt>
                <c:pt idx="125">
                  <c:v>1.5931500000002179</c:v>
                </c:pt>
                <c:pt idx="126">
                  <c:v>1.6000000000000008</c:v>
                </c:pt>
                <c:pt idx="127">
                  <c:v>1.6145000000000957</c:v>
                </c:pt>
                <c:pt idx="128">
                  <c:v>1.6278100000001829</c:v>
                </c:pt>
                <c:pt idx="129">
                  <c:v>1.6400000000000008</c:v>
                </c:pt>
                <c:pt idx="130">
                  <c:v>1.6463900000000427</c:v>
                </c:pt>
                <c:pt idx="131">
                  <c:v>1.6675200000001811</c:v>
                </c:pt>
                <c:pt idx="132">
                  <c:v>1.6800000000000008</c:v>
                </c:pt>
                <c:pt idx="133">
                  <c:v>1.68904000000006</c:v>
                </c:pt>
                <c:pt idx="134">
                  <c:v>1.7034300000001543</c:v>
                </c:pt>
                <c:pt idx="135">
                  <c:v>1.7200000000000009</c:v>
                </c:pt>
                <c:pt idx="136">
                  <c:v>1.7204600000000039</c:v>
                </c:pt>
                <c:pt idx="137">
                  <c:v>1.7338400000000915</c:v>
                </c:pt>
                <c:pt idx="138">
                  <c:v>1.7600000000000009</c:v>
                </c:pt>
                <c:pt idx="139">
                  <c:v>1.7654400000000365</c:v>
                </c:pt>
                <c:pt idx="140">
                  <c:v>1.7781300000001197</c:v>
                </c:pt>
                <c:pt idx="141">
                  <c:v>1.7911100000002047</c:v>
                </c:pt>
                <c:pt idx="142">
                  <c:v>1.8000000000000009</c:v>
                </c:pt>
                <c:pt idx="143">
                  <c:v>1.8131100000000868</c:v>
                </c:pt>
                <c:pt idx="144">
                  <c:v>1.8385100000002532</c:v>
                </c:pt>
                <c:pt idx="145">
                  <c:v>1.840000000000001</c:v>
                </c:pt>
                <c:pt idx="146">
                  <c:v>1.8488000000000586</c:v>
                </c:pt>
                <c:pt idx="147">
                  <c:v>1.8755000000002335</c:v>
                </c:pt>
                <c:pt idx="148">
                  <c:v>1.880000000000001</c:v>
                </c:pt>
                <c:pt idx="149">
                  <c:v>1.904730000000163</c:v>
                </c:pt>
                <c:pt idx="150">
                  <c:v>1.920000000000001</c:v>
                </c:pt>
                <c:pt idx="151">
                  <c:v>1.9309200000000726</c:v>
                </c:pt>
                <c:pt idx="152">
                  <c:v>1.9409200000001381</c:v>
                </c:pt>
                <c:pt idx="153">
                  <c:v>1.9600000000000011</c:v>
                </c:pt>
                <c:pt idx="154">
                  <c:v>1.963950000000027</c:v>
                </c:pt>
                <c:pt idx="155">
                  <c:v>1.9765700000001096</c:v>
                </c:pt>
                <c:pt idx="156">
                  <c:v>1.9961200000002377</c:v>
                </c:pt>
                <c:pt idx="157">
                  <c:v>2.0000000000000009</c:v>
                </c:pt>
                <c:pt idx="158">
                  <c:v>2.0290800000001914</c:v>
                </c:pt>
                <c:pt idx="159">
                  <c:v>2.0400000000000009</c:v>
                </c:pt>
                <c:pt idx="160">
                  <c:v>2.057870000000118</c:v>
                </c:pt>
                <c:pt idx="161">
                  <c:v>2.0693100000001929</c:v>
                </c:pt>
                <c:pt idx="162">
                  <c:v>2.080000000000001</c:v>
                </c:pt>
                <c:pt idx="163">
                  <c:v>2.0846700000000316</c:v>
                </c:pt>
                <c:pt idx="164">
                  <c:v>2.0961200000001066</c:v>
                </c:pt>
                <c:pt idx="165">
                  <c:v>2.1198900000002623</c:v>
                </c:pt>
                <c:pt idx="166">
                  <c:v>2.120000000000001</c:v>
                </c:pt>
                <c:pt idx="167">
                  <c:v>2.1379300000001185</c:v>
                </c:pt>
                <c:pt idx="168">
                  <c:v>2.160000000000001</c:v>
                </c:pt>
                <c:pt idx="169">
                  <c:v>2.1623700000000166</c:v>
                </c:pt>
                <c:pt idx="170">
                  <c:v>2.1935200000002206</c:v>
                </c:pt>
                <c:pt idx="171">
                  <c:v>2.2000000000000011</c:v>
                </c:pt>
                <c:pt idx="172">
                  <c:v>2.2066900000000449</c:v>
                </c:pt>
                <c:pt idx="173">
                  <c:v>2.2343500000002261</c:v>
                </c:pt>
                <c:pt idx="174">
                  <c:v>2.2400000000000011</c:v>
                </c:pt>
                <c:pt idx="175">
                  <c:v>2.2539500000000925</c:v>
                </c:pt>
                <c:pt idx="176">
                  <c:v>2.2648900000001642</c:v>
                </c:pt>
                <c:pt idx="177">
                  <c:v>2.2749100000002298</c:v>
                </c:pt>
                <c:pt idx="178">
                  <c:v>2.2800000000000011</c:v>
                </c:pt>
                <c:pt idx="179">
                  <c:v>2.3046500000001626</c:v>
                </c:pt>
                <c:pt idx="180">
                  <c:v>2.3155900000002343</c:v>
                </c:pt>
                <c:pt idx="181">
                  <c:v>2.3200000000000012</c:v>
                </c:pt>
                <c:pt idx="182">
                  <c:v>2.3343700000000953</c:v>
                </c:pt>
                <c:pt idx="183">
                  <c:v>2.3600000000000012</c:v>
                </c:pt>
                <c:pt idx="184">
                  <c:v>2.3717100000000779</c:v>
                </c:pt>
                <c:pt idx="185">
                  <c:v>2.4000000000000012</c:v>
                </c:pt>
                <c:pt idx="186">
                  <c:v>2.4009800000000077</c:v>
                </c:pt>
                <c:pt idx="187">
                  <c:v>2.4346000000002279</c:v>
                </c:pt>
                <c:pt idx="188">
                  <c:v>2.4400000000000013</c:v>
                </c:pt>
                <c:pt idx="189">
                  <c:v>2.4635600000001556</c:v>
                </c:pt>
                <c:pt idx="190">
                  <c:v>2.4800000000000013</c:v>
                </c:pt>
                <c:pt idx="191">
                  <c:v>2.5200000000000014</c:v>
                </c:pt>
                <c:pt idx="192">
                  <c:v>2.5208500000000069</c:v>
                </c:pt>
                <c:pt idx="193">
                  <c:v>2.5381500000001203</c:v>
                </c:pt>
                <c:pt idx="194">
                  <c:v>2.5524800000002141</c:v>
                </c:pt>
                <c:pt idx="195">
                  <c:v>2.5600000000000014</c:v>
                </c:pt>
                <c:pt idx="196">
                  <c:v>2.5701300000000677</c:v>
                </c:pt>
                <c:pt idx="197">
                  <c:v>2.5897500000001963</c:v>
                </c:pt>
                <c:pt idx="198">
                  <c:v>2.6000000000000014</c:v>
                </c:pt>
                <c:pt idx="199">
                  <c:v>2.6089800000000603</c:v>
                </c:pt>
                <c:pt idx="200">
                  <c:v>2.6279600000001846</c:v>
                </c:pt>
                <c:pt idx="201">
                  <c:v>2.6400000000000015</c:v>
                </c:pt>
                <c:pt idx="202">
                  <c:v>2.6462300000000423</c:v>
                </c:pt>
                <c:pt idx="203">
                  <c:v>2.6638600000001578</c:v>
                </c:pt>
                <c:pt idx="204">
                  <c:v>2.6800000000000015</c:v>
                </c:pt>
                <c:pt idx="205">
                  <c:v>2.6819700000000144</c:v>
                </c:pt>
                <c:pt idx="206">
                  <c:v>2.7002600000001342</c:v>
                </c:pt>
                <c:pt idx="207">
                  <c:v>2.7187400000002553</c:v>
                </c:pt>
                <c:pt idx="208">
                  <c:v>2.7200000000000015</c:v>
                </c:pt>
                <c:pt idx="209">
                  <c:v>2.7365400000001099</c:v>
                </c:pt>
                <c:pt idx="210">
                  <c:v>2.7538700000002234</c:v>
                </c:pt>
                <c:pt idx="211">
                  <c:v>2.7600000000000016</c:v>
                </c:pt>
                <c:pt idx="212">
                  <c:v>2.7715000000000769</c:v>
                </c:pt>
                <c:pt idx="213">
                  <c:v>2.7898700000001972</c:v>
                </c:pt>
                <c:pt idx="214">
                  <c:v>2.8000000000000016</c:v>
                </c:pt>
                <c:pt idx="215">
                  <c:v>2.808450000000057</c:v>
                </c:pt>
                <c:pt idx="216">
                  <c:v>2.8266500000001762</c:v>
                </c:pt>
                <c:pt idx="217">
                  <c:v>2.8400000000000016</c:v>
                </c:pt>
                <c:pt idx="218">
                  <c:v>2.8437300000000261</c:v>
                </c:pt>
                <c:pt idx="219">
                  <c:v>2.8609000000001386</c:v>
                </c:pt>
                <c:pt idx="220">
                  <c:v>2.8780800000002511</c:v>
                </c:pt>
                <c:pt idx="221">
                  <c:v>2.8800000000000017</c:v>
                </c:pt>
                <c:pt idx="222">
                  <c:v>2.8969400000001126</c:v>
                </c:pt>
                <c:pt idx="223">
                  <c:v>2.912720000000216</c:v>
                </c:pt>
                <c:pt idx="224">
                  <c:v>2.9200000000000017</c:v>
                </c:pt>
                <c:pt idx="225">
                  <c:v>2.9276600000000519</c:v>
                </c:pt>
                <c:pt idx="226">
                  <c:v>2.9419500000001455</c:v>
                </c:pt>
                <c:pt idx="227">
                  <c:v>2.9554700000002341</c:v>
                </c:pt>
                <c:pt idx="228">
                  <c:v>2.9600000000000017</c:v>
                </c:pt>
                <c:pt idx="229">
                  <c:v>2.969050000000061</c:v>
                </c:pt>
                <c:pt idx="230">
                  <c:v>2.9833700000001548</c:v>
                </c:pt>
                <c:pt idx="231">
                  <c:v>2.9980000000002507</c:v>
                </c:pt>
                <c:pt idx="232">
                  <c:v>3.0000000000000018</c:v>
                </c:pt>
                <c:pt idx="233">
                  <c:v>3.0138100000000922</c:v>
                </c:pt>
                <c:pt idx="234">
                  <c:v>3.0287000000001898</c:v>
                </c:pt>
                <c:pt idx="235">
                  <c:v>3.0400000000000018</c:v>
                </c:pt>
                <c:pt idx="236">
                  <c:v>3.0438900000000273</c:v>
                </c:pt>
                <c:pt idx="237">
                  <c:v>3.0587700000001248</c:v>
                </c:pt>
                <c:pt idx="238">
                  <c:v>3.0800000000000018</c:v>
                </c:pt>
                <c:pt idx="239">
                  <c:v>3.0836100000000255</c:v>
                </c:pt>
                <c:pt idx="240">
                  <c:v>3.1022300000001475</c:v>
                </c:pt>
                <c:pt idx="241">
                  <c:v>3.1163800000002402</c:v>
                </c:pt>
                <c:pt idx="242">
                  <c:v>3.1200000000000019</c:v>
                </c:pt>
                <c:pt idx="243">
                  <c:v>3.1303600000000698</c:v>
                </c:pt>
                <c:pt idx="244">
                  <c:v>3.1490100000001919</c:v>
                </c:pt>
                <c:pt idx="245">
                  <c:v>3.1591900000002586</c:v>
                </c:pt>
                <c:pt idx="246">
                  <c:v>3.1600000000000019</c:v>
                </c:pt>
                <c:pt idx="247">
                  <c:v>3.1852700000001675</c:v>
                </c:pt>
                <c:pt idx="248">
                  <c:v>3.200000000000002</c:v>
                </c:pt>
                <c:pt idx="249">
                  <c:v>3.202900000000021</c:v>
                </c:pt>
                <c:pt idx="250">
                  <c:v>3.2221500000001471</c:v>
                </c:pt>
                <c:pt idx="251">
                  <c:v>3.240000000000002</c:v>
                </c:pt>
                <c:pt idx="252">
                  <c:v>3.2431100000000224</c:v>
                </c:pt>
                <c:pt idx="253">
                  <c:v>3.2749700000002311</c:v>
                </c:pt>
                <c:pt idx="254">
                  <c:v>3.280000000000002</c:v>
                </c:pt>
                <c:pt idx="255">
                  <c:v>3.3026100000001501</c:v>
                </c:pt>
                <c:pt idx="256">
                  <c:v>3.3200000000000021</c:v>
                </c:pt>
                <c:pt idx="257">
                  <c:v>3.3249000000000342</c:v>
                </c:pt>
                <c:pt idx="258">
                  <c:v>3.3477200000001837</c:v>
                </c:pt>
                <c:pt idx="259">
                  <c:v>3.3600000000000021</c:v>
                </c:pt>
                <c:pt idx="260">
                  <c:v>3.3708100000000729</c:v>
                </c:pt>
                <c:pt idx="261">
                  <c:v>3.3927300000002165</c:v>
                </c:pt>
                <c:pt idx="262">
                  <c:v>3.4000000000000021</c:v>
                </c:pt>
                <c:pt idx="263">
                  <c:v>3.4145100000000972</c:v>
                </c:pt>
                <c:pt idx="264">
                  <c:v>3.4353600000002338</c:v>
                </c:pt>
                <c:pt idx="265">
                  <c:v>3.4400000000000022</c:v>
                </c:pt>
                <c:pt idx="266">
                  <c:v>3.4587100000001247</c:v>
                </c:pt>
                <c:pt idx="267">
                  <c:v>3.4792800000002595</c:v>
                </c:pt>
                <c:pt idx="268">
                  <c:v>3.4800000000000022</c:v>
                </c:pt>
                <c:pt idx="269">
                  <c:v>3.501190000000141</c:v>
                </c:pt>
                <c:pt idx="270">
                  <c:v>3.5160700000002385</c:v>
                </c:pt>
                <c:pt idx="271">
                  <c:v>3.5200000000000022</c:v>
                </c:pt>
                <c:pt idx="272">
                  <c:v>3.5387700000001252</c:v>
                </c:pt>
                <c:pt idx="273">
                  <c:v>3.5600000000000023</c:v>
                </c:pt>
                <c:pt idx="274">
                  <c:v>3.5637100000000266</c:v>
                </c:pt>
                <c:pt idx="275">
                  <c:v>3.5869100000001786</c:v>
                </c:pt>
                <c:pt idx="276">
                  <c:v>3.6000000000000023</c:v>
                </c:pt>
                <c:pt idx="277">
                  <c:v>3.6121800000000821</c:v>
                </c:pt>
                <c:pt idx="278">
                  <c:v>3.6369300000002442</c:v>
                </c:pt>
                <c:pt idx="279">
                  <c:v>3.6400000000000023</c:v>
                </c:pt>
                <c:pt idx="280">
                  <c:v>3.6573000000001157</c:v>
                </c:pt>
                <c:pt idx="281">
                  <c:v>3.6725700000002157</c:v>
                </c:pt>
                <c:pt idx="282">
                  <c:v>3.6800000000000024</c:v>
                </c:pt>
                <c:pt idx="283">
                  <c:v>3.6883100000000568</c:v>
                </c:pt>
                <c:pt idx="284">
                  <c:v>3.7017100000001446</c:v>
                </c:pt>
                <c:pt idx="285">
                  <c:v>3.7146000000002291</c:v>
                </c:pt>
                <c:pt idx="286">
                  <c:v>3.7200000000000024</c:v>
                </c:pt>
                <c:pt idx="287">
                  <c:v>3.7270800000000488</c:v>
                </c:pt>
                <c:pt idx="288">
                  <c:v>3.7389500000001266</c:v>
                </c:pt>
                <c:pt idx="289">
                  <c:v>3.7600000000000025</c:v>
                </c:pt>
                <c:pt idx="290">
                  <c:v>3.7649400000000348</c:v>
                </c:pt>
                <c:pt idx="291">
                  <c:v>3.7776100000001178</c:v>
                </c:pt>
                <c:pt idx="292">
                  <c:v>3.7888700000001916</c:v>
                </c:pt>
                <c:pt idx="293">
                  <c:v>3.7995800000002617</c:v>
                </c:pt>
                <c:pt idx="294">
                  <c:v>3.8000000000000025</c:v>
                </c:pt>
                <c:pt idx="295">
                  <c:v>3.8175700000001176</c:v>
                </c:pt>
                <c:pt idx="296">
                  <c:v>3.8318200000002109</c:v>
                </c:pt>
                <c:pt idx="297">
                  <c:v>3.8400000000000025</c:v>
                </c:pt>
                <c:pt idx="298">
                  <c:v>3.8444600000000317</c:v>
                </c:pt>
                <c:pt idx="299">
                  <c:v>3.8555900000001047</c:v>
                </c:pt>
                <c:pt idx="300">
                  <c:v>3.8778700000002506</c:v>
                </c:pt>
                <c:pt idx="301">
                  <c:v>3.8800000000000026</c:v>
                </c:pt>
                <c:pt idx="302">
                  <c:v>3.8991700000001281</c:v>
                </c:pt>
                <c:pt idx="303">
                  <c:v>3.9175500000002486</c:v>
                </c:pt>
                <c:pt idx="304">
                  <c:v>3.9200000000000026</c:v>
                </c:pt>
                <c:pt idx="305">
                  <c:v>3.9340200000000944</c:v>
                </c:pt>
                <c:pt idx="306">
                  <c:v>3.9566400000002426</c:v>
                </c:pt>
                <c:pt idx="307">
                  <c:v>3.9600000000000026</c:v>
                </c:pt>
                <c:pt idx="308">
                  <c:v>3.9764200000001102</c:v>
                </c:pt>
                <c:pt idx="309">
                  <c:v>3.9876100000001835</c:v>
                </c:pt>
                <c:pt idx="310">
                  <c:v>4.0000000000000027</c:v>
                </c:pt>
                <c:pt idx="311">
                  <c:v>4.001259999999955</c:v>
                </c:pt>
                <c:pt idx="312">
                  <c:v>4.0228699999991369</c:v>
                </c:pt>
                <c:pt idx="313">
                  <c:v>4.0400000000000027</c:v>
                </c:pt>
                <c:pt idx="314">
                  <c:v>4.0442099999998433</c:v>
                </c:pt>
                <c:pt idx="315">
                  <c:v>4.0602299999992368</c:v>
                </c:pt>
                <c:pt idx="316">
                  <c:v>4.0745099999986962</c:v>
                </c:pt>
                <c:pt idx="317">
                  <c:v>4.0800000000000027</c:v>
                </c:pt>
                <c:pt idx="318">
                  <c:v>4.0953599999994212</c:v>
                </c:pt>
                <c:pt idx="319">
                  <c:v>4.1200000000000028</c:v>
                </c:pt>
                <c:pt idx="320">
                  <c:v>4.1207899999999729</c:v>
                </c:pt>
                <c:pt idx="321">
                  <c:v>4.1414399999991911</c:v>
                </c:pt>
                <c:pt idx="322">
                  <c:v>4.1543099999987039</c:v>
                </c:pt>
                <c:pt idx="323">
                  <c:v>4.1600000000000028</c:v>
                </c:pt>
                <c:pt idx="324">
                  <c:v>4.1725199999995288</c:v>
                </c:pt>
                <c:pt idx="325">
                  <c:v>4.1933399999987406</c:v>
                </c:pt>
                <c:pt idx="326">
                  <c:v>4.2000000000000028</c:v>
                </c:pt>
                <c:pt idx="327">
                  <c:v>4.2033399999998764</c:v>
                </c:pt>
                <c:pt idx="328">
                  <c:v>4.2196399999992593</c:v>
                </c:pt>
                <c:pt idx="329">
                  <c:v>4.2400000000000029</c:v>
                </c:pt>
                <c:pt idx="330">
                  <c:v>4.2454399999997969</c:v>
                </c:pt>
                <c:pt idx="331">
                  <c:v>4.2695699999988834</c:v>
                </c:pt>
                <c:pt idx="332">
                  <c:v>4.2800000000000029</c:v>
                </c:pt>
                <c:pt idx="333">
                  <c:v>4.2888699999996671</c:v>
                </c:pt>
                <c:pt idx="334">
                  <c:v>4.3076499999989561</c:v>
                </c:pt>
                <c:pt idx="335">
                  <c:v>4.3200000000000029</c:v>
                </c:pt>
                <c:pt idx="336">
                  <c:v>4.3213799999999507</c:v>
                </c:pt>
                <c:pt idx="337">
                  <c:v>4.3313899999995717</c:v>
                </c:pt>
                <c:pt idx="338">
                  <c:v>4.3455999999990338</c:v>
                </c:pt>
                <c:pt idx="339">
                  <c:v>4.3566199999986166</c:v>
                </c:pt>
                <c:pt idx="340">
                  <c:v>4.360000000000003</c:v>
                </c:pt>
                <c:pt idx="341">
                  <c:v>4.3680899999996967</c:v>
                </c:pt>
                <c:pt idx="342">
                  <c:v>4.3822699999991599</c:v>
                </c:pt>
                <c:pt idx="343">
                  <c:v>4.3922799999987809</c:v>
                </c:pt>
                <c:pt idx="344">
                  <c:v>4.400000000000003</c:v>
                </c:pt>
                <c:pt idx="345">
                  <c:v>4.4064599999997585</c:v>
                </c:pt>
                <c:pt idx="346">
                  <c:v>4.4181699999993151</c:v>
                </c:pt>
                <c:pt idx="347">
                  <c:v>4.4281799999989362</c:v>
                </c:pt>
                <c:pt idx="348">
                  <c:v>4.4400000000000031</c:v>
                </c:pt>
                <c:pt idx="349">
                  <c:v>4.446339999999763</c:v>
                </c:pt>
                <c:pt idx="350">
                  <c:v>4.4602999999992345</c:v>
                </c:pt>
                <c:pt idx="351">
                  <c:v>4.4703099999988556</c:v>
                </c:pt>
                <c:pt idx="352">
                  <c:v>4.4800000000000031</c:v>
                </c:pt>
                <c:pt idx="353">
                  <c:v>4.4848699999998187</c:v>
                </c:pt>
                <c:pt idx="354">
                  <c:v>4.4985699999993001</c:v>
                </c:pt>
                <c:pt idx="355">
                  <c:v>4.5200000000000031</c:v>
                </c:pt>
                <c:pt idx="356">
                  <c:v>4.5223099999999157</c:v>
                </c:pt>
                <c:pt idx="357">
                  <c:v>4.540739999999218</c:v>
                </c:pt>
                <c:pt idx="358">
                  <c:v>4.5580699999985619</c:v>
                </c:pt>
                <c:pt idx="359">
                  <c:v>4.5600000000000032</c:v>
                </c:pt>
                <c:pt idx="360">
                  <c:v>4.5688099999996696</c:v>
                </c:pt>
                <c:pt idx="361">
                  <c:v>4.5788199999992907</c:v>
                </c:pt>
                <c:pt idx="362">
                  <c:v>4.5980699999985619</c:v>
                </c:pt>
                <c:pt idx="363">
                  <c:v>4.6000000000000032</c:v>
                </c:pt>
                <c:pt idx="364">
                  <c:v>4.6084199999996844</c:v>
                </c:pt>
                <c:pt idx="365">
                  <c:v>4.6184299999993055</c:v>
                </c:pt>
                <c:pt idx="366">
                  <c:v>4.6400000000000032</c:v>
                </c:pt>
                <c:pt idx="367">
                  <c:v>4.6407099999999764</c:v>
                </c:pt>
                <c:pt idx="368">
                  <c:v>4.6557599999994066</c:v>
                </c:pt>
                <c:pt idx="369">
                  <c:v>4.6657699999990276</c:v>
                </c:pt>
                <c:pt idx="370">
                  <c:v>4.6800000000000033</c:v>
                </c:pt>
                <c:pt idx="371">
                  <c:v>4.6842699999998416</c:v>
                </c:pt>
                <c:pt idx="372">
                  <c:v>4.6987999999992915</c:v>
                </c:pt>
                <c:pt idx="373">
                  <c:v>4.7088099999989126</c:v>
                </c:pt>
                <c:pt idx="374">
                  <c:v>4.7200000000000033</c:v>
                </c:pt>
                <c:pt idx="375">
                  <c:v>4.7292999999996512</c:v>
                </c:pt>
                <c:pt idx="376">
                  <c:v>4.7430399999991311</c:v>
                </c:pt>
                <c:pt idx="377">
                  <c:v>4.7530499999987521</c:v>
                </c:pt>
                <c:pt idx="378">
                  <c:v>4.7600000000000033</c:v>
                </c:pt>
                <c:pt idx="379">
                  <c:v>4.7644499999998349</c:v>
                </c:pt>
                <c:pt idx="380">
                  <c:v>4.7762699999993874</c:v>
                </c:pt>
                <c:pt idx="381">
                  <c:v>4.7903499999988544</c:v>
                </c:pt>
                <c:pt idx="382">
                  <c:v>4.8000000000000034</c:v>
                </c:pt>
                <c:pt idx="383">
                  <c:v>4.8003499999999901</c:v>
                </c:pt>
                <c:pt idx="384">
                  <c:v>4.8214599999991909</c:v>
                </c:pt>
                <c:pt idx="385">
                  <c:v>4.8357599999986496</c:v>
                </c:pt>
                <c:pt idx="386">
                  <c:v>4.8400000000000034</c:v>
                </c:pt>
                <c:pt idx="387">
                  <c:v>4.8542399999994643</c:v>
                </c:pt>
                <c:pt idx="388">
                  <c:v>4.8660499999990172</c:v>
                </c:pt>
                <c:pt idx="389">
                  <c:v>4.8800000000000034</c:v>
                </c:pt>
                <c:pt idx="390">
                  <c:v>4.8818999999999315</c:v>
                </c:pt>
                <c:pt idx="391">
                  <c:v>4.8976415779818714</c:v>
                </c:pt>
                <c:pt idx="392">
                  <c:v>4.9076615779814921</c:v>
                </c:pt>
                <c:pt idx="393">
                  <c:v>4.919681577981037</c:v>
                </c:pt>
                <c:pt idx="394">
                  <c:v>4.9200000000000035</c:v>
                </c:pt>
                <c:pt idx="395">
                  <c:v>4.9296899999996366</c:v>
                </c:pt>
                <c:pt idx="396">
                  <c:v>4.9454299999990408</c:v>
                </c:pt>
                <c:pt idx="397">
                  <c:v>4.9600000000000035</c:v>
                </c:pt>
                <c:pt idx="398">
                  <c:v>4.9608199999999725</c:v>
                </c:pt>
                <c:pt idx="399">
                  <c:v>4.9754799999994175</c:v>
                </c:pt>
                <c:pt idx="400">
                  <c:v>4.9881099999989393</c:v>
                </c:pt>
                <c:pt idx="401">
                  <c:v>5</c:v>
                </c:pt>
              </c:numCache>
            </c:numRef>
          </c:xVal>
          <c:yVal>
            <c:numRef>
              <c:f>Sheet1!$F$4:$F$405</c:f>
              <c:numCache>
                <c:formatCode>General</c:formatCode>
                <c:ptCount val="402"/>
                <c:pt idx="0">
                  <c:v>5</c:v>
                </c:pt>
                <c:pt idx="1">
                  <c:v>5.0001303849078775</c:v>
                </c:pt>
                <c:pt idx="2">
                  <c:v>5.0011050513552773</c:v>
                </c:pt>
                <c:pt idx="3">
                  <c:v>5.0016337597065812</c:v>
                </c:pt>
                <c:pt idx="4">
                  <c:v>5.0024648621190071</c:v>
                </c:pt>
                <c:pt idx="5">
                  <c:v>5.0038215695497792</c:v>
                </c:pt>
                <c:pt idx="6">
                  <c:v>5.0065493245398107</c:v>
                </c:pt>
                <c:pt idx="7">
                  <c:v>5.0071678002653828</c:v>
                </c:pt>
                <c:pt idx="8">
                  <c:v>5.0102609034395424</c:v>
                </c:pt>
                <c:pt idx="9">
                  <c:v>5.014165747429705</c:v>
                </c:pt>
                <c:pt idx="10">
                  <c:v>5.0147593837462034</c:v>
                </c:pt>
                <c:pt idx="11">
                  <c:v>5.0184714466203086</c:v>
                </c:pt>
                <c:pt idx="12">
                  <c:v>5.023662654550642</c:v>
                </c:pt>
                <c:pt idx="13">
                  <c:v>5.0262645390144476</c:v>
                </c:pt>
                <c:pt idx="14">
                  <c:v>5.0304566902561172</c:v>
                </c:pt>
                <c:pt idx="15">
                  <c:v>5.0405084680661849</c:v>
                </c:pt>
                <c:pt idx="16">
                  <c:v>5.0410565349600143</c:v>
                </c:pt>
                <c:pt idx="17">
                  <c:v>5.048097923990726</c:v>
                </c:pt>
                <c:pt idx="18">
                  <c:v>5.0562199330360391</c:v>
                </c:pt>
                <c:pt idx="19">
                  <c:v>5.0591401466485042</c:v>
                </c:pt>
                <c:pt idx="20">
                  <c:v>5.0649518424609523</c:v>
                </c:pt>
                <c:pt idx="21">
                  <c:v>5.074817755114692</c:v>
                </c:pt>
                <c:pt idx="22">
                  <c:v>5.0805151798449444</c:v>
                </c:pt>
                <c:pt idx="23">
                  <c:v>5.0872049215534272</c:v>
                </c:pt>
                <c:pt idx="24">
                  <c:v>5.1011367690451745</c:v>
                </c:pt>
                <c:pt idx="25">
                  <c:v>5.1051793501537004</c:v>
                </c:pt>
                <c:pt idx="26">
                  <c:v>5.1134697679292076</c:v>
                </c:pt>
                <c:pt idx="27">
                  <c:v>5.1261996144185407</c:v>
                </c:pt>
                <c:pt idx="28">
                  <c:v>5.1331346789474628</c:v>
                </c:pt>
                <c:pt idx="29">
                  <c:v>5.1395500046700757</c:v>
                </c:pt>
                <c:pt idx="30">
                  <c:v>5.1541192437207499</c:v>
                </c:pt>
                <c:pt idx="31">
                  <c:v>5.1643798164699604</c:v>
                </c:pt>
                <c:pt idx="32">
                  <c:v>5.1711119839113637</c:v>
                </c:pt>
                <c:pt idx="33">
                  <c:v>5.1894417488196964</c:v>
                </c:pt>
                <c:pt idx="34">
                  <c:v>5.1989142732245561</c:v>
                </c:pt>
                <c:pt idx="35">
                  <c:v>5.2066138669862054</c:v>
                </c:pt>
                <c:pt idx="36">
                  <c:v>5.2238619014278536</c:v>
                </c:pt>
                <c:pt idx="37">
                  <c:v>5.2367385792012966</c:v>
                </c:pt>
                <c:pt idx="38">
                  <c:v>5.2417928469578881</c:v>
                </c:pt>
                <c:pt idx="39">
                  <c:v>5.2619419351574415</c:v>
                </c:pt>
                <c:pt idx="40">
                  <c:v>5.277902961314453</c:v>
                </c:pt>
                <c:pt idx="41">
                  <c:v>5.2855637233138095</c:v>
                </c:pt>
                <c:pt idx="42">
                  <c:v>5.3037481971077023</c:v>
                </c:pt>
                <c:pt idx="43">
                  <c:v>5.3227232325838889</c:v>
                </c:pt>
                <c:pt idx="44">
                  <c:v>5.3227933587121612</c:v>
                </c:pt>
                <c:pt idx="45">
                  <c:v>5.3425218665922429</c:v>
                </c:pt>
                <c:pt idx="46">
                  <c:v>5.3633360759135957</c:v>
                </c:pt>
                <c:pt idx="47">
                  <c:v>5.3714577223931483</c:v>
                </c:pt>
                <c:pt idx="48">
                  <c:v>5.3980218424719126</c:v>
                </c:pt>
                <c:pt idx="49">
                  <c:v>5.4235415665500177</c:v>
                </c:pt>
                <c:pt idx="50">
                  <c:v>5.4267170831664799</c:v>
                </c:pt>
                <c:pt idx="51">
                  <c:v>5.4582847756764465</c:v>
                </c:pt>
                <c:pt idx="52">
                  <c:v>5.4758045916315954</c:v>
                </c:pt>
                <c:pt idx="53">
                  <c:v>5.4989745437826736</c:v>
                </c:pt>
                <c:pt idx="54">
                  <c:v>5.528142510621378</c:v>
                </c:pt>
                <c:pt idx="55">
                  <c:v>5.531962645932575</c:v>
                </c:pt>
                <c:pt idx="56">
                  <c:v>5.5574132873142128</c:v>
                </c:pt>
                <c:pt idx="57">
                  <c:v>5.5748949439349005</c:v>
                </c:pt>
                <c:pt idx="58">
                  <c:v>5.5805060227546983</c:v>
                </c:pt>
                <c:pt idx="59">
                  <c:v>5.6017056882593756</c:v>
                </c:pt>
                <c:pt idx="60">
                  <c:v>5.6142370717334478</c:v>
                </c:pt>
                <c:pt idx="61">
                  <c:v>5.6289405037214015</c:v>
                </c:pt>
                <c:pt idx="62">
                  <c:v>5.6306656591647206</c:v>
                </c:pt>
                <c:pt idx="63">
                  <c:v>5.6439725463382731</c:v>
                </c:pt>
                <c:pt idx="64">
                  <c:v>5.6598637994085186</c:v>
                </c:pt>
                <c:pt idx="65">
                  <c:v>5.6771202127721443</c:v>
                </c:pt>
                <c:pt idx="66">
                  <c:v>5.6803642484023147</c:v>
                </c:pt>
                <c:pt idx="67">
                  <c:v>5.6960338605009264</c:v>
                </c:pt>
                <c:pt idx="68">
                  <c:v>5.7117332443718389</c:v>
                </c:pt>
                <c:pt idx="69">
                  <c:v>5.7199741792318513</c:v>
                </c:pt>
                <c:pt idx="70">
                  <c:v>5.721994566672131</c:v>
                </c:pt>
                <c:pt idx="71">
                  <c:v>5.7402517510068334</c:v>
                </c:pt>
                <c:pt idx="72">
                  <c:v>5.7581261546757467</c:v>
                </c:pt>
                <c:pt idx="73">
                  <c:v>5.7586102890299955</c:v>
                </c:pt>
                <c:pt idx="74">
                  <c:v>5.772609225774878</c:v>
                </c:pt>
                <c:pt idx="75">
                  <c:v>5.786779802009705</c:v>
                </c:pt>
                <c:pt idx="76">
                  <c:v>5.7927838283774369</c:v>
                </c:pt>
                <c:pt idx="77">
                  <c:v>5.8039896221540399</c:v>
                </c:pt>
                <c:pt idx="78">
                  <c:v>5.8189460997738767</c:v>
                </c:pt>
                <c:pt idx="79">
                  <c:v>5.8220911413573315</c:v>
                </c:pt>
                <c:pt idx="80">
                  <c:v>5.8320889818443709</c:v>
                </c:pt>
                <c:pt idx="81">
                  <c:v>5.8391470191204258</c:v>
                </c:pt>
                <c:pt idx="82">
                  <c:v>5.8463432756191889</c:v>
                </c:pt>
                <c:pt idx="83">
                  <c:v>5.8493705774044722</c:v>
                </c:pt>
                <c:pt idx="84">
                  <c:v>5.860374371781897</c:v>
                </c:pt>
                <c:pt idx="85">
                  <c:v>5.8659002388864652</c:v>
                </c:pt>
                <c:pt idx="86">
                  <c:v>5.8664757392394558</c:v>
                </c:pt>
                <c:pt idx="87">
                  <c:v>5.8706131583676155</c:v>
                </c:pt>
                <c:pt idx="88">
                  <c:v>5.8767724432945494</c:v>
                </c:pt>
                <c:pt idx="89">
                  <c:v>5.8806033510305857</c:v>
                </c:pt>
                <c:pt idx="90">
                  <c:v>5.8810103248454775</c:v>
                </c:pt>
                <c:pt idx="91">
                  <c:v>5.8874096748847178</c:v>
                </c:pt>
                <c:pt idx="92">
                  <c:v>5.8925131286451888</c:v>
                </c:pt>
                <c:pt idx="93">
                  <c:v>5.8933440842117886</c:v>
                </c:pt>
                <c:pt idx="94">
                  <c:v>5.8978875135388344</c:v>
                </c:pt>
                <c:pt idx="95">
                  <c:v>5.8999682629141299</c:v>
                </c:pt>
                <c:pt idx="96">
                  <c:v>5.9009505378130775</c:v>
                </c:pt>
                <c:pt idx="97">
                  <c:v>5.9031566208782804</c:v>
                </c:pt>
                <c:pt idx="98">
                  <c:v>5.9062153756749858</c:v>
                </c:pt>
                <c:pt idx="99">
                  <c:v>5.9067351483450832</c:v>
                </c:pt>
                <c:pt idx="100">
                  <c:v>5.9085684474477969</c:v>
                </c:pt>
                <c:pt idx="101">
                  <c:v>5.9098884307443864</c:v>
                </c:pt>
                <c:pt idx="102">
                  <c:v>5.9106612276729553</c:v>
                </c:pt>
                <c:pt idx="103">
                  <c:v>5.9110288503835235</c:v>
                </c:pt>
                <c:pt idx="104">
                  <c:v>5.9125471883061325</c:v>
                </c:pt>
                <c:pt idx="105">
                  <c:v>5.9131030270004308</c:v>
                </c:pt>
                <c:pt idx="106">
                  <c:v>5.9131677573613057</c:v>
                </c:pt>
                <c:pt idx="107">
                  <c:v>5.913702246160927</c:v>
                </c:pt>
                <c:pt idx="108">
                  <c:v>5.9141543420924432</c:v>
                </c:pt>
                <c:pt idx="109">
                  <c:v>5.9145655905763981</c:v>
                </c:pt>
                <c:pt idx="110">
                  <c:v>5.9149817801351485</c:v>
                </c:pt>
                <c:pt idx="111">
                  <c:v>5.9153285508828208</c:v>
                </c:pt>
                <c:pt idx="112">
                  <c:v>5.9153669787384695</c:v>
                </c:pt>
                <c:pt idx="113">
                  <c:v>5.9156933074849309</c:v>
                </c:pt>
                <c:pt idx="114">
                  <c:v>5.9157348013136541</c:v>
                </c:pt>
                <c:pt idx="115">
                  <c:v>5.9157605403173958</c:v>
                </c:pt>
                <c:pt idx="116">
                  <c:v>5.9158534675648378</c:v>
                </c:pt>
                <c:pt idx="117">
                  <c:v>5.9158543174765965</c:v>
                </c:pt>
                <c:pt idx="118">
                  <c:v>5.9158673226572986</c:v>
                </c:pt>
                <c:pt idx="119">
                  <c:v>5.9157961787761737</c:v>
                </c:pt>
                <c:pt idx="120">
                  <c:v>5.9157832155674379</c:v>
                </c:pt>
                <c:pt idx="121">
                  <c:v>5.9157776384686986</c:v>
                </c:pt>
                <c:pt idx="122">
                  <c:v>5.9157839173335161</c:v>
                </c:pt>
                <c:pt idx="123">
                  <c:v>5.9157594993065352</c:v>
                </c:pt>
                <c:pt idx="124">
                  <c:v>5.9156636563145106</c:v>
                </c:pt>
                <c:pt idx="125">
                  <c:v>5.9155832317000723</c:v>
                </c:pt>
                <c:pt idx="126">
                  <c:v>5.9155949447232121</c:v>
                </c:pt>
                <c:pt idx="127">
                  <c:v>5.915617152848065</c:v>
                </c:pt>
                <c:pt idx="128">
                  <c:v>5.9155916272868989</c:v>
                </c:pt>
                <c:pt idx="129">
                  <c:v>5.9155916814333445</c:v>
                </c:pt>
                <c:pt idx="130">
                  <c:v>5.9156268306413784</c:v>
                </c:pt>
                <c:pt idx="131">
                  <c:v>5.9159090585937095</c:v>
                </c:pt>
                <c:pt idx="132">
                  <c:v>5.9161154318427185</c:v>
                </c:pt>
                <c:pt idx="133">
                  <c:v>5.9162822030807609</c:v>
                </c:pt>
                <c:pt idx="134">
                  <c:v>5.9166588317930442</c:v>
                </c:pt>
                <c:pt idx="135">
                  <c:v>5.9173376443023811</c:v>
                </c:pt>
                <c:pt idx="136">
                  <c:v>5.9173595901086857</c:v>
                </c:pt>
                <c:pt idx="137">
                  <c:v>5.9180471856717851</c:v>
                </c:pt>
                <c:pt idx="138">
                  <c:v>5.9197589780110587</c:v>
                </c:pt>
                <c:pt idx="139">
                  <c:v>5.9202186513209556</c:v>
                </c:pt>
                <c:pt idx="140">
                  <c:v>5.9214478387437079</c:v>
                </c:pt>
                <c:pt idx="141">
                  <c:v>5.9228989154818725</c:v>
                </c:pt>
                <c:pt idx="142">
                  <c:v>5.9239958352654103</c:v>
                </c:pt>
                <c:pt idx="143">
                  <c:v>5.9258102913148294</c:v>
                </c:pt>
                <c:pt idx="144">
                  <c:v>5.9302192270401957</c:v>
                </c:pt>
                <c:pt idx="145">
                  <c:v>5.930514028707174</c:v>
                </c:pt>
                <c:pt idx="146">
                  <c:v>5.9323285880085805</c:v>
                </c:pt>
                <c:pt idx="147">
                  <c:v>5.9387038716474061</c:v>
                </c:pt>
                <c:pt idx="148">
                  <c:v>5.939936322415015</c:v>
                </c:pt>
                <c:pt idx="149">
                  <c:v>5.9475986487987536</c:v>
                </c:pt>
                <c:pt idx="150">
                  <c:v>5.9530355376693871</c:v>
                </c:pt>
                <c:pt idx="151">
                  <c:v>5.9572906559076051</c:v>
                </c:pt>
                <c:pt idx="152">
                  <c:v>5.9614965793401087</c:v>
                </c:pt>
                <c:pt idx="153">
                  <c:v>5.9703592168622377</c:v>
                </c:pt>
                <c:pt idx="154">
                  <c:v>5.9723259528794959</c:v>
                </c:pt>
                <c:pt idx="155">
                  <c:v>5.9789090600708938</c:v>
                </c:pt>
                <c:pt idx="156">
                  <c:v>5.9900819828914971</c:v>
                </c:pt>
                <c:pt idx="157">
                  <c:v>5.9924533142868004</c:v>
                </c:pt>
                <c:pt idx="158">
                  <c:v>6.0116724605769569</c:v>
                </c:pt>
                <c:pt idx="159">
                  <c:v>6.0193646733071366</c:v>
                </c:pt>
                <c:pt idx="160">
                  <c:v>6.0325293557754556</c:v>
                </c:pt>
                <c:pt idx="161">
                  <c:v>6.0414172211996267</c:v>
                </c:pt>
                <c:pt idx="162">
                  <c:v>6.0500441430707799</c:v>
                </c:pt>
                <c:pt idx="163">
                  <c:v>6.0538955067213616</c:v>
                </c:pt>
                <c:pt idx="164">
                  <c:v>6.0635055725701354</c:v>
                </c:pt>
                <c:pt idx="165">
                  <c:v>6.0841971324087103</c:v>
                </c:pt>
                <c:pt idx="166">
                  <c:v>6.0842955744182445</c:v>
                </c:pt>
                <c:pt idx="167">
                  <c:v>6.1006891772288139</c:v>
                </c:pt>
                <c:pt idx="168">
                  <c:v>6.1217477778220077</c:v>
                </c:pt>
                <c:pt idx="169">
                  <c:v>6.1240546940513978</c:v>
                </c:pt>
                <c:pt idx="170">
                  <c:v>6.1551156859598324</c:v>
                </c:pt>
                <c:pt idx="171">
                  <c:v>6.1617623694877866</c:v>
                </c:pt>
                <c:pt idx="172">
                  <c:v>6.1686946261303088</c:v>
                </c:pt>
                <c:pt idx="173">
                  <c:v>6.198044325183135</c:v>
                </c:pt>
                <c:pt idx="174">
                  <c:v>6.2041370430646516</c:v>
                </c:pt>
                <c:pt idx="175">
                  <c:v>6.2192954157760898</c:v>
                </c:pt>
                <c:pt idx="176">
                  <c:v>6.2313255096322466</c:v>
                </c:pt>
                <c:pt idx="177">
                  <c:v>6.2424698723352128</c:v>
                </c:pt>
                <c:pt idx="178">
                  <c:v>6.2481765052524532</c:v>
                </c:pt>
                <c:pt idx="179">
                  <c:v>6.2761249355544315</c:v>
                </c:pt>
                <c:pt idx="180">
                  <c:v>6.2886163684162106</c:v>
                </c:pt>
                <c:pt idx="181">
                  <c:v>6.2936670311661462</c:v>
                </c:pt>
                <c:pt idx="182">
                  <c:v>6.3102253190563697</c:v>
                </c:pt>
                <c:pt idx="183">
                  <c:v>6.3401440513929419</c:v>
                </c:pt>
                <c:pt idx="184">
                  <c:v>6.3538886444100688</c:v>
                </c:pt>
                <c:pt idx="185">
                  <c:v>6.3871669729179725</c:v>
                </c:pt>
                <c:pt idx="186">
                  <c:v>6.3883251295815189</c:v>
                </c:pt>
                <c:pt idx="187">
                  <c:v>6.4282214374701736</c:v>
                </c:pt>
                <c:pt idx="188">
                  <c:v>6.434627130650969</c:v>
                </c:pt>
                <c:pt idx="189">
                  <c:v>6.4625320041037666</c:v>
                </c:pt>
                <c:pt idx="190">
                  <c:v>6.4820321480938965</c:v>
                </c:pt>
                <c:pt idx="191">
                  <c:v>6.5288817956600287</c:v>
                </c:pt>
                <c:pt idx="192">
                  <c:v>6.529829958560045</c:v>
                </c:pt>
                <c:pt idx="193">
                  <c:v>6.5485665310582286</c:v>
                </c:pt>
                <c:pt idx="194">
                  <c:v>6.5633372037473245</c:v>
                </c:pt>
                <c:pt idx="195">
                  <c:v>6.5707406538323676</c:v>
                </c:pt>
                <c:pt idx="196">
                  <c:v>6.5803893951643007</c:v>
                </c:pt>
                <c:pt idx="197">
                  <c:v>6.5982487407927186</c:v>
                </c:pt>
                <c:pt idx="198">
                  <c:v>6.6069284923598328</c:v>
                </c:pt>
                <c:pt idx="199">
                  <c:v>6.6142478477827291</c:v>
                </c:pt>
                <c:pt idx="200">
                  <c:v>6.6289397804304047</c:v>
                </c:pt>
                <c:pt idx="201">
                  <c:v>6.6374812830473449</c:v>
                </c:pt>
                <c:pt idx="202">
                  <c:v>6.6417502969639166</c:v>
                </c:pt>
                <c:pt idx="203">
                  <c:v>6.6532712909007401</c:v>
                </c:pt>
                <c:pt idx="204">
                  <c:v>6.6626648271986282</c:v>
                </c:pt>
                <c:pt idx="205">
                  <c:v>6.6637614163420906</c:v>
                </c:pt>
                <c:pt idx="206">
                  <c:v>6.6734673798318713</c:v>
                </c:pt>
                <c:pt idx="207">
                  <c:v>6.6820221919219849</c:v>
                </c:pt>
                <c:pt idx="208">
                  <c:v>6.6825731220982538</c:v>
                </c:pt>
                <c:pt idx="209">
                  <c:v>6.6893964632718452</c:v>
                </c:pt>
                <c:pt idx="210">
                  <c:v>6.6955664777431023</c:v>
                </c:pt>
                <c:pt idx="211">
                  <c:v>6.6975918009441227</c:v>
                </c:pt>
                <c:pt idx="212">
                  <c:v>6.7011166689664048</c:v>
                </c:pt>
                <c:pt idx="213">
                  <c:v>6.7058333397049763</c:v>
                </c:pt>
                <c:pt idx="214">
                  <c:v>6.7081179449143171</c:v>
                </c:pt>
                <c:pt idx="215">
                  <c:v>6.7098239037124214</c:v>
                </c:pt>
                <c:pt idx="216">
                  <c:v>6.7127914639145096</c:v>
                </c:pt>
                <c:pt idx="217">
                  <c:v>6.7145306394904054</c:v>
                </c:pt>
                <c:pt idx="218">
                  <c:v>6.7149363456461035</c:v>
                </c:pt>
                <c:pt idx="219">
                  <c:v>6.7163350347368018</c:v>
                </c:pt>
                <c:pt idx="220">
                  <c:v>6.7171494548774451</c:v>
                </c:pt>
                <c:pt idx="221">
                  <c:v>6.7172011755530088</c:v>
                </c:pt>
                <c:pt idx="222">
                  <c:v>6.7173458819259952</c:v>
                </c:pt>
                <c:pt idx="223">
                  <c:v>6.7170687459275795</c:v>
                </c:pt>
                <c:pt idx="224">
                  <c:v>6.7168023319532697</c:v>
                </c:pt>
                <c:pt idx="225">
                  <c:v>6.7164360785848869</c:v>
                </c:pt>
                <c:pt idx="226">
                  <c:v>6.7155459439028711</c:v>
                </c:pt>
                <c:pt idx="227">
                  <c:v>6.7144725345246021</c:v>
                </c:pt>
                <c:pt idx="228">
                  <c:v>6.7140512708915487</c:v>
                </c:pt>
                <c:pt idx="229">
                  <c:v>6.7131120043980328</c:v>
                </c:pt>
                <c:pt idx="230">
                  <c:v>6.7114113779361713</c:v>
                </c:pt>
                <c:pt idx="231">
                  <c:v>6.7093886749178315</c:v>
                </c:pt>
                <c:pt idx="232">
                  <c:v>6.7090872561255228</c:v>
                </c:pt>
                <c:pt idx="233">
                  <c:v>6.7068328644413606</c:v>
                </c:pt>
                <c:pt idx="234">
                  <c:v>6.7040552477157345</c:v>
                </c:pt>
                <c:pt idx="235">
                  <c:v>6.7017029697598902</c:v>
                </c:pt>
                <c:pt idx="236">
                  <c:v>6.7008435313963339</c:v>
                </c:pt>
                <c:pt idx="237">
                  <c:v>6.6973319103678017</c:v>
                </c:pt>
                <c:pt idx="238">
                  <c:v>6.6917755465645525</c:v>
                </c:pt>
                <c:pt idx="239">
                  <c:v>6.6907985350812194</c:v>
                </c:pt>
                <c:pt idx="240">
                  <c:v>6.6856681021291742</c:v>
                </c:pt>
                <c:pt idx="241">
                  <c:v>6.6816242947676443</c:v>
                </c:pt>
                <c:pt idx="242">
                  <c:v>6.6805741094150193</c:v>
                </c:pt>
                <c:pt idx="243">
                  <c:v>6.6775432964668449</c:v>
                </c:pt>
                <c:pt idx="244">
                  <c:v>6.6719976375389463</c:v>
                </c:pt>
                <c:pt idx="245">
                  <c:v>6.6689175488518426</c:v>
                </c:pt>
                <c:pt idx="246">
                  <c:v>6.6686703738166742</c:v>
                </c:pt>
                <c:pt idx="247">
                  <c:v>6.6608216523493269</c:v>
                </c:pt>
                <c:pt idx="248">
                  <c:v>6.656218384663787</c:v>
                </c:pt>
                <c:pt idx="249">
                  <c:v>6.6553057811727943</c:v>
                </c:pt>
                <c:pt idx="250">
                  <c:v>6.6491700770301616</c:v>
                </c:pt>
                <c:pt idx="251">
                  <c:v>6.6434393758121058</c:v>
                </c:pt>
                <c:pt idx="252">
                  <c:v>6.6424434732129196</c:v>
                </c:pt>
                <c:pt idx="253">
                  <c:v>6.6323183556851157</c:v>
                </c:pt>
                <c:pt idx="254">
                  <c:v>6.6308045632565893</c:v>
                </c:pt>
                <c:pt idx="255">
                  <c:v>6.6246211339024752</c:v>
                </c:pt>
                <c:pt idx="256">
                  <c:v>6.6204474146740431</c:v>
                </c:pt>
                <c:pt idx="257">
                  <c:v>6.619338308498941</c:v>
                </c:pt>
                <c:pt idx="258">
                  <c:v>6.6146227071228605</c:v>
                </c:pt>
                <c:pt idx="259">
                  <c:v>6.6124262888614682</c:v>
                </c:pt>
                <c:pt idx="260">
                  <c:v>6.6106623183213138</c:v>
                </c:pt>
                <c:pt idx="261">
                  <c:v>6.6074879026399946</c:v>
                </c:pt>
                <c:pt idx="262">
                  <c:v>6.6065584414085405</c:v>
                </c:pt>
                <c:pt idx="263">
                  <c:v>6.6049166825203676</c:v>
                </c:pt>
                <c:pt idx="264">
                  <c:v>6.6029898839257521</c:v>
                </c:pt>
                <c:pt idx="265">
                  <c:v>6.6026165135534169</c:v>
                </c:pt>
                <c:pt idx="266">
                  <c:v>6.6013651327006055</c:v>
                </c:pt>
                <c:pt idx="267">
                  <c:v>6.6004470899933469</c:v>
                </c:pt>
                <c:pt idx="268">
                  <c:v>6.6004224602047783</c:v>
                </c:pt>
                <c:pt idx="269">
                  <c:v>6.599928229625359</c:v>
                </c:pt>
                <c:pt idx="270">
                  <c:v>6.5998863640835133</c:v>
                </c:pt>
                <c:pt idx="271">
                  <c:v>6.5999138938731861</c:v>
                </c:pt>
                <c:pt idx="272">
                  <c:v>6.6002009358040929</c:v>
                </c:pt>
                <c:pt idx="273">
                  <c:v>6.6008932587602507</c:v>
                </c:pt>
                <c:pt idx="274">
                  <c:v>6.6010670477089493</c:v>
                </c:pt>
                <c:pt idx="275">
                  <c:v>6.6024822277401167</c:v>
                </c:pt>
                <c:pt idx="276">
                  <c:v>6.6034473516308889</c:v>
                </c:pt>
                <c:pt idx="277">
                  <c:v>6.6044518692012879</c:v>
                </c:pt>
                <c:pt idx="278">
                  <c:v>6.6069383604882344</c:v>
                </c:pt>
                <c:pt idx="279">
                  <c:v>6.6072816670811614</c:v>
                </c:pt>
                <c:pt idx="280">
                  <c:v>6.6092843695504913</c:v>
                </c:pt>
                <c:pt idx="281">
                  <c:v>6.611156293677892</c:v>
                </c:pt>
                <c:pt idx="282">
                  <c:v>6.6121249620493296</c:v>
                </c:pt>
                <c:pt idx="283">
                  <c:v>6.6132548607469808</c:v>
                </c:pt>
                <c:pt idx="284">
                  <c:v>6.6151362737483739</c:v>
                </c:pt>
                <c:pt idx="285">
                  <c:v>6.6169520227015166</c:v>
                </c:pt>
                <c:pt idx="286">
                  <c:v>6.617710990689984</c:v>
                </c:pt>
                <c:pt idx="287">
                  <c:v>6.6187109212609512</c:v>
                </c:pt>
                <c:pt idx="288">
                  <c:v>6.6204156457763261</c:v>
                </c:pt>
                <c:pt idx="289">
                  <c:v>6.6234736850093068</c:v>
                </c:pt>
                <c:pt idx="290">
                  <c:v>6.6241721253915404</c:v>
                </c:pt>
                <c:pt idx="291">
                  <c:v>6.6258989716110275</c:v>
                </c:pt>
                <c:pt idx="292">
                  <c:v>6.6273650916378042</c:v>
                </c:pt>
                <c:pt idx="293">
                  <c:v>6.6287157017721094</c:v>
                </c:pt>
                <c:pt idx="294">
                  <c:v>6.6287677286399749</c:v>
                </c:pt>
                <c:pt idx="295">
                  <c:v>6.630817770816213</c:v>
                </c:pt>
                <c:pt idx="296">
                  <c:v>6.6322353427839733</c:v>
                </c:pt>
                <c:pt idx="297">
                  <c:v>6.6330114899925885</c:v>
                </c:pt>
                <c:pt idx="298">
                  <c:v>6.6334296786719644</c:v>
                </c:pt>
                <c:pt idx="299">
                  <c:v>6.6343675311431252</c:v>
                </c:pt>
                <c:pt idx="300">
                  <c:v>6.6351391143608049</c:v>
                </c:pt>
                <c:pt idx="301">
                  <c:v>6.6351487015185588</c:v>
                </c:pt>
                <c:pt idx="302">
                  <c:v>6.635223541271019</c:v>
                </c:pt>
                <c:pt idx="303">
                  <c:v>6.6349983726552688</c:v>
                </c:pt>
                <c:pt idx="304">
                  <c:v>6.634889570958542</c:v>
                </c:pt>
                <c:pt idx="305">
                  <c:v>6.633890170931303</c:v>
                </c:pt>
                <c:pt idx="306">
                  <c:v>6.6313427852043532</c:v>
                </c:pt>
                <c:pt idx="307">
                  <c:v>6.6308853529189715</c:v>
                </c:pt>
                <c:pt idx="308">
                  <c:v>6.6281873419309854</c:v>
                </c:pt>
                <c:pt idx="309">
                  <c:v>6.6258464496042055</c:v>
                </c:pt>
                <c:pt idx="310">
                  <c:v>6.6227557302943678</c:v>
                </c:pt>
                <c:pt idx="311">
                  <c:v>6.6224131865283606</c:v>
                </c:pt>
                <c:pt idx="312">
                  <c:v>6.6156873992797118</c:v>
                </c:pt>
                <c:pt idx="313">
                  <c:v>6.6091932678101974</c:v>
                </c:pt>
                <c:pt idx="314">
                  <c:v>6.6074438518426879</c:v>
                </c:pt>
                <c:pt idx="315">
                  <c:v>6.6002476885952266</c:v>
                </c:pt>
                <c:pt idx="316">
                  <c:v>6.593232595201548</c:v>
                </c:pt>
                <c:pt idx="317">
                  <c:v>6.5903679976014065</c:v>
                </c:pt>
                <c:pt idx="318">
                  <c:v>6.5818286180838177</c:v>
                </c:pt>
                <c:pt idx="319">
                  <c:v>6.5664096985929339</c:v>
                </c:pt>
                <c:pt idx="320">
                  <c:v>6.5658791203854863</c:v>
                </c:pt>
                <c:pt idx="321">
                  <c:v>6.551223214460026</c:v>
                </c:pt>
                <c:pt idx="322">
                  <c:v>6.5413355226889465</c:v>
                </c:pt>
                <c:pt idx="323">
                  <c:v>6.5367927130479906</c:v>
                </c:pt>
                <c:pt idx="324">
                  <c:v>6.5265169638566798</c:v>
                </c:pt>
                <c:pt idx="325">
                  <c:v>6.5086767437770288</c:v>
                </c:pt>
                <c:pt idx="326">
                  <c:v>6.5026980792058868</c:v>
                </c:pt>
                <c:pt idx="327">
                  <c:v>6.4996452222315355</c:v>
                </c:pt>
                <c:pt idx="328">
                  <c:v>6.484259613099927</c:v>
                </c:pt>
                <c:pt idx="329">
                  <c:v>6.4639503318665463</c:v>
                </c:pt>
                <c:pt idx="330">
                  <c:v>6.4582975569546717</c:v>
                </c:pt>
                <c:pt idx="331">
                  <c:v>6.432098034892479</c:v>
                </c:pt>
                <c:pt idx="332">
                  <c:v>6.4202897685347491</c:v>
                </c:pt>
                <c:pt idx="333">
                  <c:v>6.41006156104031</c:v>
                </c:pt>
                <c:pt idx="334">
                  <c:v>6.3879566400524688</c:v>
                </c:pt>
                <c:pt idx="335">
                  <c:v>6.3729530065157238</c:v>
                </c:pt>
                <c:pt idx="336">
                  <c:v>6.3712513256316674</c:v>
                </c:pt>
                <c:pt idx="337">
                  <c:v>6.3587573918339872</c:v>
                </c:pt>
                <c:pt idx="338">
                  <c:v>6.3405904413519183</c:v>
                </c:pt>
                <c:pt idx="339">
                  <c:v>6.3261731496476248</c:v>
                </c:pt>
                <c:pt idx="340">
                  <c:v>6.321689785641496</c:v>
                </c:pt>
                <c:pt idx="341">
                  <c:v>6.310855800741372</c:v>
                </c:pt>
                <c:pt idx="342">
                  <c:v>6.2915796614796795</c:v>
                </c:pt>
                <c:pt idx="343">
                  <c:v>6.2777405017912864</c:v>
                </c:pt>
                <c:pt idx="344">
                  <c:v>6.266931613274739</c:v>
                </c:pt>
                <c:pt idx="345">
                  <c:v>6.2577905064636035</c:v>
                </c:pt>
                <c:pt idx="346">
                  <c:v>6.2409924150089058</c:v>
                </c:pt>
                <c:pt idx="347">
                  <c:v>6.2263862771367053</c:v>
                </c:pt>
                <c:pt idx="348">
                  <c:v>6.2088773553618628</c:v>
                </c:pt>
                <c:pt idx="349">
                  <c:v>6.1993916700029006</c:v>
                </c:pt>
                <c:pt idx="350">
                  <c:v>6.1783153433622786</c:v>
                </c:pt>
                <c:pt idx="351">
                  <c:v>6.1629924263150997</c:v>
                </c:pt>
                <c:pt idx="352">
                  <c:v>6.1479712345532986</c:v>
                </c:pt>
                <c:pt idx="353">
                  <c:v>6.1403476378958981</c:v>
                </c:pt>
                <c:pt idx="354">
                  <c:v>6.1186637423161274</c:v>
                </c:pt>
                <c:pt idx="355">
                  <c:v>6.0848608212498529</c:v>
                </c:pt>
                <c:pt idx="356">
                  <c:v>6.0813429548383544</c:v>
                </c:pt>
                <c:pt idx="357">
                  <c:v>6.0541399681705297</c:v>
                </c:pt>
                <c:pt idx="358">
                  <c:v>6.0295658941221255</c:v>
                </c:pt>
                <c:pt idx="359">
                  <c:v>6.0269423533403499</c:v>
                </c:pt>
                <c:pt idx="360">
                  <c:v>6.0152470232782722</c:v>
                </c:pt>
                <c:pt idx="361">
                  <c:v>6.0022022924775289</c:v>
                </c:pt>
                <c:pt idx="362">
                  <c:v>5.9777362173969468</c:v>
                </c:pt>
                <c:pt idx="363">
                  <c:v>5.9754235889898437</c:v>
                </c:pt>
                <c:pt idx="364">
                  <c:v>5.9656641166916256</c:v>
                </c:pt>
                <c:pt idx="365">
                  <c:v>5.9543244392681656</c:v>
                </c:pt>
                <c:pt idx="366">
                  <c:v>5.930441209067804</c:v>
                </c:pt>
                <c:pt idx="367">
                  <c:v>5.9297162022424157</c:v>
                </c:pt>
                <c:pt idx="368">
                  <c:v>5.9152312542514114</c:v>
                </c:pt>
                <c:pt idx="369">
                  <c:v>5.9058300500818985</c:v>
                </c:pt>
                <c:pt idx="370">
                  <c:v>5.8925938123298369</c:v>
                </c:pt>
                <c:pt idx="371">
                  <c:v>5.8888507969389137</c:v>
                </c:pt>
                <c:pt idx="372">
                  <c:v>5.8772395687278216</c:v>
                </c:pt>
                <c:pt idx="373">
                  <c:v>5.8694952632248825</c:v>
                </c:pt>
                <c:pt idx="374">
                  <c:v>5.8608584965280848</c:v>
                </c:pt>
                <c:pt idx="375">
                  <c:v>5.8542953002558891</c:v>
                </c:pt>
                <c:pt idx="376">
                  <c:v>5.8461781340676513</c:v>
                </c:pt>
                <c:pt idx="377">
                  <c:v>5.8405179196025294</c:v>
                </c:pt>
                <c:pt idx="378">
                  <c:v>5.8365799469447941</c:v>
                </c:pt>
                <c:pt idx="379">
                  <c:v>5.8340636470049123</c:v>
                </c:pt>
                <c:pt idx="380">
                  <c:v>5.8276544487881603</c:v>
                </c:pt>
                <c:pt idx="381">
                  <c:v>5.8213964734381127</c:v>
                </c:pt>
                <c:pt idx="382">
                  <c:v>5.817392846007662</c:v>
                </c:pt>
                <c:pt idx="383">
                  <c:v>5.817247484101431</c:v>
                </c:pt>
                <c:pt idx="384">
                  <c:v>5.8092414818809752</c:v>
                </c:pt>
                <c:pt idx="385">
                  <c:v>5.8059946363047619</c:v>
                </c:pt>
                <c:pt idx="386">
                  <c:v>5.8051493403906091</c:v>
                </c:pt>
                <c:pt idx="387">
                  <c:v>5.8023090628852154</c:v>
                </c:pt>
                <c:pt idx="388">
                  <c:v>5.8001455381624245</c:v>
                </c:pt>
                <c:pt idx="389">
                  <c:v>5.7987228935557198</c:v>
                </c:pt>
                <c:pt idx="390">
                  <c:v>5.7985725963018755</c:v>
                </c:pt>
                <c:pt idx="391">
                  <c:v>5.7973295110896839</c:v>
                </c:pt>
                <c:pt idx="392">
                  <c:v>5.7970131421194973</c:v>
                </c:pt>
                <c:pt idx="393">
                  <c:v>5.7975845599527327</c:v>
                </c:pt>
                <c:pt idx="394">
                  <c:v>5.797604695440099</c:v>
                </c:pt>
                <c:pt idx="395">
                  <c:v>5.7982372542012985</c:v>
                </c:pt>
                <c:pt idx="396">
                  <c:v>5.7993124375260301</c:v>
                </c:pt>
                <c:pt idx="397">
                  <c:v>5.800801571909723</c:v>
                </c:pt>
                <c:pt idx="398">
                  <c:v>5.8009037242917563</c:v>
                </c:pt>
                <c:pt idx="399">
                  <c:v>5.8028042501398662</c:v>
                </c:pt>
                <c:pt idx="400">
                  <c:v>5.8046123491346959</c:v>
                </c:pt>
                <c:pt idx="401">
                  <c:v>5.8067580294719789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D-42A2-AC64-21A032D1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34904"/>
        <c:axId val="448835888"/>
      </c:scatterChart>
      <c:valAx>
        <c:axId val="44883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8835888"/>
        <c:crosses val="autoZero"/>
        <c:crossBetween val="midCat"/>
      </c:valAx>
      <c:valAx>
        <c:axId val="44883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34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DC2D6E-FA75-4DE5-B440-8EE4E7CE49A4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C5AE5E-D769-4EDC-809F-BA7A938EBE5B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D81E5-4C9A-4160-BEB5-A3852B8E0243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27A42F-37EC-4186-A375-E87AD2C254FF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2270B-3A0C-4539-B1F0-5F50C0D588CF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7F9A04-8595-4FCE-AE0A-197F31EE247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6E78-B071-42E6-AF41-30D6E576A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4B2B6-6B90-4338-961D-B4D92A3D0A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0F95C-9B29-4692-8C4B-4BACD7F79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FE3A4-24F1-4069-818D-6E4927203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ACDC9-589C-4DB8-BFBB-1F0353A1D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90B2D-3F9F-493D-B198-53E2046FE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EB46-AAAD-44A2-8C84-C4DFE6670862}">
  <dimension ref="A1:J405"/>
  <sheetViews>
    <sheetView tabSelected="1" zoomScale="90" zoomScaleNormal="90" workbookViewId="0">
      <selection activeCell="C4" sqref="C4:C405"/>
    </sheetView>
  </sheetViews>
  <sheetFormatPr defaultRowHeight="14.4" x14ac:dyDescent="0.3"/>
  <cols>
    <col min="1" max="1" width="6.5546875" bestFit="1" customWidth="1"/>
    <col min="2" max="2" width="6" bestFit="1" customWidth="1"/>
    <col min="3" max="3" width="35.109375" customWidth="1"/>
    <col min="4" max="4" width="48.109375" bestFit="1" customWidth="1"/>
    <col min="5" max="5" width="37.6640625" bestFit="1" customWidth="1"/>
    <col min="6" max="6" width="38.109375" bestFit="1" customWidth="1"/>
    <col min="7" max="7" width="48.33203125" bestFit="1" customWidth="1"/>
    <col min="8" max="8" width="49.109375" bestFit="1" customWidth="1"/>
    <col min="9" max="9" width="37.6640625" bestFit="1" customWidth="1"/>
  </cols>
  <sheetData>
    <row r="1" spans="1:10" x14ac:dyDescent="0.3">
      <c r="A1" s="9"/>
      <c r="B1" s="9" t="s">
        <v>19</v>
      </c>
      <c r="C1" s="9" t="s">
        <v>18</v>
      </c>
      <c r="D1" s="9" t="s">
        <v>3</v>
      </c>
      <c r="E1" s="9">
        <v>1000</v>
      </c>
      <c r="F1" s="9" t="s">
        <v>7</v>
      </c>
      <c r="G1" s="9" t="s">
        <v>5</v>
      </c>
      <c r="H1" s="9" t="s">
        <v>6</v>
      </c>
    </row>
    <row r="2" spans="1:10" x14ac:dyDescent="0.3">
      <c r="A2" s="7"/>
      <c r="B2" s="7"/>
      <c r="C2" s="7" t="s">
        <v>4</v>
      </c>
      <c r="D2" s="7" t="s">
        <v>8</v>
      </c>
      <c r="E2" s="7" t="s">
        <v>17</v>
      </c>
      <c r="F2" s="7" t="s">
        <v>2</v>
      </c>
      <c r="G2" s="7" t="s">
        <v>9</v>
      </c>
      <c r="H2" s="7" t="s">
        <v>10</v>
      </c>
    </row>
    <row r="3" spans="1:10" x14ac:dyDescent="0.3">
      <c r="A3" s="8" t="s">
        <v>0</v>
      </c>
      <c r="B3" s="8" t="s">
        <v>1</v>
      </c>
      <c r="C3" s="8" t="s">
        <v>13</v>
      </c>
      <c r="D3" s="8" t="s">
        <v>12</v>
      </c>
      <c r="E3" s="8" t="s">
        <v>14</v>
      </c>
      <c r="F3" s="8" t="s">
        <v>11</v>
      </c>
      <c r="G3" s="8" t="s">
        <v>15</v>
      </c>
      <c r="H3" s="8" t="s">
        <v>16</v>
      </c>
    </row>
    <row r="4" spans="1:10" x14ac:dyDescent="0.3">
      <c r="A4" s="1">
        <v>1</v>
      </c>
      <c r="B4" s="2">
        <v>0</v>
      </c>
      <c r="C4">
        <f>(0*(-PI()/180))*-1</f>
        <v>0</v>
      </c>
      <c r="D4" s="3">
        <v>-3.6402442252687967E-15</v>
      </c>
      <c r="E4">
        <v>5</v>
      </c>
      <c r="F4">
        <v>5</v>
      </c>
      <c r="G4">
        <f>0*(-PI()/180)</f>
        <v>0</v>
      </c>
      <c r="H4">
        <f>0*(-PI()/180)</f>
        <v>0</v>
      </c>
      <c r="J4">
        <v>-1</v>
      </c>
    </row>
    <row r="5" spans="1:10" x14ac:dyDescent="0.3">
      <c r="A5" s="1">
        <v>2</v>
      </c>
      <c r="B5" s="2">
        <v>1.6979999999999478E-2</v>
      </c>
      <c r="C5">
        <f>(0.215517880412288*(-PI()/180))*-1</f>
        <v>3.7614966101138197E-3</v>
      </c>
      <c r="D5" s="3">
        <v>-1.49637627127674E-3</v>
      </c>
      <c r="E5">
        <v>4.9999997192128571</v>
      </c>
      <c r="F5">
        <v>5.0001303849078775</v>
      </c>
      <c r="G5">
        <f>-13.5839999758061*(-PI()/180)</f>
        <v>0.2370855251686465</v>
      </c>
      <c r="H5">
        <f>-13.5839999010392*(-PI()/180)</f>
        <v>0.23708552386371792</v>
      </c>
    </row>
    <row r="6" spans="1:10" x14ac:dyDescent="0.3">
      <c r="A6" s="1">
        <v>3</v>
      </c>
      <c r="B6" s="2">
        <v>3.3459999999999573E-2</v>
      </c>
      <c r="C6">
        <f>(0.569056115868053*(-PI()/180))*-1</f>
        <v>9.9319028505078753E-3</v>
      </c>
      <c r="D6" s="3">
        <v>-7.0835544923059839E-3</v>
      </c>
      <c r="E6">
        <v>4.9999851434593925</v>
      </c>
      <c r="F6">
        <v>5.0011050513552773</v>
      </c>
      <c r="G6">
        <f>-26.7679997211179*(-PI()/180)</f>
        <v>0.46718972930643127</v>
      </c>
      <c r="H6">
        <f>-26.7679998122702*(-PI()/180)</f>
        <v>0.46718973089733906</v>
      </c>
    </row>
    <row r="7" spans="1:10" x14ac:dyDescent="0.3">
      <c r="A7" s="1">
        <v>4</v>
      </c>
      <c r="B7" s="2">
        <v>0.04</v>
      </c>
      <c r="C7">
        <f>(0.726990483210146*(-PI()/180))*-1</f>
        <v>1.2688377562681603E-2</v>
      </c>
      <c r="D7" s="3">
        <v>-1.1397435746503197E-2</v>
      </c>
      <c r="E7">
        <v>4.9999891626698032</v>
      </c>
      <c r="F7">
        <v>5.0016337597065812</v>
      </c>
      <c r="G7">
        <f>-32.0000000000001*(-PI()/180)</f>
        <v>0.55850536063818723</v>
      </c>
      <c r="H7">
        <f>-32.0000000000001*(-PI()/180)</f>
        <v>0.55850536063818723</v>
      </c>
    </row>
    <row r="8" spans="1:10" x14ac:dyDescent="0.3">
      <c r="A8" s="1">
        <v>5</v>
      </c>
      <c r="B8" s="2">
        <v>4.9910000000003035E-2</v>
      </c>
      <c r="C8">
        <f>(0.655896489948605*(-PI()/180))*-1</f>
        <v>1.1447553301877052E-2</v>
      </c>
      <c r="D8" s="3">
        <v>-1.8457823234358611E-2</v>
      </c>
      <c r="E8">
        <v>5.0000008322434093</v>
      </c>
      <c r="F8">
        <v>5.0024648621190071</v>
      </c>
      <c r="G8">
        <f>-39.9280000238954*(-PI()/180)</f>
        <v>0.69687506415334932</v>
      </c>
      <c r="H8">
        <f>-39.9279999896453*(-PI()/180)</f>
        <v>0.69687506355557227</v>
      </c>
    </row>
    <row r="9" spans="1:10" x14ac:dyDescent="0.3">
      <c r="A9" s="1">
        <v>6</v>
      </c>
      <c r="B9" s="2">
        <v>6.2170000000006789E-2</v>
      </c>
      <c r="C9">
        <f>(0.596461703645845*(-PI()/180))*-1</f>
        <v>1.0410220590674662E-2</v>
      </c>
      <c r="D9" s="3">
        <v>-2.6025470586651115E-2</v>
      </c>
      <c r="E9">
        <v>5.0000145675449597</v>
      </c>
      <c r="F9">
        <v>5.0038215695497792</v>
      </c>
      <c r="G9">
        <f>-49.7359999787093*(-PI()/180)</f>
        <v>0.868056956400307</v>
      </c>
      <c r="H9">
        <f>-49.7359999162923*(-PI()/180)</f>
        <v>0.86805695531092475</v>
      </c>
    </row>
    <row r="10" spans="1:10" x14ac:dyDescent="0.3">
      <c r="A10" s="1">
        <v>7</v>
      </c>
      <c r="B10" s="2">
        <v>0.08</v>
      </c>
      <c r="C10">
        <f>(0.656680425172119*(-PI()/180))*-1</f>
        <v>1.1461235552649728E-2</v>
      </c>
      <c r="D10" s="3">
        <v>-3.6831283971843293E-2</v>
      </c>
      <c r="E10">
        <v>5.0000440680729294</v>
      </c>
      <c r="F10">
        <v>5.0065493245398107</v>
      </c>
      <c r="G10">
        <f>-64.0000000000001*(-PI()/180)</f>
        <v>1.1170107212763727</v>
      </c>
      <c r="H10">
        <f>-64.0000000000001*(-PI()/180)</f>
        <v>1.1170107212763727</v>
      </c>
    </row>
    <row r="11" spans="1:10" x14ac:dyDescent="0.3">
      <c r="A11" s="1">
        <v>8</v>
      </c>
      <c r="B11" s="2">
        <v>8.3799999999998528E-2</v>
      </c>
      <c r="C11">
        <f>(0.751443087634408*(-PI()/180))*-1</f>
        <v>1.3115156020572708E-2</v>
      </c>
      <c r="D11" s="3">
        <v>-3.9486509707073167E-2</v>
      </c>
      <c r="E11">
        <v>5.0000495434029277</v>
      </c>
      <c r="F11">
        <v>5.0071678002653828</v>
      </c>
      <c r="G11">
        <f>-67.0399999721917*(-PI()/180)</f>
        <v>1.1700687300516521</v>
      </c>
      <c r="H11">
        <f>-67.0400000443886*(-PI()/180)</f>
        <v>1.170068731311726</v>
      </c>
    </row>
    <row r="12" spans="1:10" x14ac:dyDescent="0.3">
      <c r="A12" s="1">
        <v>9</v>
      </c>
      <c r="B12" s="2">
        <v>0.10058999999999202</v>
      </c>
      <c r="C12">
        <f>(0.614499583928543*(-PI()/180))*-1</f>
        <v>1.0725040991688306E-2</v>
      </c>
      <c r="D12" s="3">
        <v>-5.2963348982292081E-2</v>
      </c>
      <c r="E12">
        <v>5.0000809886606081</v>
      </c>
      <c r="F12">
        <v>5.0102609034395424</v>
      </c>
      <c r="G12">
        <f>-80.4720000469897*(-PI()/180)</f>
        <v>1.404501356485002</v>
      </c>
      <c r="H12">
        <f>-80.4720000517212*(-PI()/180)</f>
        <v>1.4045013565675821</v>
      </c>
    </row>
    <row r="13" spans="1:10" x14ac:dyDescent="0.3">
      <c r="A13" s="1">
        <v>10</v>
      </c>
      <c r="B13" s="2">
        <v>0.11754999999998544</v>
      </c>
      <c r="C13">
        <f>(0.874907551298145*(-PI()/180))*-1</f>
        <v>1.527001742071382E-2</v>
      </c>
      <c r="D13" s="3">
        <v>-6.5409172821301931E-2</v>
      </c>
      <c r="E13">
        <v>5.0001050172024373</v>
      </c>
      <c r="F13">
        <v>5.014165747429705</v>
      </c>
      <c r="G13">
        <f>-94.0399999470156*(-PI()/180)</f>
        <v>1.6413076276507153</v>
      </c>
      <c r="H13">
        <f>-94.0399999482836*(-PI()/180)</f>
        <v>1.641307627672846</v>
      </c>
    </row>
    <row r="14" spans="1:10" x14ac:dyDescent="0.3">
      <c r="A14" s="1">
        <v>11</v>
      </c>
      <c r="B14" s="2">
        <v>0.12</v>
      </c>
      <c r="C14">
        <f>(0.887822565705676*(-PI()/180))*-1</f>
        <v>1.5495426945067739E-2</v>
      </c>
      <c r="D14" s="3">
        <v>-6.7562760148734788E-2</v>
      </c>
      <c r="E14">
        <v>5.0001092224122621</v>
      </c>
      <c r="F14">
        <v>5.0147593837462034</v>
      </c>
      <c r="G14">
        <f>-96.0000000000002*(-PI()/180)</f>
        <v>1.6755160819145598</v>
      </c>
      <c r="H14">
        <f>-96.0000000000002*(-PI()/180)</f>
        <v>1.6755160819145598</v>
      </c>
    </row>
    <row r="15" spans="1:10" x14ac:dyDescent="0.3">
      <c r="A15" s="1">
        <v>12</v>
      </c>
      <c r="B15" s="2">
        <v>0.13453000000000759</v>
      </c>
      <c r="C15">
        <f>(0.776789615390004*(-PI()/180))*-1</f>
        <v>1.3557536383855987E-2</v>
      </c>
      <c r="D15" s="3">
        <v>-8.0813657058877469E-2</v>
      </c>
      <c r="E15">
        <v>5.0001363941246586</v>
      </c>
      <c r="F15">
        <v>5.0184714466203086</v>
      </c>
      <c r="G15">
        <f>-107.62400005221*(-PI()/180)</f>
        <v>1.8783931550776136</v>
      </c>
      <c r="H15">
        <f>-107.623999975448*(-PI()/180)</f>
        <v>1.878393153737864</v>
      </c>
    </row>
    <row r="16" spans="1:10" x14ac:dyDescent="0.3">
      <c r="A16" s="1">
        <v>13</v>
      </c>
      <c r="B16" s="2">
        <v>0.15190000000002496</v>
      </c>
      <c r="C16">
        <f>(0.979601805374381*(-PI()/180))*-1</f>
        <v>1.7097276862263634E-2</v>
      </c>
      <c r="D16" s="3">
        <v>-9.5139830383130494E-2</v>
      </c>
      <c r="E16">
        <v>5.0001603457420156</v>
      </c>
      <c r="F16">
        <v>5.023662654550642</v>
      </c>
      <c r="G16">
        <f>-121.519999781237*(-PI()/180)</f>
        <v>2.1209241032053745</v>
      </c>
      <c r="H16">
        <f>-121.519999891711*(-PI()/180)</f>
        <v>2.1209241051335095</v>
      </c>
    </row>
    <row r="17" spans="1:8" x14ac:dyDescent="0.3">
      <c r="A17" s="1">
        <v>14</v>
      </c>
      <c r="B17" s="2">
        <v>0.16</v>
      </c>
      <c r="C17">
        <f>(1.08223765402657*(-PI()/180))*-1</f>
        <v>1.8888610351822911E-2</v>
      </c>
      <c r="D17" s="3">
        <v>-0.10376347102809133</v>
      </c>
      <c r="E17">
        <v>5.0001774089041477</v>
      </c>
      <c r="F17">
        <v>5.0262645390144476</v>
      </c>
      <c r="G17">
        <f>-128*(-PI()/180)</f>
        <v>2.2340214425527418</v>
      </c>
      <c r="H17">
        <f>-128*(-PI()/180)</f>
        <v>2.2340214425527418</v>
      </c>
    </row>
    <row r="18" spans="1:8" x14ac:dyDescent="0.3">
      <c r="A18" s="1">
        <v>15</v>
      </c>
      <c r="B18" s="2">
        <v>0.17248000000001248</v>
      </c>
      <c r="C18">
        <f>(0.955562165725553*(-PI()/180))*-1</f>
        <v>1.667770599939861E-2</v>
      </c>
      <c r="D18" s="3">
        <v>-0.11697044093773436</v>
      </c>
      <c r="E18">
        <v>5.0002038571825711</v>
      </c>
      <c r="F18">
        <v>5.0304566902561172</v>
      </c>
      <c r="G18">
        <f>-137.984000014026*(-PI()/180)</f>
        <v>2.4082751153166555</v>
      </c>
      <c r="H18">
        <f>-137.98400001109*(-PI()/180)</f>
        <v>2.4082751152654125</v>
      </c>
    </row>
    <row r="19" spans="1:8" x14ac:dyDescent="0.3">
      <c r="A19" s="1">
        <v>16</v>
      </c>
      <c r="B19" s="2">
        <v>0.19865000000003866</v>
      </c>
      <c r="C19">
        <f>(1.31208514177906*(-PI()/180))*-1</f>
        <v>2.2900205790541205E-2</v>
      </c>
      <c r="D19" s="3">
        <v>-0.1450853949867128</v>
      </c>
      <c r="E19">
        <v>5.0002595399531042</v>
      </c>
      <c r="F19">
        <v>5.0405084680661849</v>
      </c>
      <c r="G19">
        <f>-158.919999996887*(-PI()/180)</f>
        <v>2.7736772472150562</v>
      </c>
      <c r="H19">
        <f>-158.919999936624*(-PI()/180)</f>
        <v>2.7736772461632686</v>
      </c>
    </row>
    <row r="20" spans="1:8" x14ac:dyDescent="0.3">
      <c r="A20" s="1">
        <v>17</v>
      </c>
      <c r="B20" s="2">
        <v>0.2</v>
      </c>
      <c r="C20">
        <f>(1.31925888530402*(-PI()/180))*-1</f>
        <v>2.3025411234745382E-2</v>
      </c>
      <c r="D20" s="3">
        <v>-0.14686289235614797</v>
      </c>
      <c r="E20">
        <v>5.0002634020258805</v>
      </c>
      <c r="F20">
        <v>5.0410565349600143</v>
      </c>
      <c r="G20">
        <f>-160*(-PI()/180)</f>
        <v>2.7925268031909272</v>
      </c>
      <c r="H20">
        <f>-160*(-PI()/180)</f>
        <v>2.7925268031909272</v>
      </c>
    </row>
    <row r="21" spans="1:8" x14ac:dyDescent="0.3">
      <c r="A21" s="1">
        <v>18</v>
      </c>
      <c r="B21" s="2">
        <v>0.21658000000001659</v>
      </c>
      <c r="C21">
        <f>(1.13550849522898*(-PI()/180))*-1</f>
        <v>1.9818361926112023E-2</v>
      </c>
      <c r="D21" s="3">
        <v>-0.16715803373711424</v>
      </c>
      <c r="E21">
        <v>5.0003082092554916</v>
      </c>
      <c r="F21">
        <v>5.048097923990726</v>
      </c>
      <c r="G21">
        <f>-173.264000087443*(-PI()/180)</f>
        <v>3.0240272767016236</v>
      </c>
      <c r="H21">
        <f>-173.2640000663*(-PI()/180)</f>
        <v>3.0240272763326086</v>
      </c>
    </row>
    <row r="22" spans="1:8" x14ac:dyDescent="0.3">
      <c r="A22" s="1">
        <v>19</v>
      </c>
      <c r="B22" s="2">
        <v>0.23398000000003399</v>
      </c>
      <c r="C22">
        <f>(1.47650420461739*(-PI()/180))*-1</f>
        <v>2.5769859790113519E-2</v>
      </c>
      <c r="D22" s="3">
        <v>-0.18910086856863625</v>
      </c>
      <c r="E22">
        <v>5.0003568418321818</v>
      </c>
      <c r="F22">
        <v>5.0562199330360391</v>
      </c>
      <c r="G22">
        <f>-187.18400017427*(-PI()/180)</f>
        <v>3.2669771100946514</v>
      </c>
      <c r="H22">
        <f>-187.184000313586*(-PI()/180)</f>
        <v>3.2669771125261744</v>
      </c>
    </row>
    <row r="23" spans="1:8" x14ac:dyDescent="0.3">
      <c r="A23" s="1">
        <v>20</v>
      </c>
      <c r="B23" s="2">
        <v>0.24000000000000002</v>
      </c>
      <c r="C23">
        <f>(1.49891454297017*(-PI()/180))*-1</f>
        <v>2.6160993980855491E-2</v>
      </c>
      <c r="D23" s="3">
        <v>-0.19814748084264264</v>
      </c>
      <c r="E23">
        <v>5.0003782886341677</v>
      </c>
      <c r="F23">
        <v>5.0591401466485042</v>
      </c>
      <c r="G23">
        <f>-192*(-PI()/180)</f>
        <v>3.351032163829113</v>
      </c>
      <c r="H23">
        <f>-192*(-PI()/180)</f>
        <v>3.351032163829113</v>
      </c>
    </row>
    <row r="24" spans="1:8" x14ac:dyDescent="0.3">
      <c r="A24" s="1">
        <v>21</v>
      </c>
      <c r="B24" s="2">
        <v>0.25159000000001158</v>
      </c>
      <c r="C24">
        <f>(1.36030371137925*(-PI()/180))*-1</f>
        <v>2.3741778590666566E-2</v>
      </c>
      <c r="D24" s="3">
        <v>-0.21486951502683746</v>
      </c>
      <c r="E24">
        <v>5.0004192380833485</v>
      </c>
      <c r="F24">
        <v>5.0649518424609523</v>
      </c>
      <c r="G24">
        <f>-201.272000054361*(-PI()/180)</f>
        <v>3.5128590930228056</v>
      </c>
      <c r="H24">
        <f>-201.2719999404*(-PI()/180)</f>
        <v>3.5128590910338109</v>
      </c>
    </row>
    <row r="25" spans="1:8" x14ac:dyDescent="0.3">
      <c r="A25" s="1">
        <v>22</v>
      </c>
      <c r="B25" s="2">
        <v>0.26990000000002989</v>
      </c>
      <c r="C25">
        <f>(1.59399599387083*(-PI()/180))*-1</f>
        <v>2.7820478356645334E-2</v>
      </c>
      <c r="D25" s="3">
        <v>-0.24068521343670579</v>
      </c>
      <c r="E25">
        <v>5.000483078411265</v>
      </c>
      <c r="F25">
        <v>5.074817755114692</v>
      </c>
      <c r="G25">
        <f>-215.920000075917*(-PI()/180)</f>
        <v>3.7685149222311578</v>
      </c>
      <c r="H25">
        <f>-215.920000079721*(-PI()/180)</f>
        <v>3.7685149222975505</v>
      </c>
    </row>
    <row r="26" spans="1:8" x14ac:dyDescent="0.3">
      <c r="A26" s="1">
        <v>23</v>
      </c>
      <c r="B26" s="2">
        <v>0.28000000000000003</v>
      </c>
      <c r="C26">
        <f>(1.7110038727702*(-PI()/180))*-1</f>
        <v>2.986265109421414E-2</v>
      </c>
      <c r="D26" s="3">
        <v>-0.25767715504868444</v>
      </c>
      <c r="E26">
        <v>5.000527583468128</v>
      </c>
      <c r="F26">
        <v>5.0805151798449444</v>
      </c>
      <c r="G26">
        <f>-224.000000000001*(-PI()/180)</f>
        <v>3.9095375244673156</v>
      </c>
      <c r="H26">
        <f>-224.000000000001*(-PI()/180)</f>
        <v>3.9095375244673156</v>
      </c>
    </row>
    <row r="27" spans="1:8" x14ac:dyDescent="0.3">
      <c r="A27" s="1">
        <v>24</v>
      </c>
      <c r="B27" s="2">
        <v>0.29145000000001148</v>
      </c>
      <c r="C27">
        <f>(1.53468787925821*(-PI()/180))*-1</f>
        <v>2.6785356483504955E-2</v>
      </c>
      <c r="D27" s="3">
        <v>-0.27628000172158423</v>
      </c>
      <c r="E27">
        <v>5.0005781793018498</v>
      </c>
      <c r="F27">
        <v>5.0872049215534272</v>
      </c>
      <c r="G27">
        <f>-233.159999870933*(-PI()/180)</f>
        <v>4.0694096816973344</v>
      </c>
      <c r="H27">
        <f>-233.159999995771*(-PI()/180)</f>
        <v>4.0694096838761684</v>
      </c>
    </row>
    <row r="28" spans="1:8" x14ac:dyDescent="0.3">
      <c r="A28" s="1">
        <v>25</v>
      </c>
      <c r="B28" s="2">
        <v>0.3137700000000338</v>
      </c>
      <c r="C28">
        <f>(1.90656552719899*(-PI()/180))*-1</f>
        <v>3.3275845854643882E-2</v>
      </c>
      <c r="D28" s="3">
        <v>-0.31377190694201568</v>
      </c>
      <c r="E28">
        <v>5.000684546211156</v>
      </c>
      <c r="F28">
        <v>5.1011367690451745</v>
      </c>
      <c r="G28">
        <f>-251.016000015731*(-PI()/180)</f>
        <v>4.3810556754606438</v>
      </c>
      <c r="H28">
        <f>-251.016000140684*(-PI()/180)</f>
        <v>4.3810556776414851</v>
      </c>
    </row>
    <row r="29" spans="1:8" x14ac:dyDescent="0.3">
      <c r="A29" s="1">
        <v>26</v>
      </c>
      <c r="B29" s="2">
        <v>0.32</v>
      </c>
      <c r="C29">
        <f>(1.90982052682204*(-PI()/180))*-1</f>
        <v>3.3332656315217278E-2</v>
      </c>
      <c r="D29" s="3">
        <v>-0.32566094139887403</v>
      </c>
      <c r="E29">
        <v>5.0007195647054132</v>
      </c>
      <c r="F29">
        <v>5.1051793501537004</v>
      </c>
      <c r="G29">
        <f>-256.000000000001*(-PI()/180)</f>
        <v>4.4680428851055014</v>
      </c>
      <c r="H29">
        <f>-256.000000000001*(-PI()/180)</f>
        <v>4.4680428851055014</v>
      </c>
    </row>
    <row r="30" spans="1:8" x14ac:dyDescent="0.3">
      <c r="A30" s="1">
        <v>27</v>
      </c>
      <c r="B30" s="2">
        <v>0.33240000000001241</v>
      </c>
      <c r="C30">
        <f>(1.76178435247648*(-PI()/180))*-1</f>
        <v>3.0748937660830891E-2</v>
      </c>
      <c r="D30" s="3">
        <v>-0.34824063477688871</v>
      </c>
      <c r="E30">
        <v>5.0007888202819064</v>
      </c>
      <c r="F30">
        <v>5.1134697679292076</v>
      </c>
      <c r="G30">
        <f>-265.920000004371*(-PI()/180)</f>
        <v>4.6411795469796093</v>
      </c>
      <c r="H30">
        <f>-265.920000004597*(-PI()/180)</f>
        <v>4.6411795469835537</v>
      </c>
    </row>
    <row r="31" spans="1:8" x14ac:dyDescent="0.3">
      <c r="A31" s="1">
        <v>28</v>
      </c>
      <c r="B31" s="2">
        <v>0.35048000000003049</v>
      </c>
      <c r="C31">
        <f>(2.07746265459076*(-PI()/180))*-1</f>
        <v>3.6258563409830455E-2</v>
      </c>
      <c r="D31" s="3">
        <v>-0.38232937576695225</v>
      </c>
      <c r="E31">
        <v>5.0008974345151298</v>
      </c>
      <c r="F31">
        <v>5.1261996144185407</v>
      </c>
      <c r="G31">
        <f>-280.383999879657*(-PI()/180)</f>
        <v>4.8936239678113989</v>
      </c>
      <c r="H31">
        <f>-280.383999863334*(-PI()/180)</f>
        <v>4.8936239675265094</v>
      </c>
    </row>
    <row r="32" spans="1:8" x14ac:dyDescent="0.3">
      <c r="A32" s="1">
        <v>29</v>
      </c>
      <c r="B32" s="2">
        <v>0.36</v>
      </c>
      <c r="C32">
        <f>(2.11392311774733*(-PI()/180))*-1</f>
        <v>3.6894918538714683E-2</v>
      </c>
      <c r="D32" s="3">
        <v>-0.40245702476855483</v>
      </c>
      <c r="E32">
        <v>5.0009633611834996</v>
      </c>
      <c r="F32">
        <v>5.1331346789474628</v>
      </c>
      <c r="G32">
        <f>-288.000000000001*(-PI()/180)</f>
        <v>5.0265482457436867</v>
      </c>
      <c r="H32">
        <f>-288.000000000001*(-PI()/180)</f>
        <v>5.0265482457436867</v>
      </c>
    </row>
    <row r="33" spans="1:8" x14ac:dyDescent="0.3">
      <c r="A33" s="1">
        <v>30</v>
      </c>
      <c r="B33" s="2">
        <v>0.36859000000000858</v>
      </c>
      <c r="C33">
        <f>(1.98844299625977*(-PI()/180))*-1</f>
        <v>3.4704877272954279E-2</v>
      </c>
      <c r="D33" s="3">
        <v>-0.42003019544212061</v>
      </c>
      <c r="E33">
        <v>5.0010232955269975</v>
      </c>
      <c r="F33">
        <v>5.1395500046700757</v>
      </c>
      <c r="G33">
        <f>-294.872000075834*(-PI()/180)</f>
        <v>5.146487273264273</v>
      </c>
      <c r="H33">
        <f>-294.872000088482*(-PI()/180)</f>
        <v>5.1464872734850218</v>
      </c>
    </row>
    <row r="34" spans="1:8" x14ac:dyDescent="0.3">
      <c r="A34" s="1">
        <v>31</v>
      </c>
      <c r="B34" s="2">
        <v>0.38730000000002729</v>
      </c>
      <c r="C34">
        <f>(2.26351405196431*(-PI()/180))*-1</f>
        <v>3.9505772871935234E-2</v>
      </c>
      <c r="D34" s="3">
        <v>-0.4588517152128318</v>
      </c>
      <c r="E34">
        <v>5.0011609652535283</v>
      </c>
      <c r="F34">
        <v>5.1541192437207499</v>
      </c>
      <c r="G34">
        <f>-309.839999928266*(-PI()/180)</f>
        <v>5.4077281531272368</v>
      </c>
      <c r="H34">
        <f>-309.839999943077*(-PI()/180)</f>
        <v>5.4077281533857366</v>
      </c>
    </row>
    <row r="35" spans="1:8" x14ac:dyDescent="0.3">
      <c r="A35" s="1">
        <v>32</v>
      </c>
      <c r="B35" s="2">
        <v>0.39999999999999997</v>
      </c>
      <c r="C35">
        <f>(2.31676880650365*(-PI()/180))*-1</f>
        <v>4.0435243680988109E-2</v>
      </c>
      <c r="D35" s="3">
        <v>-0.48833662542283834</v>
      </c>
      <c r="E35">
        <v>5.0012681156438967</v>
      </c>
      <c r="F35">
        <v>5.1643798164699604</v>
      </c>
      <c r="G35">
        <f>-320.000000000001*(-PI()/180)</f>
        <v>5.5850536063818721</v>
      </c>
      <c r="H35">
        <f>-320.000000000001*(-PI()/180)</f>
        <v>5.5850536063818721</v>
      </c>
    </row>
    <row r="36" spans="1:8" x14ac:dyDescent="0.3">
      <c r="A36" s="1">
        <v>33</v>
      </c>
      <c r="B36" s="2">
        <v>0.40812000000000809</v>
      </c>
      <c r="C36">
        <f>(2.21587468071293*(-PI()/180))*-1</f>
        <v>3.8674308990018717E-2</v>
      </c>
      <c r="D36" s="3">
        <v>-0.50672206891805516</v>
      </c>
      <c r="E36">
        <v>5.0013379264028783</v>
      </c>
      <c r="F36">
        <v>5.1711119839113637</v>
      </c>
      <c r="G36">
        <f>-326.496000112984*(-PI()/180)</f>
        <v>5.6984301965633488</v>
      </c>
      <c r="H36">
        <f>-326.496000021241*(-PI()/180)</f>
        <v>5.6984301949621319</v>
      </c>
    </row>
    <row r="37" spans="1:8" x14ac:dyDescent="0.3">
      <c r="A37" s="1">
        <v>34</v>
      </c>
      <c r="B37" s="2">
        <v>0.42938000000002935</v>
      </c>
      <c r="C37">
        <f>(2.55526269272425*(-PI()/180))*-1</f>
        <v>4.4597747241414312E-2</v>
      </c>
      <c r="D37" s="3">
        <v>-0.556654871082918</v>
      </c>
      <c r="E37">
        <v>5.0015348253159848</v>
      </c>
      <c r="F37">
        <v>5.1894417488196964</v>
      </c>
      <c r="G37">
        <f>-343.504000000435*(-PI()/180)</f>
        <v>5.9952757937781938</v>
      </c>
      <c r="H37">
        <f>-343.503999996853*(-PI()/180)</f>
        <v>5.9952757937156758</v>
      </c>
    </row>
    <row r="38" spans="1:8" x14ac:dyDescent="0.3">
      <c r="A38" s="1">
        <v>35</v>
      </c>
      <c r="B38" s="2">
        <v>0.43999999999999995</v>
      </c>
      <c r="C38">
        <f>(2.53315244896125*(-PI()/180))*-1</f>
        <v>4.4211850689331422E-2</v>
      </c>
      <c r="D38" s="3">
        <v>-0.58391919252481528</v>
      </c>
      <c r="E38">
        <v>5.0016449022506348</v>
      </c>
      <c r="F38">
        <v>5.1989142732245561</v>
      </c>
      <c r="G38">
        <f>-352.000000000001*(-PI()/180)</f>
        <v>6.1435589670200574</v>
      </c>
      <c r="H38">
        <f>-352.000000000001*(-PI()/180)</f>
        <v>6.1435589670200574</v>
      </c>
    </row>
    <row r="39" spans="1:8" x14ac:dyDescent="0.3">
      <c r="A39" s="1">
        <v>36</v>
      </c>
      <c r="B39" s="2">
        <v>0.44844000000000839</v>
      </c>
      <c r="C39">
        <f>(2.4683440692961*(-PI()/180))*-1</f>
        <v>4.3080731081292019E-2</v>
      </c>
      <c r="D39" s="3">
        <v>-0.60505120930075229</v>
      </c>
      <c r="E39">
        <v>5.0017339672039309</v>
      </c>
      <c r="F39">
        <v>5.2066138669862054</v>
      </c>
      <c r="G39">
        <f>-358.752000074701*(-PI()/180)</f>
        <v>6.2614035994184762</v>
      </c>
      <c r="H39">
        <f>-358.751999959087*(-PI()/180)</f>
        <v>6.2614035974006308</v>
      </c>
    </row>
    <row r="40" spans="1:8" x14ac:dyDescent="0.3">
      <c r="A40" s="1">
        <v>37</v>
      </c>
      <c r="B40" s="2">
        <v>0.46675049979003053</v>
      </c>
      <c r="C40">
        <f>(2.77573956320767*(-PI()/180))*-1</f>
        <v>4.8445794555843094E-2</v>
      </c>
      <c r="D40" s="3">
        <v>-0.65256357334082327</v>
      </c>
      <c r="E40">
        <v>5.0019404972992421</v>
      </c>
      <c r="F40">
        <v>5.2238619014278536</v>
      </c>
      <c r="G40">
        <f>-373.4003999204*(-PI()/180)</f>
        <v>6.5170664068745525</v>
      </c>
      <c r="H40">
        <f>-373.400399948246*(-PI()/180)</f>
        <v>6.5170664073605566</v>
      </c>
    </row>
    <row r="41" spans="1:8" x14ac:dyDescent="0.3">
      <c r="A41" s="1">
        <v>38</v>
      </c>
      <c r="B41" s="2">
        <v>0.47999999999999993</v>
      </c>
      <c r="C41">
        <f>(2.80200170818025*(-PI()/180))*-1</f>
        <v>4.8904155454250697E-2</v>
      </c>
      <c r="D41" s="3">
        <v>-0.6898858396825357</v>
      </c>
      <c r="E41">
        <v>5.0021059934283505</v>
      </c>
      <c r="F41">
        <v>5.2367385792012966</v>
      </c>
      <c r="G41">
        <f>-384.000000000001*(-PI()/180)</f>
        <v>6.7020643276582437</v>
      </c>
      <c r="H41">
        <f>-384.000000000001*(-PI()/180)</f>
        <v>6.7020643276582437</v>
      </c>
    </row>
    <row r="42" spans="1:8" x14ac:dyDescent="0.3">
      <c r="A42" s="1">
        <v>39</v>
      </c>
      <c r="B42" s="2">
        <v>0.48510000000000503</v>
      </c>
      <c r="C42">
        <f>(2.75848965441223*(-PI()/180))*-1</f>
        <v>4.8144726851693943E-2</v>
      </c>
      <c r="D42" s="3">
        <v>-0.70403539909107793</v>
      </c>
      <c r="E42">
        <v>5.0021711764363177</v>
      </c>
      <c r="F42">
        <v>5.2417928469578881</v>
      </c>
      <c r="G42">
        <f>-388.079999868676*(-PI()/180)</f>
        <v>6.7732737588475578</v>
      </c>
      <c r="H42">
        <f>-388.079999891182*(-PI()/180)</f>
        <v>6.7732737592403618</v>
      </c>
    </row>
    <row r="43" spans="1:8" x14ac:dyDescent="0.3">
      <c r="A43" s="1">
        <v>40</v>
      </c>
      <c r="B43" s="2">
        <v>0.50487999999999766</v>
      </c>
      <c r="C43">
        <f>(3.03512358156415*(-PI()/180))*-1</f>
        <v>5.2972899703217086E-2</v>
      </c>
      <c r="D43" s="3">
        <v>-0.76041910124722112</v>
      </c>
      <c r="E43">
        <v>5.0024388944034603</v>
      </c>
      <c r="F43">
        <v>5.2619419351574415</v>
      </c>
      <c r="G43">
        <f>-396.094163692043*(-PI()/180)</f>
        <v>6.91314730435953</v>
      </c>
      <c r="H43">
        <f>-399.999081781209*(-PI()/180)</f>
        <v>6.9813009820361609</v>
      </c>
    </row>
    <row r="44" spans="1:8" x14ac:dyDescent="0.3">
      <c r="A44" s="1">
        <v>41</v>
      </c>
      <c r="B44" s="2">
        <v>0.51999999999999991</v>
      </c>
      <c r="C44">
        <f>(2.97751554903735*(-PI()/180))*-1</f>
        <v>5.1967449860028436E-2</v>
      </c>
      <c r="D44" s="3">
        <v>-0.80648563433790166</v>
      </c>
      <c r="E44">
        <v>5.0026651854160535</v>
      </c>
      <c r="F44">
        <v>5.277902961314453</v>
      </c>
      <c r="G44">
        <f>-384.000000000001*(-PI()/180)</f>
        <v>6.7020643276582437</v>
      </c>
      <c r="H44">
        <f>-400.000000000001*(-PI()/180)</f>
        <v>6.9813170079773359</v>
      </c>
    </row>
    <row r="45" spans="1:8" x14ac:dyDescent="0.3">
      <c r="A45" s="1">
        <v>42</v>
      </c>
      <c r="B45" s="2">
        <v>0.52706999999996773</v>
      </c>
      <c r="C45">
        <f>(2.88526620731669*(-PI()/180))*-1</f>
        <v>5.0357395114205547E-2</v>
      </c>
      <c r="D45" s="3">
        <v>-0.82709826487498062</v>
      </c>
      <c r="E45">
        <v>5.0027735891181502</v>
      </c>
      <c r="F45">
        <v>5.2855637233138095</v>
      </c>
      <c r="G45">
        <f>-378.343999919751*(-PI()/180)</f>
        <v>6.603348503764817</v>
      </c>
      <c r="H45">
        <f>-400.000000027491*(-PI()/180)</f>
        <v>6.9813170084571272</v>
      </c>
    </row>
    <row r="46" spans="1:8" x14ac:dyDescent="0.3">
      <c r="A46" s="1">
        <v>43</v>
      </c>
      <c r="B46" s="2">
        <v>0.54341999999989332</v>
      </c>
      <c r="C46">
        <f>(3.12621650980704*(-PI()/180))*-1</f>
        <v>5.4562771226338451E-2</v>
      </c>
      <c r="D46" s="3">
        <v>-0.87561154801852958</v>
      </c>
      <c r="E46">
        <v>5.0030374026774602</v>
      </c>
      <c r="F46">
        <v>5.3037481971077023</v>
      </c>
      <c r="G46">
        <f>-365.264000076482*(-PI()/180)</f>
        <v>6.3750594403394301</v>
      </c>
      <c r="H46">
        <f>-400.000000037514*(-PI()/180)</f>
        <v>6.9813170086320611</v>
      </c>
    </row>
    <row r="47" spans="1:8" x14ac:dyDescent="0.3">
      <c r="A47" s="1">
        <v>44</v>
      </c>
      <c r="B47" s="2">
        <v>0.55993999999981814</v>
      </c>
      <c r="C47">
        <f>(3.06063770284966*(-PI()/180))*-1</f>
        <v>5.34182051254024E-2</v>
      </c>
      <c r="D47" s="3">
        <v>-0.92756348083706697</v>
      </c>
      <c r="E47">
        <v>5.0033293762526263</v>
      </c>
      <c r="F47">
        <v>5.3227232325838889</v>
      </c>
      <c r="G47">
        <f>-352.047999850762*(-PI()/180)</f>
        <v>6.1443967224563023</v>
      </c>
      <c r="H47">
        <f>-400.000000130725*(-PI()/180)</f>
        <v>6.9813170102589002</v>
      </c>
    </row>
    <row r="48" spans="1:8" x14ac:dyDescent="0.3">
      <c r="A48" s="1">
        <v>45</v>
      </c>
      <c r="B48" s="2">
        <v>0.55999999999999994</v>
      </c>
      <c r="C48">
        <f>(3.05904056671206*(-PI()/180))*-1</f>
        <v>5.3390329841198694E-2</v>
      </c>
      <c r="D48" s="3">
        <v>-0.92774707055874317</v>
      </c>
      <c r="E48">
        <v>5.0033304590724068</v>
      </c>
      <c r="F48">
        <v>5.3227933587121612</v>
      </c>
      <c r="G48">
        <f>-352.000000000001*(-PI()/180)</f>
        <v>6.1435589670200574</v>
      </c>
      <c r="H48">
        <f>-400.000000000001*(-PI()/180)</f>
        <v>6.9813170079773359</v>
      </c>
    </row>
    <row r="49" spans="1:8" x14ac:dyDescent="0.3">
      <c r="A49" s="1">
        <v>46</v>
      </c>
      <c r="B49" s="2">
        <v>0.57657999999992449</v>
      </c>
      <c r="C49">
        <f>(3.15551273703605*(-PI()/180))*-1</f>
        <v>5.5074086849897085E-2</v>
      </c>
      <c r="D49" s="3">
        <v>-0.9784287852911101</v>
      </c>
      <c r="E49">
        <v>5.0036389220329918</v>
      </c>
      <c r="F49">
        <v>5.3425218665922429</v>
      </c>
      <c r="G49">
        <f>-338.736000067712*(-PI()/180)</f>
        <v>5.9120584962173091</v>
      </c>
      <c r="H49">
        <f>-400.000000004206*(-PI()/180)</f>
        <v>6.981317008050727</v>
      </c>
    </row>
    <row r="50" spans="1:8" x14ac:dyDescent="0.3">
      <c r="A50" s="1">
        <v>47</v>
      </c>
      <c r="B50" s="2">
        <v>0.59352999999984735</v>
      </c>
      <c r="C50">
        <f>(3.31290278635766*(-PI()/180))*-1</f>
        <v>5.782106142043545E-2</v>
      </c>
      <c r="D50" s="3">
        <v>-1.0339856855379517</v>
      </c>
      <c r="E50">
        <v>5.0039855683477965</v>
      </c>
      <c r="F50">
        <v>5.3633360759135957</v>
      </c>
      <c r="G50">
        <f>-325.17599982239*(-PI()/180)</f>
        <v>5.6753918453652021</v>
      </c>
      <c r="H50">
        <f>-399.999999949609*(-PI()/180)</f>
        <v>6.9813170070978288</v>
      </c>
    </row>
    <row r="51" spans="1:8" x14ac:dyDescent="0.3">
      <c r="A51" s="1">
        <v>48</v>
      </c>
      <c r="B51" s="2">
        <v>0.6</v>
      </c>
      <c r="C51">
        <f>(3.26091373306692*(-PI()/180))*-1</f>
        <v>5.6913681265517241E-2</v>
      </c>
      <c r="D51" s="3">
        <v>-1.055239316112955</v>
      </c>
      <c r="E51">
        <v>5.004124558500596</v>
      </c>
      <c r="F51">
        <v>5.3714577223931483</v>
      </c>
      <c r="G51">
        <f>-320.000000000001*(-PI()/180)</f>
        <v>5.5850536063818721</v>
      </c>
      <c r="H51">
        <f>-400.000000000001*(-PI()/180)</f>
        <v>6.9813170079773359</v>
      </c>
    </row>
    <row r="52" spans="1:8" x14ac:dyDescent="0.3">
      <c r="A52" s="1">
        <v>49</v>
      </c>
      <c r="B52" s="2">
        <v>0.62060999999990618</v>
      </c>
      <c r="C52">
        <f>(3.67568453536379*(-PI()/180))*-1</f>
        <v>6.4152797406736087E-2</v>
      </c>
      <c r="D52" s="3">
        <v>-1.1244562201720021</v>
      </c>
      <c r="E52">
        <v>5.0045984042788465</v>
      </c>
      <c r="F52">
        <v>5.3980218424719126</v>
      </c>
      <c r="G52">
        <f>-303.51200000312*(-PI()/180)</f>
        <v>5.297283719367484</v>
      </c>
      <c r="H52">
        <f>-399.999999997779*(-PI()/180)</f>
        <v>6.9813170079385545</v>
      </c>
    </row>
    <row r="53" spans="1:8" x14ac:dyDescent="0.3">
      <c r="A53" s="1">
        <v>50</v>
      </c>
      <c r="B53" s="2">
        <v>0.64</v>
      </c>
      <c r="C53">
        <f>(-8.59365024547562*(-PI()/180))*-1</f>
        <v>-0.14998749154836852</v>
      </c>
      <c r="D53" s="3">
        <v>-1.1043243716708415</v>
      </c>
      <c r="E53">
        <v>5.0050922166458065</v>
      </c>
      <c r="F53">
        <v>5.4235415665500177</v>
      </c>
      <c r="G53">
        <f>-288.000000000001*(-PI()/180)</f>
        <v>5.0265482457436867</v>
      </c>
      <c r="H53">
        <f>-400.000000000001*(-PI()/180)</f>
        <v>6.9813170079773359</v>
      </c>
    </row>
    <row r="54" spans="1:8" x14ac:dyDescent="0.3">
      <c r="A54" s="1">
        <v>51</v>
      </c>
      <c r="B54" s="2">
        <v>0.642419999999989</v>
      </c>
      <c r="C54">
        <f>(-11.2874223451285*(-PI()/180))*-1</f>
        <v>-0.19700268398567206</v>
      </c>
      <c r="D54" s="3">
        <v>-1.0803079502845334</v>
      </c>
      <c r="E54">
        <v>5.0051521067172713</v>
      </c>
      <c r="F54">
        <v>5.4267170831664799</v>
      </c>
      <c r="G54">
        <f>-286.064000062255*(-PI()/180)</f>
        <v>4.9927586725116138</v>
      </c>
      <c r="H54">
        <f>-400.000000110895*(-PI()/180)</f>
        <v>6.981317009912801</v>
      </c>
    </row>
    <row r="55" spans="1:8" x14ac:dyDescent="0.3">
      <c r="A55" s="1">
        <v>52</v>
      </c>
      <c r="B55" s="2">
        <v>0.66660999999987891</v>
      </c>
      <c r="C55">
        <f>(-31.161749191783*(-PI()/180))*-1</f>
        <v>-0.54387512407729521</v>
      </c>
      <c r="D55" s="3">
        <v>-0.52189472408387205</v>
      </c>
      <c r="E55">
        <v>5.0056677782264059</v>
      </c>
      <c r="F55">
        <v>5.4582847756764465</v>
      </c>
      <c r="G55">
        <f>-266.711999751837*(-PI()/180)</f>
        <v>4.6550025502478549</v>
      </c>
      <c r="H55">
        <f>-399.999999802993*(-PI()/180)</f>
        <v>6.981317004538897</v>
      </c>
    </row>
    <row r="56" spans="1:8" x14ac:dyDescent="0.3">
      <c r="A56" s="1">
        <v>53</v>
      </c>
      <c r="B56" s="2">
        <v>0.68</v>
      </c>
      <c r="C56">
        <f>(-37.7385616724336*(-PI()/180))*-1</f>
        <v>-0.65866215615090407</v>
      </c>
      <c r="D56" s="3">
        <v>-6.5887012705025672E-2</v>
      </c>
      <c r="E56">
        <v>5.0058066350626316</v>
      </c>
      <c r="F56">
        <v>5.4758045916315954</v>
      </c>
      <c r="G56">
        <f>-256.000000000001*(-PI()/180)</f>
        <v>4.4680428851055014</v>
      </c>
      <c r="H56">
        <f>-400.000000000001*(-PI()/180)</f>
        <v>6.9813170079773359</v>
      </c>
    </row>
    <row r="57" spans="1:8" x14ac:dyDescent="0.3">
      <c r="A57" s="1">
        <v>54</v>
      </c>
      <c r="B57" s="2">
        <v>0.69767999999991959</v>
      </c>
      <c r="C57">
        <f>(-55.1439524916294*(-PI()/180))*-1</f>
        <v>-0.96244353354226386</v>
      </c>
      <c r="D57" s="3">
        <v>0.7466419481707447</v>
      </c>
      <c r="E57">
        <v>5.0056370636629621</v>
      </c>
      <c r="F57">
        <v>5.4989745437826736</v>
      </c>
      <c r="G57">
        <f>-241.85600019994*(-PI()/180)</f>
        <v>4.2211835191930174</v>
      </c>
      <c r="H57">
        <f>-400.000000242778*(-PI()/180)</f>
        <v>6.9813170122145936</v>
      </c>
    </row>
    <row r="58" spans="1:8" x14ac:dyDescent="0.3">
      <c r="A58" s="1">
        <v>55</v>
      </c>
      <c r="B58" s="2">
        <v>0.72000000000000008</v>
      </c>
      <c r="C58">
        <f>(-70.5447385879415*(-PI()/180))*-1</f>
        <v>-1.2312379583182744</v>
      </c>
      <c r="D58" s="3">
        <v>2.1748929341237231</v>
      </c>
      <c r="E58">
        <v>5.0049438537141375</v>
      </c>
      <c r="F58">
        <v>5.528142510621378</v>
      </c>
      <c r="G58">
        <f>-224*(-PI()/180)</f>
        <v>3.9095375244672983</v>
      </c>
      <c r="H58">
        <f>-399.999999999311*(-PI()/180)</f>
        <v>6.9813170079652931</v>
      </c>
    </row>
    <row r="59" spans="1:8" x14ac:dyDescent="0.3">
      <c r="A59" s="1">
        <v>56</v>
      </c>
      <c r="B59" s="2">
        <v>0.7229199999999868</v>
      </c>
      <c r="C59">
        <f>(-72.0690587909286*(-PI()/180))*-1</f>
        <v>-1.2578423647150676</v>
      </c>
      <c r="D59" s="3">
        <v>2.3830721452511465</v>
      </c>
      <c r="E59">
        <v>5.0048132895865747</v>
      </c>
      <c r="F59">
        <v>5.531962645932575</v>
      </c>
      <c r="G59">
        <f>-221.663999954926*(-PI()/180)</f>
        <v>3.8687666323540211</v>
      </c>
      <c r="H59">
        <f>-400.000000161647*(-PI()/180)</f>
        <v>6.9813170107985902</v>
      </c>
    </row>
    <row r="60" spans="1:8" x14ac:dyDescent="0.3">
      <c r="A60" s="1">
        <v>57</v>
      </c>
      <c r="B60" s="2">
        <v>0.74231999999989851</v>
      </c>
      <c r="C60">
        <f>(-89.1667168050273*(-PI()/180))*-1</f>
        <v>-1.5562527914410853</v>
      </c>
      <c r="D60" s="3">
        <v>3.9299186629174914</v>
      </c>
      <c r="E60">
        <v>5.0034744159412776</v>
      </c>
      <c r="F60">
        <v>5.5574132873142128</v>
      </c>
      <c r="G60">
        <f>-206.144000310557*(-PI()/180)</f>
        <v>3.597891538651433</v>
      </c>
      <c r="H60">
        <f>-400.000000072557*(-PI()/180)</f>
        <v>6.9813170092436767</v>
      </c>
    </row>
    <row r="61" spans="1:8" x14ac:dyDescent="0.3">
      <c r="A61" s="1">
        <v>58</v>
      </c>
      <c r="B61" s="2">
        <v>0.7556799999998377</v>
      </c>
      <c r="C61">
        <f>(-96.829785696328*(-PI()/180))*-1</f>
        <v>-1.6899985744014339</v>
      </c>
      <c r="D61" s="3">
        <v>5.1845739747400623</v>
      </c>
      <c r="E61">
        <v>5.0020327260551207</v>
      </c>
      <c r="F61">
        <v>5.5748949439349005</v>
      </c>
      <c r="G61">
        <f>-195.456000066073*(-PI()/180)</f>
        <v>3.4113507439312278</v>
      </c>
      <c r="H61">
        <f>-400.000000030833*(-PI()/180)</f>
        <v>6.9813170085154557</v>
      </c>
    </row>
    <row r="62" spans="1:8" x14ac:dyDescent="0.3">
      <c r="A62" s="1">
        <v>59</v>
      </c>
      <c r="B62" s="2">
        <v>0.76000000000000012</v>
      </c>
      <c r="C62">
        <f>(-98.46343165848*(-PI()/180))*-1</f>
        <v>-1.7185110752528969</v>
      </c>
      <c r="D62" s="3">
        <v>5.6064318938916138</v>
      </c>
      <c r="E62">
        <v>5.0015010045156751</v>
      </c>
      <c r="F62">
        <v>5.5805060227546983</v>
      </c>
      <c r="G62">
        <f>-192*(-PI()/180)</f>
        <v>3.351032163829113</v>
      </c>
      <c r="H62">
        <f>-399.999999999001*(-PI()/180)</f>
        <v>6.9813170079598823</v>
      </c>
    </row>
    <row r="63" spans="1:8" x14ac:dyDescent="0.3">
      <c r="A63" s="1">
        <v>60</v>
      </c>
      <c r="B63" s="2">
        <v>0.77653999999992485</v>
      </c>
      <c r="C63">
        <f>(-104.72368453763*(-PI()/180))*-1</f>
        <v>-1.8277731000015192</v>
      </c>
      <c r="D63" s="3">
        <v>7.2868612184688963</v>
      </c>
      <c r="E63">
        <v>4.999180913025099</v>
      </c>
      <c r="F63">
        <v>5.6017056882593756</v>
      </c>
      <c r="G63">
        <f>-178.767999947639*(-PI()/180)</f>
        <v>3.120090196291351</v>
      </c>
      <c r="H63">
        <f>-399.999999791842*(-PI()/180)</f>
        <v>6.9813170043442758</v>
      </c>
    </row>
    <row r="64" spans="1:8" x14ac:dyDescent="0.3">
      <c r="A64" s="1">
        <v>61</v>
      </c>
      <c r="B64" s="2">
        <v>0.78654999999987929</v>
      </c>
      <c r="C64">
        <f>(-108.524401058394*(-PI()/180))*-1</f>
        <v>-1.8941081172237944</v>
      </c>
      <c r="D64" s="3">
        <v>8.3541693968379143</v>
      </c>
      <c r="E64">
        <v>4.9974978336532265</v>
      </c>
      <c r="F64">
        <v>5.6142370717334478</v>
      </c>
      <c r="G64">
        <f>-170.759999724437*(-PI()/180)</f>
        <v>2.9803242258960352</v>
      </c>
      <c r="H64">
        <f>-400.00000000502*(-PI()/180)</f>
        <v>6.9813170080649343</v>
      </c>
    </row>
    <row r="65" spans="1:8" x14ac:dyDescent="0.3">
      <c r="A65" s="1">
        <v>62</v>
      </c>
      <c r="B65" s="2">
        <v>0.79856999999982459</v>
      </c>
      <c r="C65">
        <f>(-113.06230669298*(-PI()/180))*-1</f>
        <v>-1.9733095116921227</v>
      </c>
      <c r="D65" s="3">
        <v>9.685950715367996</v>
      </c>
      <c r="E65">
        <v>4.9951425932523392</v>
      </c>
      <c r="F65">
        <v>5.6289405037214015</v>
      </c>
      <c r="G65">
        <f>-161.143999798517*(-PI()/180)</f>
        <v>2.8124933663172005</v>
      </c>
      <c r="H65">
        <f>-400.000000199403*(-PI()/180)</f>
        <v>6.9813170114575573</v>
      </c>
    </row>
    <row r="66" spans="1:8" x14ac:dyDescent="0.3">
      <c r="A66" s="1">
        <v>63</v>
      </c>
      <c r="B66" s="2">
        <v>0.80000000000000016</v>
      </c>
      <c r="C66">
        <f>(-113.60983848972*(-PI()/180))*-1</f>
        <v>-1.9828657443045961</v>
      </c>
      <c r="D66" s="3">
        <v>9.8480255621854713</v>
      </c>
      <c r="E66">
        <v>4.9948392852959502</v>
      </c>
      <c r="F66">
        <v>5.6306656591647206</v>
      </c>
      <c r="G66">
        <f>-160*(-PI()/180)</f>
        <v>2.7925268031909272</v>
      </c>
      <c r="H66">
        <f>-399.99999999869*(-PI()/180)</f>
        <v>6.9813170079544538</v>
      </c>
    </row>
    <row r="67" spans="1:8" x14ac:dyDescent="0.3">
      <c r="A67" s="1">
        <v>64</v>
      </c>
      <c r="B67" s="2">
        <v>0.81116999999994932</v>
      </c>
      <c r="C67">
        <f>(-117.843470968381*(-PI()/180))*-1</f>
        <v>-2.0567565703765989</v>
      </c>
      <c r="D67" s="3">
        <v>11.140736281047712</v>
      </c>
      <c r="E67">
        <v>4.9923270637901549</v>
      </c>
      <c r="F67">
        <v>5.6439725463382731</v>
      </c>
      <c r="G67">
        <f>-151.063999919384*(-PI()/180)</f>
        <v>2.6365641798256996</v>
      </c>
      <c r="H67">
        <f>-400.000000051522*(-PI()/180)</f>
        <v>6.9813170088765473</v>
      </c>
    </row>
    <row r="68" spans="1:8" x14ac:dyDescent="0.3">
      <c r="A68" s="1">
        <v>65</v>
      </c>
      <c r="B68" s="2">
        <v>0.82482999999988715</v>
      </c>
      <c r="C68">
        <f>(-123.033504861305*(-PI()/180))*-1</f>
        <v>-2.1473397500982219</v>
      </c>
      <c r="D68" s="3">
        <v>12.785847800355088</v>
      </c>
      <c r="E68">
        <v>4.9889655576335068</v>
      </c>
      <c r="F68">
        <v>5.6598637994085186</v>
      </c>
      <c r="G68">
        <f>-140.135999965042*(-PI()/180)</f>
        <v>2.4458345999646416</v>
      </c>
      <c r="H68">
        <f>-399.999999825498*(-PI()/180)</f>
        <v>6.9813170049316833</v>
      </c>
    </row>
    <row r="69" spans="1:8" x14ac:dyDescent="0.3">
      <c r="A69" s="1">
        <v>66</v>
      </c>
      <c r="B69" s="2">
        <v>0.84000000000000019</v>
      </c>
      <c r="C69">
        <f>(-128.763473880097*(-PI()/180))*-1</f>
        <v>-2.247346575513411</v>
      </c>
      <c r="D69" s="3">
        <v>14.695574936386194</v>
      </c>
      <c r="E69">
        <v>4.9848137649309985</v>
      </c>
      <c r="F69">
        <v>5.6771202127721443</v>
      </c>
      <c r="G69">
        <f>-128*(-PI()/180)</f>
        <v>2.2340214425527418</v>
      </c>
      <c r="H69">
        <f>-399.99999999838*(-PI()/180)</f>
        <v>6.9813170079490439</v>
      </c>
    </row>
    <row r="70" spans="1:8" x14ac:dyDescent="0.3">
      <c r="A70" s="1">
        <v>67</v>
      </c>
      <c r="B70" s="2">
        <v>0.84289999999998699</v>
      </c>
      <c r="C70">
        <f>(-129.819768998775*(-PI()/180))*-1</f>
        <v>-2.2657824032070861</v>
      </c>
      <c r="D70" s="3">
        <v>15.070568983227204</v>
      </c>
      <c r="E70">
        <v>4.9839610571402631</v>
      </c>
      <c r="F70">
        <v>5.6803642484023147</v>
      </c>
      <c r="G70">
        <f>-125.680000158818*(-PI()/180)</f>
        <v>2.1935298066783706</v>
      </c>
      <c r="H70">
        <f>-399.999999783552*(-PI()/180)</f>
        <v>6.981317004199588</v>
      </c>
    </row>
    <row r="71" spans="1:8" x14ac:dyDescent="0.3">
      <c r="A71" s="1">
        <v>68</v>
      </c>
      <c r="B71" s="2">
        <v>0.857179999999922</v>
      </c>
      <c r="C71">
        <f>(-135.259241649973*(-PI()/180))*-1</f>
        <v>-2.3607191105426764</v>
      </c>
      <c r="D71" s="3">
        <v>16.963549126403279</v>
      </c>
      <c r="E71">
        <v>4.9794584299346081</v>
      </c>
      <c r="F71">
        <v>5.6960338605009264</v>
      </c>
      <c r="G71">
        <f>-114.25600001741*(-PI()/180)</f>
        <v>1.994143390462503</v>
      </c>
      <c r="H71">
        <f>-400.000000043341*(-PI()/180)</f>
        <v>6.981317008733761</v>
      </c>
    </row>
    <row r="72" spans="1:8" x14ac:dyDescent="0.3">
      <c r="A72" s="1">
        <v>69</v>
      </c>
      <c r="B72" s="2">
        <v>0.8719899999998546</v>
      </c>
      <c r="C72">
        <f>(-140.876909825121*(-PI()/180))*-1</f>
        <v>-2.4587659164835105</v>
      </c>
      <c r="D72" s="3">
        <v>19.008432398531401</v>
      </c>
      <c r="E72">
        <v>4.9743057584424673</v>
      </c>
      <c r="F72">
        <v>5.7117332443718389</v>
      </c>
      <c r="G72">
        <f>-102.408000049851*(-PI()/180)</f>
        <v>1.7873567812524171</v>
      </c>
      <c r="H72">
        <f>-399.999999966395*(-PI()/180)</f>
        <v>6.9813170073908006</v>
      </c>
    </row>
    <row r="73" spans="1:8" x14ac:dyDescent="0.3">
      <c r="A73" s="1">
        <v>70</v>
      </c>
      <c r="B73" s="2">
        <v>0.88000000000000023</v>
      </c>
      <c r="C73">
        <f>(-143.918653064869*(-PI()/180))*-1</f>
        <v>-2.5118543510173925</v>
      </c>
      <c r="D73" s="3">
        <v>20.149056349641711</v>
      </c>
      <c r="E73">
        <v>4.9713700649099701</v>
      </c>
      <c r="F73">
        <v>5.7199741792318513</v>
      </c>
      <c r="G73">
        <f>-96*(-PI()/180)</f>
        <v>1.6755160819145565</v>
      </c>
      <c r="H73">
        <f>-399.999999998069*(-PI()/180)</f>
        <v>6.9813170079436153</v>
      </c>
    </row>
    <row r="74" spans="1:8" x14ac:dyDescent="0.3">
      <c r="A74" s="1">
        <v>71</v>
      </c>
      <c r="B74" s="2">
        <v>0.88198999999999117</v>
      </c>
      <c r="C74">
        <f>(-144.662685993233*(-PI()/180))*-1</f>
        <v>-2.5248401753605991</v>
      </c>
      <c r="D74" s="3">
        <v>20.43619073702741</v>
      </c>
      <c r="E74">
        <v>4.9706265363377815</v>
      </c>
      <c r="F74">
        <v>5.721994566672131</v>
      </c>
      <c r="G74">
        <f>-94.4079998199279*(-PI()/180)</f>
        <v>1.6477304370799555</v>
      </c>
      <c r="H74">
        <f>-400.000000013712*(-PI()/180)</f>
        <v>6.9813170082166378</v>
      </c>
    </row>
    <row r="75" spans="1:8" x14ac:dyDescent="0.3">
      <c r="A75" s="1">
        <v>72</v>
      </c>
      <c r="B75" s="2">
        <v>0.90046999999990707</v>
      </c>
      <c r="C75">
        <f>(-151.665149542253*(-PI()/180))*-1</f>
        <v>-2.6470562200418857</v>
      </c>
      <c r="D75" s="3">
        <v>23.174360762499333</v>
      </c>
      <c r="E75">
        <v>4.9634007536859706</v>
      </c>
      <c r="F75">
        <v>5.7402517510068334</v>
      </c>
      <c r="G75">
        <f>-79.62400004433*(-PI()/180)</f>
        <v>1.3897009643816696</v>
      </c>
      <c r="H75">
        <f>-399.999999748843*(-PI()/180)</f>
        <v>6.9813170035938015</v>
      </c>
    </row>
    <row r="76" spans="1:8" x14ac:dyDescent="0.3">
      <c r="A76" s="1">
        <v>73</v>
      </c>
      <c r="B76" s="2">
        <v>0.9194699999998206</v>
      </c>
      <c r="C76">
        <f>(-158.830233214814*(-PI()/180))*-1</f>
        <v>-2.7721105213089623</v>
      </c>
      <c r="D76" s="3">
        <v>26.124316716022964</v>
      </c>
      <c r="E76">
        <v>4.9551794260090958</v>
      </c>
      <c r="F76">
        <v>5.7581261546757467</v>
      </c>
      <c r="G76">
        <f>-64.4240000193884*(-PI()/180)</f>
        <v>1.1244109176432182</v>
      </c>
      <c r="H76">
        <f>-400.000000041227*(-PI()/180)</f>
        <v>6.9813170086968652</v>
      </c>
    </row>
    <row r="77" spans="1:8" x14ac:dyDescent="0.3">
      <c r="A77" s="1">
        <v>74</v>
      </c>
      <c r="B77" s="2">
        <v>0.92000000000000026</v>
      </c>
      <c r="C77">
        <f>(-159.034274816297*(-PI()/180))*-1</f>
        <v>-2.7756717190658828</v>
      </c>
      <c r="D77" s="3">
        <v>26.208549177983059</v>
      </c>
      <c r="E77">
        <v>4.9549394195904304</v>
      </c>
      <c r="F77">
        <v>5.7586102890299955</v>
      </c>
      <c r="G77">
        <f>-63.9999999999999*(-PI()/180)</f>
        <v>1.1170107212763691</v>
      </c>
      <c r="H77">
        <f>-400.000000000001*(-PI()/180)</f>
        <v>6.9813170079773359</v>
      </c>
    </row>
    <row r="78" spans="1:8" x14ac:dyDescent="0.3">
      <c r="A78" s="1">
        <v>75</v>
      </c>
      <c r="B78" s="2">
        <v>0.93572999999992867</v>
      </c>
      <c r="C78">
        <f>(-165.020606454439*(-PI()/180))*-1</f>
        <v>-2.8801529162677664</v>
      </c>
      <c r="D78" s="3">
        <v>28.757430849429557</v>
      </c>
      <c r="E78">
        <v>4.9476268393801188</v>
      </c>
      <c r="F78">
        <v>5.772609225774878</v>
      </c>
      <c r="G78">
        <f>-51.4159999974305*(-PI()/180)</f>
        <v>0.89737848816055821</v>
      </c>
      <c r="H78">
        <f>-400.000000077396*(-PI()/180)</f>
        <v>6.9813170093281336</v>
      </c>
    </row>
    <row r="79" spans="1:8" x14ac:dyDescent="0.3">
      <c r="A79" s="1">
        <v>76</v>
      </c>
      <c r="B79" s="2">
        <v>0.95253999999985217</v>
      </c>
      <c r="C79">
        <f>(-171.392781647953*(-PI()/180))*-1</f>
        <v>-2.9913683539084928</v>
      </c>
      <c r="D79" s="3">
        <v>31.584961210060744</v>
      </c>
      <c r="E79">
        <v>4.9394318777754282</v>
      </c>
      <c r="F79">
        <v>5.786779802009705</v>
      </c>
      <c r="G79">
        <f>-37.9680001005983*(-PI()/180)</f>
        <v>0.66266661215297862</v>
      </c>
      <c r="H79">
        <f>-400.000000035225*(-PI()/180)</f>
        <v>6.9813170085921108</v>
      </c>
    </row>
    <row r="80" spans="1:8" x14ac:dyDescent="0.3">
      <c r="A80" s="1">
        <v>77</v>
      </c>
      <c r="B80" s="2">
        <v>0.9600000000000003</v>
      </c>
      <c r="C80">
        <f>(-174.177775761407*(-PI()/180))*-1</f>
        <v>-3.0399756708369252</v>
      </c>
      <c r="D80" s="3">
        <v>32.874024569233235</v>
      </c>
      <c r="E80">
        <v>4.9356728888891297</v>
      </c>
      <c r="F80">
        <v>5.7927838283774369</v>
      </c>
      <c r="G80">
        <f>-31.9999999999998*(-PI()/180)</f>
        <v>0.55850536063818201</v>
      </c>
      <c r="H80">
        <f>-400.000000000001*(-PI()/180)</f>
        <v>6.9813170079773359</v>
      </c>
    </row>
    <row r="81" spans="1:8" x14ac:dyDescent="0.3">
      <c r="A81" s="1">
        <v>78</v>
      </c>
      <c r="B81" s="2">
        <v>0.97454999999993408</v>
      </c>
      <c r="C81">
        <f>(-179.725121221528*(-PI()/180))*-1</f>
        <v>-3.1367951138615968</v>
      </c>
      <c r="D81" s="3">
        <v>35.448824541045411</v>
      </c>
      <c r="E81">
        <v>4.928068538465511</v>
      </c>
      <c r="F81">
        <v>5.8039896221540399</v>
      </c>
      <c r="G81">
        <f>-20.3599999309615*(-PI()/180)</f>
        <v>0.35534903450109634</v>
      </c>
      <c r="H81">
        <f>-400.000000278399*(-PI()/180)</f>
        <v>6.9813170128362971</v>
      </c>
    </row>
    <row r="82" spans="1:8" x14ac:dyDescent="0.3">
      <c r="A82" s="1">
        <v>79</v>
      </c>
      <c r="B82" s="2">
        <v>0.99536999999983933</v>
      </c>
      <c r="C82">
        <f>(-187.607546447598*(-PI()/180))*-1</f>
        <v>-3.2743693870987767</v>
      </c>
      <c r="D82" s="3">
        <v>39.272805323149711</v>
      </c>
      <c r="E82">
        <v>4.9165816877604831</v>
      </c>
      <c r="F82">
        <v>5.8189460997738767</v>
      </c>
      <c r="G82">
        <f>-3.71232353494996*(-PI()/180)</f>
        <v>6.4792268584151588E-2</v>
      </c>
      <c r="H82">
        <f>-399.991676392943*(-PI()/180)</f>
        <v>6.9811717336285319</v>
      </c>
    </row>
    <row r="83" spans="1:8" x14ac:dyDescent="0.3">
      <c r="A83" s="1">
        <v>80</v>
      </c>
      <c r="B83" s="2">
        <v>1.0000000000000002</v>
      </c>
      <c r="C83">
        <f>(-188.752162500216*(-PI()/180))*-1</f>
        <v>-3.2943467058881413</v>
      </c>
      <c r="D83" s="3">
        <v>40.144411145917196</v>
      </c>
      <c r="E83">
        <v>4.913974884854273</v>
      </c>
      <c r="F83">
        <v>5.8220911413573315</v>
      </c>
      <c r="G83">
        <f>-0.666666666666578*(-PI()/180)</f>
        <v>1.1635528346627316E-2</v>
      </c>
      <c r="H83">
        <f>-399.333333333334*(-PI()/180)</f>
        <v>6.9696814796307009</v>
      </c>
    </row>
    <row r="84" spans="1:8" x14ac:dyDescent="0.3">
      <c r="A84" s="1">
        <v>81</v>
      </c>
      <c r="B84" s="2">
        <v>1.0154400000001014</v>
      </c>
      <c r="C84">
        <f>(-183.539396617888*(-PI()/180))*-1</f>
        <v>-3.2033667781058903</v>
      </c>
      <c r="D84" s="3">
        <v>43.022159499410421</v>
      </c>
      <c r="E84">
        <v>4.9052007464052236</v>
      </c>
      <c r="F84">
        <v>5.8320889818443709</v>
      </c>
      <c r="G84">
        <f>-1.32308273163838E-08*(-PI()/180)</f>
        <v>2.309214994337028E-10</v>
      </c>
      <c r="H84">
        <f>-387.64799970118*(-PI()/180)</f>
        <v>6.7657339335555866</v>
      </c>
    </row>
    <row r="85" spans="1:8" x14ac:dyDescent="0.3">
      <c r="A85" s="1">
        <v>82</v>
      </c>
      <c r="B85" s="2">
        <v>1.0271600000001782</v>
      </c>
      <c r="C85">
        <f>(-179.098778741439*(-PI()/180))*-1</f>
        <v>-3.1258633753389367</v>
      </c>
      <c r="D85" s="3">
        <v>45.14719549056931</v>
      </c>
      <c r="E85">
        <v>4.8983964678328462</v>
      </c>
      <c r="F85">
        <v>5.8391470191204258</v>
      </c>
      <c r="G85">
        <f>7.34320615853786E-08*(-PI()/180)</f>
        <v>-1.2816312511921036E-9</v>
      </c>
      <c r="H85">
        <f>-378.271999983371*(-PI()/180)</f>
        <v>6.6020918678137601</v>
      </c>
    </row>
    <row r="86" spans="1:8" x14ac:dyDescent="0.3">
      <c r="A86" s="1">
        <v>83</v>
      </c>
      <c r="B86" s="2">
        <v>1.0400000000000003</v>
      </c>
      <c r="C86">
        <f>(-174.231221531977*(-PI()/180))*-1</f>
        <v>-3.0409084755046378</v>
      </c>
      <c r="D86" s="3">
        <v>47.415577577795737</v>
      </c>
      <c r="E86">
        <v>4.8907818690625868</v>
      </c>
      <c r="F86">
        <v>5.8463432756191889</v>
      </c>
      <c r="G86">
        <f>3.52766659946045E-16*(-PI()/180)</f>
        <v>-6.1569397073216869E-18</v>
      </c>
      <c r="H86">
        <f>-368*(-PI()/180)</f>
        <v>6.4228116473391328</v>
      </c>
    </row>
    <row r="87" spans="1:8" x14ac:dyDescent="0.3">
      <c r="A87" s="1">
        <v>84</v>
      </c>
      <c r="B87" s="2">
        <v>1.0456800000000375</v>
      </c>
      <c r="C87">
        <f>(-172.078246410053*(-PI()/180))*-1</f>
        <v>-3.0033319709135373</v>
      </c>
      <c r="D87" s="3">
        <v>48.399098734545461</v>
      </c>
      <c r="E87">
        <v>4.8873765982558819</v>
      </c>
      <c r="F87">
        <v>5.8493705774044722</v>
      </c>
      <c r="G87">
        <f>1.65681012608445E-08*(-PI()/180)</f>
        <v>-2.8916791780556039E-10</v>
      </c>
      <c r="H87">
        <f>-363.455999979172*(-PI()/180)</f>
        <v>6.3435038857649939</v>
      </c>
    </row>
    <row r="88" spans="1:8" x14ac:dyDescent="0.3">
      <c r="A88" s="1">
        <v>85</v>
      </c>
      <c r="B88" s="2">
        <v>1.0677500000001821</v>
      </c>
      <c r="C88">
        <f>(-163.718821874075*(-PI()/180))*-1</f>
        <v>-2.8574324891887217</v>
      </c>
      <c r="D88" s="3">
        <v>52.104572340548344</v>
      </c>
      <c r="E88">
        <v>4.874142700576944</v>
      </c>
      <c r="F88">
        <v>5.860374371781897</v>
      </c>
      <c r="G88">
        <f>-9.68835047155021E-09*(-PI()/180)</f>
        <v>1.6909361481569636E-10</v>
      </c>
      <c r="H88">
        <f>-345.800000039733*(-PI()/180)</f>
        <v>6.0353485540898628</v>
      </c>
    </row>
    <row r="89" spans="1:8" x14ac:dyDescent="0.3">
      <c r="A89" s="1">
        <v>86</v>
      </c>
      <c r="B89" s="2">
        <v>1.0800000000000003</v>
      </c>
      <c r="C89">
        <f>(-159.084687317217*(-PI()/180))*-1</f>
        <v>-2.7765515831911016</v>
      </c>
      <c r="D89" s="3">
        <v>54.081718809676772</v>
      </c>
      <c r="E89">
        <v>4.8668718187893498</v>
      </c>
      <c r="F89">
        <v>5.8659002388864652</v>
      </c>
      <c r="G89">
        <f>-9.10452430131682E-10*(-PI()/180)</f>
        <v>1.5890392588581482E-11</v>
      </c>
      <c r="H89">
        <f>-336*(-PI()/180)</f>
        <v>5.8643062867009474</v>
      </c>
    </row>
    <row r="90" spans="1:8" x14ac:dyDescent="0.3">
      <c r="A90" s="1">
        <v>87</v>
      </c>
      <c r="B90" s="2">
        <v>1.0813400000000091</v>
      </c>
      <c r="C90">
        <f>(-158.57587121624*(-PI()/180))*-1</f>
        <v>-2.7676710669418929</v>
      </c>
      <c r="D90" s="3">
        <v>54.294553351500227</v>
      </c>
      <c r="E90">
        <v>4.8660780147853178</v>
      </c>
      <c r="F90">
        <v>5.8664757392394558</v>
      </c>
      <c r="G90">
        <f>-1.11089107634077E-08*(-PI()/180)</f>
        <v>1.9388706913170119E-10</v>
      </c>
      <c r="H90">
        <f>-334.928000008183*(-PI()/180)</f>
        <v>5.8455963572623881</v>
      </c>
    </row>
    <row r="91" spans="1:8" x14ac:dyDescent="0.3">
      <c r="A91" s="1">
        <v>88</v>
      </c>
      <c r="B91" s="2">
        <v>1.0913900000000749</v>
      </c>
      <c r="C91">
        <f>(-154.766039695014*(-PI()/180))*-1</f>
        <v>-2.7011769629502349</v>
      </c>
      <c r="D91" s="3">
        <v>55.869084793271973</v>
      </c>
      <c r="E91">
        <v>4.8601200256695902</v>
      </c>
      <c r="F91">
        <v>5.8706131583676155</v>
      </c>
      <c r="G91">
        <f>-6.4849912398628E-08*(-PI()/180)</f>
        <v>1.131844490985952E-9</v>
      </c>
      <c r="H91">
        <f>-326.888000083176*(-PI()/180)</f>
        <v>5.7052718867109187</v>
      </c>
    </row>
    <row r="92" spans="1:8" x14ac:dyDescent="0.3">
      <c r="A92" s="1">
        <v>89</v>
      </c>
      <c r="B92" s="2">
        <v>1.1077700000001822</v>
      </c>
      <c r="C92">
        <f>(-148.555662078039*(-PI()/180))*-1</f>
        <v>-2.5927854257418619</v>
      </c>
      <c r="D92" s="3">
        <v>58.353302781802427</v>
      </c>
      <c r="E92">
        <v>4.8504264544296873</v>
      </c>
      <c r="F92">
        <v>5.8767724432945494</v>
      </c>
      <c r="G92">
        <f>-2.71300135624107E-08*(-PI()/180)</f>
        <v>4.7350806277478284E-10</v>
      </c>
      <c r="H92">
        <f>-313.783999640886*(-PI()/180)</f>
        <v>5.4765639338101657</v>
      </c>
    </row>
    <row r="93" spans="1:8" x14ac:dyDescent="0.3">
      <c r="A93" s="1">
        <v>90</v>
      </c>
      <c r="B93" s="2">
        <v>1.1187900000002544</v>
      </c>
      <c r="C93">
        <f>(-144.386211590519*(-PI()/180))*-1</f>
        <v>-2.520014786735755</v>
      </c>
      <c r="D93" s="3">
        <v>59.967418863195917</v>
      </c>
      <c r="E93">
        <v>4.8439940421350407</v>
      </c>
      <c r="F93">
        <v>5.8806033510305857</v>
      </c>
      <c r="G93">
        <f>1.70114406187673E-08*(-PI()/180)</f>
        <v>-2.9690564930499088E-10</v>
      </c>
      <c r="H93">
        <f>-304.967999897337*(-PI()/180)</f>
        <v>5.3226957114302591</v>
      </c>
    </row>
    <row r="94" spans="1:8" x14ac:dyDescent="0.3">
      <c r="A94" s="1">
        <v>91</v>
      </c>
      <c r="B94" s="2">
        <v>1.1200000000000003</v>
      </c>
      <c r="C94">
        <f>(-143.931023608966*(-PI()/180))*-1</f>
        <v>-2.5120702577421481</v>
      </c>
      <c r="D94" s="3">
        <v>60.141853524884986</v>
      </c>
      <c r="E94">
        <v>4.8432939012605329</v>
      </c>
      <c r="F94">
        <v>5.8810103248454775</v>
      </c>
      <c r="G94">
        <f>-9.104605127504E-10*(-PI()/180)</f>
        <v>1.5890533656890294E-11</v>
      </c>
      <c r="H94">
        <f>-304*(-PI()/180)</f>
        <v>5.3058009260627621</v>
      </c>
    </row>
    <row r="95" spans="1:8" x14ac:dyDescent="0.3">
      <c r="A95" s="1">
        <v>92</v>
      </c>
      <c r="B95" s="2">
        <v>1.1404900000001346</v>
      </c>
      <c r="C95">
        <f>(-136.174817869816*(-PI()/180))*-1</f>
        <v>-2.3766989301319001</v>
      </c>
      <c r="D95" s="3">
        <v>63.011419118823895</v>
      </c>
      <c r="E95">
        <v>4.8316263169272986</v>
      </c>
      <c r="F95">
        <v>5.8874096748847178</v>
      </c>
      <c r="G95">
        <f>-1.1066890555847E-07*(-PI()/180)</f>
        <v>1.9315367815739554E-9</v>
      </c>
      <c r="H95">
        <f>-287.608000065401*(-PI()/180)</f>
        <v>5.0197065562173133</v>
      </c>
    </row>
    <row r="96" spans="1:8" x14ac:dyDescent="0.3">
      <c r="A96" s="1">
        <v>93</v>
      </c>
      <c r="B96" s="2">
        <v>1.1600000000000004</v>
      </c>
      <c r="C96">
        <f>(-128.772470051306*(-PI()/180))*-1</f>
        <v>-2.2475035883210808</v>
      </c>
      <c r="D96" s="3">
        <v>65.595964687187049</v>
      </c>
      <c r="E96">
        <v>4.8208617465121062</v>
      </c>
      <c r="F96">
        <v>5.8925131286451888</v>
      </c>
      <c r="G96">
        <f>-9.10459690492281E-10*(-PI()/180)</f>
        <v>1.5890519305778815E-11</v>
      </c>
      <c r="H96">
        <f>-272*(-PI()/180)</f>
        <v>4.7472955654245768</v>
      </c>
    </row>
    <row r="97" spans="1:8" x14ac:dyDescent="0.3">
      <c r="A97" s="1">
        <v>94</v>
      </c>
      <c r="B97" s="2">
        <v>1.1635000000000233</v>
      </c>
      <c r="C97">
        <f>(-127.454590446153*(-PI()/180))*-1</f>
        <v>-2.2245022500662786</v>
      </c>
      <c r="D97" s="3">
        <v>66.044363877582072</v>
      </c>
      <c r="E97">
        <v>4.8189669876445125</v>
      </c>
      <c r="F97">
        <v>5.8933440842117886</v>
      </c>
      <c r="G97">
        <f>-7.54210079691669E-08*(-PI()/180)</f>
        <v>1.3163449142348444E-9</v>
      </c>
      <c r="H97">
        <f>-269.200000233418*(-PI()/180)</f>
        <v>4.6984263504426478</v>
      </c>
    </row>
    <row r="98" spans="1:8" x14ac:dyDescent="0.3">
      <c r="A98" s="1">
        <v>95</v>
      </c>
      <c r="B98" s="2">
        <v>1.1840800000001581</v>
      </c>
      <c r="C98">
        <f>(-119.653184886772*(-PI()/180))*-1</f>
        <v>-2.0883420367716901</v>
      </c>
      <c r="D98" s="3">
        <v>68.587090732396902</v>
      </c>
      <c r="E98">
        <v>4.8080978993177013</v>
      </c>
      <c r="F98">
        <v>5.8978875135388344</v>
      </c>
      <c r="G98">
        <f>1.22293357738924E-07*(-PI()/180)</f>
        <v>-2.134421745863512E-9</v>
      </c>
      <c r="H98">
        <f>-252.735999953764*(-PI()/180)</f>
        <v>4.4110753375134184</v>
      </c>
    </row>
    <row r="99" spans="1:8" x14ac:dyDescent="0.3">
      <c r="A99" s="1">
        <v>96</v>
      </c>
      <c r="B99" s="2">
        <v>1.1946100000002271</v>
      </c>
      <c r="C99">
        <f>(-115.668284521772*(-PI()/180))*-1</f>
        <v>-2.018792405038516</v>
      </c>
      <c r="D99" s="3">
        <v>69.826080807878583</v>
      </c>
      <c r="E99">
        <v>4.8027399684663639</v>
      </c>
      <c r="F99">
        <v>5.8999682629141299</v>
      </c>
      <c r="G99">
        <f>1.76686532869395E-07*(-PI()/180)</f>
        <v>-3.0837617425041272E-9</v>
      </c>
      <c r="H99">
        <f>-244.311999954353*(-PI()/180)</f>
        <v>4.2640488013356963</v>
      </c>
    </row>
    <row r="100" spans="1:8" x14ac:dyDescent="0.3">
      <c r="A100" s="1">
        <v>97</v>
      </c>
      <c r="B100" s="2">
        <v>1.2000000000000004</v>
      </c>
      <c r="C100">
        <f>(-113.631934001036*(-PI()/180))*-1</f>
        <v>-1.9832513837269719</v>
      </c>
      <c r="D100" s="3">
        <v>70.444030578616477</v>
      </c>
      <c r="E100">
        <v>4.8000489722288844</v>
      </c>
      <c r="F100">
        <v>5.9009505378130775</v>
      </c>
      <c r="G100">
        <f>4.61559374770726E-15*(-PI()/180)</f>
        <v>-8.0557307831956158E-17</v>
      </c>
      <c r="H100">
        <f>-240*(-PI()/180)</f>
        <v>4.1887902047863905</v>
      </c>
    </row>
    <row r="101" spans="1:8" x14ac:dyDescent="0.3">
      <c r="A101" s="1">
        <v>98</v>
      </c>
      <c r="B101" s="2">
        <v>1.213530000000089</v>
      </c>
      <c r="C101">
        <f>(-108.506039325238*(-PI()/180))*-1</f>
        <v>-1.8937876445238495</v>
      </c>
      <c r="D101" s="3">
        <v>71.946740141888256</v>
      </c>
      <c r="E101">
        <v>4.7934560799115919</v>
      </c>
      <c r="F101">
        <v>5.9031566208782804</v>
      </c>
      <c r="G101">
        <f>-0.0000000841442623898*(-PI()/180)</f>
        <v>1.4685944253640421E-9</v>
      </c>
      <c r="H101">
        <f>-229.17600018076*(-PI()/180)</f>
        <v>3.9998757697053819</v>
      </c>
    </row>
    <row r="102" spans="1:8" x14ac:dyDescent="0.3">
      <c r="A102" s="1">
        <v>99</v>
      </c>
      <c r="B102" s="2">
        <v>1.2358500000002353</v>
      </c>
      <c r="C102">
        <f>(-100.047921168059*(-PI()/180))*-1</f>
        <v>-1.7461656341583607</v>
      </c>
      <c r="D102" s="3">
        <v>74.274168017494475</v>
      </c>
      <c r="E102">
        <v>4.7831706659896165</v>
      </c>
      <c r="F102">
        <v>5.9062153756749858</v>
      </c>
      <c r="G102">
        <f>8.64023708908374E-08*(-PI()/180)</f>
        <v>-1.5080058535744188E-9</v>
      </c>
      <c r="H102">
        <f>-211.319999992492*(-PI()/180)</f>
        <v>3.6882297751833777</v>
      </c>
    </row>
    <row r="103" spans="1:8" x14ac:dyDescent="0.3">
      <c r="A103" s="1">
        <v>100</v>
      </c>
      <c r="B103" s="2">
        <v>1.2400000000000004</v>
      </c>
      <c r="C103">
        <f>(-98.4765636100622*(-PI()/180))*-1</f>
        <v>-1.7187402710452186</v>
      </c>
      <c r="D103" s="3">
        <v>74.686097854625658</v>
      </c>
      <c r="E103">
        <v>4.7813374195845117</v>
      </c>
      <c r="F103">
        <v>5.9067351483450832</v>
      </c>
      <c r="G103">
        <f>1.83454724731882E-15*(-PI()/180)</f>
        <v>-3.2018889749112123E-17</v>
      </c>
      <c r="H103">
        <f>-208*(-PI()/180)</f>
        <v>3.6302848441482056</v>
      </c>
    </row>
    <row r="104" spans="1:8" x14ac:dyDescent="0.3">
      <c r="A104" s="1">
        <v>101</v>
      </c>
      <c r="B104" s="2">
        <v>1.2560100000001053</v>
      </c>
      <c r="C104">
        <f>(-92.415202837974*(-PI()/180))*-1</f>
        <v>-1.612949568421054</v>
      </c>
      <c r="D104" s="3">
        <v>76.214172605409374</v>
      </c>
      <c r="E104">
        <v>4.7744867415033685</v>
      </c>
      <c r="F104">
        <v>5.9085684474477969</v>
      </c>
      <c r="G104">
        <f>-7.35936801838774E-09*(-PI()/180)</f>
        <v>1.2844520278683665E-10</v>
      </c>
      <c r="H104">
        <f>-195.192000006508*(-PI()/180)</f>
        <v>3.406743073666358</v>
      </c>
    </row>
    <row r="105" spans="1:8" x14ac:dyDescent="0.3">
      <c r="A105" s="1">
        <v>102</v>
      </c>
      <c r="B105" s="2">
        <v>1.2701400000001979</v>
      </c>
      <c r="C105">
        <f>(-87.0592986507137*(-PI()/180))*-1</f>
        <v>-1.5194714059320109</v>
      </c>
      <c r="D105" s="3">
        <v>77.482164706372288</v>
      </c>
      <c r="E105">
        <v>4.7687558590953598</v>
      </c>
      <c r="F105">
        <v>5.9098884307443864</v>
      </c>
      <c r="G105">
        <f>-7.1030847421727E-08*(-PI()/180)</f>
        <v>1.2397221579908613E-9</v>
      </c>
      <c r="H105">
        <f>-183.888000047935*(-PI()/180)</f>
        <v>3.2094510557439566</v>
      </c>
    </row>
    <row r="106" spans="1:8" x14ac:dyDescent="0.3">
      <c r="A106" s="1">
        <v>103</v>
      </c>
      <c r="B106" s="2">
        <v>1.2800000000000005</v>
      </c>
      <c r="C106">
        <f>(-83.3260947206265*(-PI()/180))*-1</f>
        <v>-1.454314705703597</v>
      </c>
      <c r="D106" s="3">
        <v>78.322176662010349</v>
      </c>
      <c r="E106">
        <v>4.764948540093819</v>
      </c>
      <c r="F106">
        <v>5.9106612276729553</v>
      </c>
      <c r="G106">
        <f>2.59608162015769E-16*(-PI()/180)</f>
        <v>-4.531017192226048E-18</v>
      </c>
      <c r="H106">
        <f>-176*(-PI()/180)</f>
        <v>3.0717794835100198</v>
      </c>
    </row>
    <row r="107" spans="1:8" x14ac:dyDescent="0.3">
      <c r="A107" s="1">
        <v>104</v>
      </c>
      <c r="B107" s="2">
        <v>1.2850800000000338</v>
      </c>
      <c r="C107">
        <f>(-81.402176545247*(-PI()/180))*-1</f>
        <v>-1.4207359990042632</v>
      </c>
      <c r="D107" s="3">
        <v>78.740599406692084</v>
      </c>
      <c r="E107">
        <v>4.7630532856474037</v>
      </c>
      <c r="F107">
        <v>5.9110288503835235</v>
      </c>
      <c r="G107">
        <f>3.2633788990462E-07*(-PI()/180)</f>
        <v>-5.6956706528463825E-9</v>
      </c>
      <c r="H107">
        <f>-171.935999930136*(-PI()/180)</f>
        <v>3.0008493014896138</v>
      </c>
    </row>
    <row r="108" spans="1:8" x14ac:dyDescent="0.3">
      <c r="A108" s="1">
        <v>105</v>
      </c>
      <c r="B108" s="2">
        <v>1.3082900000001858</v>
      </c>
      <c r="C108">
        <f>(-72.6108379429261*(-PI()/180))*-1</f>
        <v>-1.2672981947360868</v>
      </c>
      <c r="D108" s="3">
        <v>80.527940371787068</v>
      </c>
      <c r="E108">
        <v>4.7549579143742475</v>
      </c>
      <c r="F108">
        <v>5.9125471883061325</v>
      </c>
      <c r="G108">
        <f>2.3154745988442E-07*(-PI()/180)</f>
        <v>-4.041265549612618E-9</v>
      </c>
      <c r="H108">
        <f>-153.367999926301*(-PI()/180)</f>
        <v>2.6767765659123732</v>
      </c>
    </row>
    <row r="109" spans="1:8" x14ac:dyDescent="0.3">
      <c r="A109" s="1">
        <v>106</v>
      </c>
      <c r="B109" s="2">
        <v>1.3186500000002537</v>
      </c>
      <c r="C109">
        <f>(-68.6874826003102*(-PI()/180))*-1</f>
        <v>-1.1988227262817293</v>
      </c>
      <c r="D109" s="3">
        <v>81.259875906350516</v>
      </c>
      <c r="E109">
        <v>4.7516050538027397</v>
      </c>
      <c r="F109">
        <v>5.9131030270004308</v>
      </c>
      <c r="G109">
        <f>1.88740782750275E-07*(-PI()/180)</f>
        <v>-3.2941480917836175E-9</v>
      </c>
      <c r="H109">
        <f>-145.080000097807*(-PI()/180)</f>
        <v>2.5321236805004275</v>
      </c>
    </row>
    <row r="110" spans="1:8" x14ac:dyDescent="0.3">
      <c r="A110" s="1">
        <v>107</v>
      </c>
      <c r="B110" s="2">
        <v>1.3200000000000005</v>
      </c>
      <c r="C110">
        <f>(-68.1779210799527*(-PI()/180))*-1</f>
        <v>-1.1899292000100228</v>
      </c>
      <c r="D110" s="3">
        <v>81.352259840744864</v>
      </c>
      <c r="E110">
        <v>4.7511797424202804</v>
      </c>
      <c r="F110">
        <v>5.9131677573613057</v>
      </c>
      <c r="G110">
        <f>7.3481162508224E-16*(-PI()/180)</f>
        <v>-1.2824882239615238E-17</v>
      </c>
      <c r="H110">
        <f>-144*(-PI()/180)</f>
        <v>2.5132741228718345</v>
      </c>
    </row>
    <row r="111" spans="1:8" x14ac:dyDescent="0.3">
      <c r="A111" s="1">
        <v>108</v>
      </c>
      <c r="B111" s="2">
        <v>1.3329700000000855</v>
      </c>
      <c r="C111">
        <f>(-63.268561741406*(-PI()/180))*-1</f>
        <v>-1.1042447153888519</v>
      </c>
      <c r="D111" s="3">
        <v>82.204667209483404</v>
      </c>
      <c r="E111">
        <v>4.7472485300258223</v>
      </c>
      <c r="F111">
        <v>5.913702246160927</v>
      </c>
      <c r="G111">
        <f>7.19183971369631E-08*(-PI()/180)</f>
        <v>-1.2552128227968695E-9</v>
      </c>
      <c r="H111">
        <f>-133.624000018736*(-PI()/180)</f>
        <v>2.3321787600119079</v>
      </c>
    </row>
    <row r="112" spans="1:8" x14ac:dyDescent="0.3">
      <c r="A112" s="1">
        <v>109</v>
      </c>
      <c r="B112" s="2">
        <v>1.3465400000001744</v>
      </c>
      <c r="C112">
        <f>(-58.1270721436255*(-PI()/180))*-1</f>
        <v>-1.0145087934505432</v>
      </c>
      <c r="D112" s="3">
        <v>83.028305019998214</v>
      </c>
      <c r="E112">
        <v>4.7434658915076984</v>
      </c>
      <c r="F112">
        <v>5.9141543420924432</v>
      </c>
      <c r="G112">
        <f>5.89310707941222E-10*(-PI()/180)</f>
        <v>-1.0285412170833017E-11</v>
      </c>
      <c r="H112">
        <f>-122.768000024697*(-PI()/180)</f>
        <v>2.1427058165194426</v>
      </c>
    </row>
    <row r="113" spans="1:8" x14ac:dyDescent="0.3">
      <c r="A113" s="1">
        <v>110</v>
      </c>
      <c r="B113" s="2">
        <v>1.3600000000000005</v>
      </c>
      <c r="C113">
        <f>(-53.0286584888313*(-PI()/180))*-1</f>
        <v>-0.92552468854574677</v>
      </c>
      <c r="D113" s="3">
        <v>83.776364790326767</v>
      </c>
      <c r="E113">
        <v>4.7400527419088485</v>
      </c>
      <c r="F113">
        <v>5.9145655905763981</v>
      </c>
      <c r="G113">
        <f>-9.10460827225254E-10*(-PI()/180)</f>
        <v>1.5890539145511911E-11</v>
      </c>
      <c r="H113">
        <f>-112.000000003678*(-PI()/180)</f>
        <v>1.9547687622978422</v>
      </c>
    </row>
    <row r="114" spans="1:8" x14ac:dyDescent="0.3">
      <c r="A114" s="1">
        <v>111</v>
      </c>
      <c r="B114" s="2">
        <v>1.3763400000001076</v>
      </c>
      <c r="C114">
        <f>(-46.8384117392686*(-PI()/180))*-1</f>
        <v>-0.81748450125500094</v>
      </c>
      <c r="D114" s="3">
        <v>84.592269990050141</v>
      </c>
      <c r="E114">
        <v>4.7363174922058882</v>
      </c>
      <c r="F114">
        <v>5.9149817801351485</v>
      </c>
      <c r="G114">
        <f>-4.08306630831286E-09*(-PI()/180)</f>
        <v>7.126295065730932E-11</v>
      </c>
      <c r="H114">
        <f>-98.9279999340935*(-PI()/180)</f>
        <v>1.726619321262665</v>
      </c>
    </row>
    <row r="115" spans="1:8" x14ac:dyDescent="0.3">
      <c r="A115" s="1">
        <v>112</v>
      </c>
      <c r="B115" s="2">
        <v>1.4000000000000006</v>
      </c>
      <c r="C115">
        <f>(-37.8769590908707*(-PI()/180))*-1</f>
        <v>-0.6610776467788918</v>
      </c>
      <c r="D115" s="3">
        <v>85.594457291917863</v>
      </c>
      <c r="E115">
        <v>4.7316523837703253</v>
      </c>
      <c r="F115">
        <v>5.9153285508828208</v>
      </c>
      <c r="G115">
        <f>6.48295994670357E-17*(-PI()/180)</f>
        <v>-1.131489963448934E-18</v>
      </c>
      <c r="H115">
        <f>-80*(-PI()/180)</f>
        <v>1.3962634015954636</v>
      </c>
    </row>
    <row r="116" spans="1:8" x14ac:dyDescent="0.3">
      <c r="A116" s="1">
        <v>113</v>
      </c>
      <c r="B116" s="2">
        <v>1.4033000000000222</v>
      </c>
      <c r="C116">
        <f>(-36.6278625911627*(-PI()/180))*-1</f>
        <v>-0.63927680018385091</v>
      </c>
      <c r="D116" s="3">
        <v>85.717390104187686</v>
      </c>
      <c r="E116">
        <v>4.7310817576979414</v>
      </c>
      <c r="F116">
        <v>5.9153669787384695</v>
      </c>
      <c r="G116">
        <f>-4.56901608825561E-08*(-PI()/180)</f>
        <v>7.9744374316652214E-10</v>
      </c>
      <c r="H116">
        <f>-77.3600001335063*(-PI()/180)</f>
        <v>1.350186711672938</v>
      </c>
    </row>
    <row r="117" spans="1:8" x14ac:dyDescent="0.3">
      <c r="A117" s="1">
        <v>114</v>
      </c>
      <c r="B117" s="2">
        <v>1.4327000000002148</v>
      </c>
      <c r="C117">
        <f>(-25.493761624326*(-PI()/180))*-1</f>
        <v>-0.44495007906306644</v>
      </c>
      <c r="D117" s="3">
        <v>86.630566004007719</v>
      </c>
      <c r="E117">
        <v>4.7269102013709894</v>
      </c>
      <c r="F117">
        <v>5.9156933074849309</v>
      </c>
      <c r="G117">
        <f>-4.12186759267924E-08*(-PI()/180)</f>
        <v>7.1940160823505264E-10</v>
      </c>
      <c r="H117">
        <f>-53.8399998010907*(-PI()/180)</f>
        <v>0.93968526580212475</v>
      </c>
    </row>
    <row r="118" spans="1:8" x14ac:dyDescent="0.3">
      <c r="A118" s="1">
        <v>115</v>
      </c>
      <c r="B118" s="2">
        <v>1.4400000000000006</v>
      </c>
      <c r="C118">
        <f>(-22.7277365993367*(-PI()/180))*-1</f>
        <v>-0.39667383518444471</v>
      </c>
      <c r="D118" s="3">
        <v>86.806574443191224</v>
      </c>
      <c r="E118">
        <v>4.7261010242061499</v>
      </c>
      <c r="F118">
        <v>5.9157348013136541</v>
      </c>
      <c r="G118">
        <f>-9.10460553287616E-10*(-PI()/180)</f>
        <v>1.5890534364398183E-11</v>
      </c>
      <c r="H118">
        <f>-47.9999999999999*(-PI()/180)</f>
        <v>0.83775804095727646</v>
      </c>
    </row>
    <row r="119" spans="1:8" x14ac:dyDescent="0.3">
      <c r="A119" s="1">
        <v>116</v>
      </c>
      <c r="B119" s="2">
        <v>1.4490400000000598</v>
      </c>
      <c r="C119">
        <f>(-19.3034457155338*(-PI()/180))*-1</f>
        <v>-0.33690868471605756</v>
      </c>
      <c r="D119" s="3">
        <v>86.996554759463933</v>
      </c>
      <c r="E119">
        <v>4.7252153107730681</v>
      </c>
      <c r="F119">
        <v>5.9157605403173958</v>
      </c>
      <c r="G119">
        <f>-4.57566100762825E-08*(-PI()/180)</f>
        <v>7.9860350038234345E-10</v>
      </c>
      <c r="H119">
        <f>-40.768000022848*(-PI()/180)</f>
        <v>0.71153582985182107</v>
      </c>
    </row>
    <row r="120" spans="1:8" x14ac:dyDescent="0.3">
      <c r="A120" s="1">
        <v>117</v>
      </c>
      <c r="B120" s="2">
        <v>1.4797100000002608</v>
      </c>
      <c r="C120">
        <f>(-7.68869051089938*(-PI()/180))*-1</f>
        <v>-0.13419296458203914</v>
      </c>
      <c r="D120" s="3">
        <v>87.410480207574892</v>
      </c>
      <c r="E120">
        <v>4.7232673848017157</v>
      </c>
      <c r="F120">
        <v>5.9158534675648378</v>
      </c>
      <c r="G120">
        <f>-1.0985519711058E-07*(-PI()/180)</f>
        <v>1.9173348900069823E-9</v>
      </c>
      <c r="H120">
        <f>-16.2319999987614*(-PI()/180)</f>
        <v>0.28330184416210191</v>
      </c>
    </row>
    <row r="121" spans="1:8" x14ac:dyDescent="0.3">
      <c r="A121" s="1">
        <v>118</v>
      </c>
      <c r="B121" s="2">
        <v>1.4800000000000006</v>
      </c>
      <c r="C121">
        <f>(-7.57884649035433*(-PI()/180))*-1</f>
        <v>-0.13227582475989971</v>
      </c>
      <c r="D121" s="3">
        <v>87.412694002490994</v>
      </c>
      <c r="E121">
        <v>4.7232575140742901</v>
      </c>
      <c r="F121">
        <v>5.9158543174765965</v>
      </c>
      <c r="G121">
        <f>-9.10460458747683E-10*(-PI()/180)</f>
        <v>1.5890532714365077E-11</v>
      </c>
      <c r="H121">
        <f>-15.9999999999996*(-PI()/180)</f>
        <v>0.27925268031908573</v>
      </c>
    </row>
    <row r="122" spans="1:8" x14ac:dyDescent="0.3">
      <c r="A122" s="1">
        <v>119</v>
      </c>
      <c r="B122" s="2">
        <v>1.5027200000001495</v>
      </c>
      <c r="C122">
        <f>(-1.21328208905015*(-PI()/180))*-1</f>
        <v>-2.1175767209400155E-2</v>
      </c>
      <c r="D122" s="3">
        <v>87.491960817728554</v>
      </c>
      <c r="E122">
        <v>4.7229601328443414</v>
      </c>
      <c r="F122">
        <v>5.9158673226572986</v>
      </c>
      <c r="G122">
        <f>2.37438618501897*(-PI()/180)</f>
        <v>-4.144085664244828E-2</v>
      </c>
      <c r="H122">
        <f>-0.198386351529073*(-PI()/180)</f>
        <v>3.4624950252012108E-3</v>
      </c>
    </row>
    <row r="123" spans="1:8" x14ac:dyDescent="0.3">
      <c r="A123" s="1">
        <v>120</v>
      </c>
      <c r="B123" s="2">
        <v>1.5200000000000007</v>
      </c>
      <c r="C123">
        <f>(-7.56948409737781*(-PI()/180))*-1</f>
        <v>-0.13211242017659386</v>
      </c>
      <c r="D123" s="3">
        <v>87.566379956736014</v>
      </c>
      <c r="E123">
        <v>4.723279722949103</v>
      </c>
      <c r="F123">
        <v>5.9157961787761737</v>
      </c>
      <c r="G123">
        <f>16.0000000000007*(-PI()/180)</f>
        <v>-0.27925268031910494</v>
      </c>
      <c r="H123">
        <f>-1.03788256371012E-16*(-PI()/180)</f>
        <v>1.811446798578141E-18</v>
      </c>
    </row>
    <row r="124" spans="1:8" x14ac:dyDescent="0.3">
      <c r="A124" s="1">
        <v>121</v>
      </c>
      <c r="B124" s="2">
        <v>1.5238800000000261</v>
      </c>
      <c r="C124">
        <f>(-9.03913183130472*(-PI()/180))*-1</f>
        <v>-0.15776261197809202</v>
      </c>
      <c r="D124" s="3">
        <v>87.598600920422982</v>
      </c>
      <c r="E124">
        <v>4.7234216061301293</v>
      </c>
      <c r="F124">
        <v>5.9157832155674379</v>
      </c>
      <c r="G124">
        <f>19.1040000429729*(-PI()/180)</f>
        <v>-0.33342770105101527</v>
      </c>
      <c r="H124">
        <f>2.09336603705994E-08*(-PI()/180)</f>
        <v>-3.6536129796121586E-10</v>
      </c>
    </row>
    <row r="125" spans="1:8" x14ac:dyDescent="0.3">
      <c r="A125" s="1">
        <v>122</v>
      </c>
      <c r="B125" s="2">
        <v>1.5394000000001278</v>
      </c>
      <c r="C125">
        <f>(-14.9178498181231*(-PI()/180))*-1</f>
        <v>-0.26036559664428538</v>
      </c>
      <c r="D125" s="3">
        <v>87.78450648552105</v>
      </c>
      <c r="E125">
        <v>4.7242729433042685</v>
      </c>
      <c r="F125">
        <v>5.9157776384686986</v>
      </c>
      <c r="G125">
        <f>31.5200001223922*(-PI()/180)</f>
        <v>-0.55012778236475957</v>
      </c>
      <c r="H125">
        <f>8.14611720377895E-08*(-PI()/180)</f>
        <v>-1.4217656645929653E-9</v>
      </c>
    </row>
    <row r="126" spans="1:8" x14ac:dyDescent="0.3">
      <c r="A126" s="1">
        <v>123</v>
      </c>
      <c r="B126" s="2">
        <v>1.5530800000002174</v>
      </c>
      <c r="C126">
        <f>(-20.098187214163*(-PI()/180))*-1</f>
        <v>-0.35077954056937111</v>
      </c>
      <c r="D126" s="3">
        <v>88.024023127731439</v>
      </c>
      <c r="E126">
        <v>4.7253956421385102</v>
      </c>
      <c r="F126">
        <v>5.9157839173335161</v>
      </c>
      <c r="G126">
        <f>42.4640001169702*(-PI()/180)</f>
        <v>-0.74113661560838717</v>
      </c>
      <c r="H126">
        <f>1.73536781395889E-07*(-PI()/180)</f>
        <v>-3.0287882086719044E-9</v>
      </c>
    </row>
    <row r="127" spans="1:8" x14ac:dyDescent="0.3">
      <c r="A127" s="1">
        <v>124</v>
      </c>
      <c r="B127" s="2">
        <v>1.5600000000000007</v>
      </c>
      <c r="C127">
        <f>(-22.7181014461751*(-PI()/180))*-1</f>
        <v>-0.39650567003784087</v>
      </c>
      <c r="D127" s="3">
        <v>88.172167009262253</v>
      </c>
      <c r="E127">
        <v>4.7260930575060618</v>
      </c>
      <c r="F127">
        <v>5.9157594993065352</v>
      </c>
      <c r="G127">
        <f>48.0000000000009*(-PI()/180)</f>
        <v>-0.83775804095729389</v>
      </c>
      <c r="H127">
        <f>7.02010421155717E-17*(-PI()/180)</f>
        <v>-1.2252393232479317E-18</v>
      </c>
    </row>
    <row r="128" spans="1:8" x14ac:dyDescent="0.3">
      <c r="A128" s="1">
        <v>125</v>
      </c>
      <c r="B128" s="2">
        <v>1.5727000000000839</v>
      </c>
      <c r="C128">
        <f>(-27.5292361615118*(-PI()/180))*-1</f>
        <v>-0.48047581157746638</v>
      </c>
      <c r="D128" s="3">
        <v>88.491233381929547</v>
      </c>
      <c r="E128">
        <v>4.7275780548635806</v>
      </c>
      <c r="F128">
        <v>5.9156636563145106</v>
      </c>
      <c r="G128">
        <f>58.1600000284217*(-PI()/180)</f>
        <v>-1.0150834934559543</v>
      </c>
      <c r="H128">
        <f>-1.05349383664462E-07*(-PI()/180)</f>
        <v>1.8386936098915909E-9</v>
      </c>
    </row>
    <row r="129" spans="1:8" x14ac:dyDescent="0.3">
      <c r="A129" s="1">
        <v>126</v>
      </c>
      <c r="B129" s="2">
        <v>1.5931500000002179</v>
      </c>
      <c r="C129">
        <f>(-35.2743673814305*(-PI()/180))*-1</f>
        <v>-0.61565385236405279</v>
      </c>
      <c r="D129" s="3">
        <v>89.133404858596847</v>
      </c>
      <c r="E129">
        <v>4.7305120815132691</v>
      </c>
      <c r="F129">
        <v>5.9155832317000723</v>
      </c>
      <c r="G129">
        <f>74.5199999261195*(-PI()/180)</f>
        <v>-1.3006193572967164</v>
      </c>
      <c r="H129">
        <f>4.37569780369985E-09*(-PI()/180)</f>
        <v>-7.6370333746846895E-11</v>
      </c>
    </row>
    <row r="130" spans="1:8" x14ac:dyDescent="0.3">
      <c r="A130" s="1">
        <v>127</v>
      </c>
      <c r="B130" s="2">
        <v>1.6000000000000008</v>
      </c>
      <c r="C130">
        <f>(-37.8712400745864*(-PI()/180))*-1</f>
        <v>-0.66097783111475561</v>
      </c>
      <c r="D130" s="3">
        <v>89.383930401636945</v>
      </c>
      <c r="E130">
        <v>4.7316673585964351</v>
      </c>
      <c r="F130">
        <v>5.9155949447232121</v>
      </c>
      <c r="G130">
        <f>80.0000000000011*(-PI()/180)</f>
        <v>-1.3962634015954827</v>
      </c>
      <c r="H130">
        <f>-2.95665477216026E-18*(-PI()/180)</f>
        <v>5.1603360618999313E-20</v>
      </c>
    </row>
    <row r="131" spans="1:8" x14ac:dyDescent="0.3">
      <c r="A131" s="1">
        <v>128</v>
      </c>
      <c r="B131" s="2">
        <v>1.6145000000000957</v>
      </c>
      <c r="C131">
        <f>(-43.361191880706*(-PI()/180))*-1</f>
        <v>-0.75679556590735197</v>
      </c>
      <c r="D131" s="3">
        <v>89.972840613004436</v>
      </c>
      <c r="E131">
        <v>4.7344054829739219</v>
      </c>
      <c r="F131">
        <v>5.915617152848065</v>
      </c>
      <c r="G131">
        <f>91.5999999309692*(-PI()/180)</f>
        <v>-1.5987215936219912</v>
      </c>
      <c r="H131">
        <f>5.05033813476314E-09*(-PI()/180)</f>
        <v>-8.8145028790645893E-11</v>
      </c>
    </row>
    <row r="132" spans="1:8" x14ac:dyDescent="0.3">
      <c r="A132" s="1">
        <v>129</v>
      </c>
      <c r="B132" s="2">
        <v>1.6278100000001829</v>
      </c>
      <c r="C132">
        <f>(-48.400871865869*(-PI()/180))*-1</f>
        <v>-0.84475457489530537</v>
      </c>
      <c r="D132" s="3">
        <v>90.583518301315806</v>
      </c>
      <c r="E132">
        <v>4.7372440325684328</v>
      </c>
      <c r="F132">
        <v>5.9155916272868989</v>
      </c>
      <c r="G132">
        <f>102.248000145575*(-PI()/180)</f>
        <v>-1.7845642561199253</v>
      </c>
      <c r="H132">
        <f>-3.67476625561855E-08*(-PI()/180)</f>
        <v>6.4136770401727277E-10</v>
      </c>
    </row>
    <row r="133" spans="1:8" x14ac:dyDescent="0.3">
      <c r="A133" s="1">
        <v>130</v>
      </c>
      <c r="B133" s="2">
        <v>1.6400000000000008</v>
      </c>
      <c r="C133">
        <f>(-53.0166410777563*(-PI()/180))*-1</f>
        <v>-0.92531494515492241</v>
      </c>
      <c r="D133" s="3">
        <v>91.201677341871289</v>
      </c>
      <c r="E133">
        <v>4.7401122243459115</v>
      </c>
      <c r="F133">
        <v>5.9155916814333445</v>
      </c>
      <c r="G133">
        <f>112.000000000001*(-PI()/180)</f>
        <v>-1.9547687622336665</v>
      </c>
      <c r="H133">
        <f>6.40704609463192E-17*(-PI()/180)</f>
        <v>-1.1182404967837118E-18</v>
      </c>
    </row>
    <row r="134" spans="1:8" x14ac:dyDescent="0.3">
      <c r="A134" s="1">
        <v>131</v>
      </c>
      <c r="B134" s="2">
        <v>1.6463900000000427</v>
      </c>
      <c r="C134">
        <f>(-55.4415852532775*(-PI()/180))*-1</f>
        <v>-0.96763820519482679</v>
      </c>
      <c r="D134" s="3">
        <v>91.548195118154325</v>
      </c>
      <c r="E134">
        <v>4.7417130858995433</v>
      </c>
      <c r="F134">
        <v>5.9156268306413784</v>
      </c>
      <c r="G134">
        <f>117.112000100735*(-PI()/180)</f>
        <v>-2.0439899953537566</v>
      </c>
      <c r="H134">
        <f>3.15000276431895E-07*(-PI()/180)</f>
        <v>-5.4977919684288633E-9</v>
      </c>
    </row>
    <row r="135" spans="1:8" x14ac:dyDescent="0.3">
      <c r="A135" s="1">
        <v>132</v>
      </c>
      <c r="B135" s="2">
        <v>1.6675200000001811</v>
      </c>
      <c r="C135">
        <f>(-63.4407719863029*(-PI()/180))*-1</f>
        <v>-1.1072503511679685</v>
      </c>
      <c r="D135" s="3">
        <v>92.804162536124807</v>
      </c>
      <c r="E135">
        <v>4.7474884330926894</v>
      </c>
      <c r="F135">
        <v>5.9159090585937095</v>
      </c>
      <c r="G135">
        <f>134.016000192907*(-PI()/180)</f>
        <v>-2.3390204537195829</v>
      </c>
      <c r="H135">
        <f>-7.57251542395142E-08*(-PI()/180)</f>
        <v>1.3216532680600654E-9</v>
      </c>
    </row>
    <row r="136" spans="1:8" x14ac:dyDescent="0.3">
      <c r="A136" s="1">
        <v>133</v>
      </c>
      <c r="B136" s="2">
        <v>1.6800000000000008</v>
      </c>
      <c r="C136">
        <f>(-68.1687067267376*(-PI()/180))*-1</f>
        <v>-1.1897683792079774</v>
      </c>
      <c r="D136" s="3">
        <v>93.625409243734467</v>
      </c>
      <c r="E136">
        <v>4.7512870926952058</v>
      </c>
      <c r="F136">
        <v>5.9161154318427185</v>
      </c>
      <c r="G136">
        <f>144.000000000001*(-PI()/180)</f>
        <v>-2.5132741228718518</v>
      </c>
      <c r="H136">
        <f>4.28751736993571E-18*(-PI()/180)</f>
        <v>-7.4831294841825874E-20</v>
      </c>
    </row>
    <row r="137" spans="1:8" x14ac:dyDescent="0.3">
      <c r="A137" s="1">
        <v>134</v>
      </c>
      <c r="B137" s="2">
        <v>1.68904000000006</v>
      </c>
      <c r="C137">
        <f>(-71.5900603906024*(-PI()/180))*-1</f>
        <v>-1.2494822655175897</v>
      </c>
      <c r="D137" s="3">
        <v>94.257127674738911</v>
      </c>
      <c r="E137">
        <v>4.754215945335341</v>
      </c>
      <c r="F137">
        <v>5.9162822030807609</v>
      </c>
      <c r="G137">
        <f>151.231999977954*(-PI()/180)</f>
        <v>-2.6394963339912891</v>
      </c>
      <c r="H137">
        <f>-1.2760016360894E-08*(-PI()/180)</f>
        <v>2.227042981059453E-10</v>
      </c>
    </row>
    <row r="138" spans="1:8" x14ac:dyDescent="0.3">
      <c r="A138" s="1">
        <v>135</v>
      </c>
      <c r="B138" s="2">
        <v>1.7034300000001543</v>
      </c>
      <c r="C138">
        <f>(-77.0437834408576*(-PI()/180))*-1</f>
        <v>-1.3446676892364511</v>
      </c>
      <c r="D138" s="3">
        <v>95.3265497199897</v>
      </c>
      <c r="E138">
        <v>4.7591596307233734</v>
      </c>
      <c r="F138">
        <v>5.9166588317930442</v>
      </c>
      <c r="G138">
        <f>162.743999928429*(-PI()/180)</f>
        <v>-2.8404186366165018</v>
      </c>
      <c r="H138">
        <f>1.47813172854551E-07*(-PI()/180)</f>
        <v>-2.5798265441314202E-9</v>
      </c>
    </row>
    <row r="139" spans="1:8" x14ac:dyDescent="0.3">
      <c r="A139" s="1">
        <v>136</v>
      </c>
      <c r="B139" s="2">
        <v>1.7200000000000009</v>
      </c>
      <c r="C139">
        <f>(-83.3200331907581*(-PI()/180))*-1</f>
        <v>-1.4542089120496853</v>
      </c>
      <c r="D139" s="3">
        <v>96.655113846010352</v>
      </c>
      <c r="E139">
        <v>4.7652682072130297</v>
      </c>
      <c r="F139">
        <v>5.9173376443023811</v>
      </c>
      <c r="G139">
        <f>176.000000000001*(-PI()/180)</f>
        <v>-3.0717794835100372</v>
      </c>
      <c r="H139">
        <f>5.82405607894187E-16*(-PI()/180)</f>
        <v>-1.0164895439832642E-17</v>
      </c>
    </row>
    <row r="140" spans="1:8" x14ac:dyDescent="0.3">
      <c r="A140" s="1">
        <v>137</v>
      </c>
      <c r="B140" s="2">
        <v>1.7204600000000039</v>
      </c>
      <c r="C140">
        <f>(-83.4956318697143*(-PI()/180))*-1</f>
        <v>-1.4572736871596237</v>
      </c>
      <c r="D140" s="3">
        <v>96.693481454475545</v>
      </c>
      <c r="E140">
        <v>4.7654439533178783</v>
      </c>
      <c r="F140">
        <v>5.9173595901086857</v>
      </c>
      <c r="G140">
        <f>176.368000001335*(-PI()/180)</f>
        <v>-3.0782022951806591</v>
      </c>
      <c r="H140">
        <f>-8.5027651198137E-08*(-PI()/180)</f>
        <v>1.4840124686447921E-9</v>
      </c>
    </row>
    <row r="141" spans="1:8" x14ac:dyDescent="0.3">
      <c r="A141" s="1">
        <v>138</v>
      </c>
      <c r="B141" s="2">
        <v>1.7338400000000915</v>
      </c>
      <c r="C141">
        <f>(-88.5569959399276*(-PI()/180))*-1</f>
        <v>-1.5456111548269873</v>
      </c>
      <c r="D141" s="3">
        <v>97.844505314803072</v>
      </c>
      <c r="E141">
        <v>4.7707063070933735</v>
      </c>
      <c r="F141">
        <v>5.9180471856717851</v>
      </c>
      <c r="G141">
        <f>187.071999892323*(-PI()/180)</f>
        <v>-3.2650223364115138</v>
      </c>
      <c r="H141">
        <f>-3.90011415734672E-08*(-PI()/180)</f>
        <v>6.806983324934446E-10</v>
      </c>
    </row>
    <row r="142" spans="1:8" x14ac:dyDescent="0.3">
      <c r="A142" s="1">
        <v>139</v>
      </c>
      <c r="B142" s="2">
        <v>1.7600000000000009</v>
      </c>
      <c r="C142">
        <f>(-98.4635638831903*(-PI()/180))*-1</f>
        <v>-1.7185133830094441</v>
      </c>
      <c r="D142" s="3">
        <v>100.29078631385013</v>
      </c>
      <c r="E142">
        <v>4.78190393809433</v>
      </c>
      <c r="F142">
        <v>5.9197589780110587</v>
      </c>
      <c r="G142">
        <f>208.000000000001*(-PI()/180)</f>
        <v>-3.6302848441482229</v>
      </c>
      <c r="H142">
        <f>-4.26284255134003E-16*(-PI()/180)</f>
        <v>7.4400638014998934E-18</v>
      </c>
    </row>
    <row r="143" spans="1:8" x14ac:dyDescent="0.3">
      <c r="A143" s="1">
        <v>140</v>
      </c>
      <c r="B143" s="2">
        <v>1.7654400000000365</v>
      </c>
      <c r="C143">
        <f>(-100.518352678091*(-PI()/180))*-1</f>
        <v>-1.7543762129135478</v>
      </c>
      <c r="D143" s="3">
        <v>100.83204877109287</v>
      </c>
      <c r="E143">
        <v>4.7843730921153522</v>
      </c>
      <c r="F143">
        <v>5.9202186513209556</v>
      </c>
      <c r="G143">
        <f>212.352000033588*(-PI()/180)</f>
        <v>-3.7062415737812202</v>
      </c>
      <c r="H143">
        <f>-1.26189621390223E-07*(-PI()/180)</f>
        <v>2.2024243751044556E-9</v>
      </c>
    </row>
    <row r="144" spans="1:8" x14ac:dyDescent="0.3">
      <c r="A144" s="1">
        <v>141</v>
      </c>
      <c r="B144" s="2">
        <v>1.7781300000001197</v>
      </c>
      <c r="C144">
        <f>(-105.327959147311*(-PI()/180))*-1</f>
        <v>-1.8383196815266563</v>
      </c>
      <c r="D144" s="3">
        <v>102.13819849688619</v>
      </c>
      <c r="E144">
        <v>4.7902971412301305</v>
      </c>
      <c r="F144">
        <v>5.9214478387437079</v>
      </c>
      <c r="G144">
        <f>222.503999964129*(-PI()/180)</f>
        <v>-3.883427398231396</v>
      </c>
      <c r="H144">
        <f>-1.31219461632416E-07*(-PI()/180)</f>
        <v>2.2902116481800325E-9</v>
      </c>
    </row>
    <row r="145" spans="1:8" x14ac:dyDescent="0.3">
      <c r="A145" s="1">
        <v>142</v>
      </c>
      <c r="B145" s="2">
        <v>1.7911100000002047</v>
      </c>
      <c r="C145">
        <f>(-110.248298536831*(-PI()/180))*-1</f>
        <v>-1.9241958041893479</v>
      </c>
      <c r="D145" s="3">
        <v>103.53731085545937</v>
      </c>
      <c r="E145">
        <v>4.7965977474643573</v>
      </c>
      <c r="F145">
        <v>5.9228989154818725</v>
      </c>
      <c r="G145">
        <f>232.887999935891*(-PI()/180)</f>
        <v>-4.0646623872656411</v>
      </c>
      <c r="H145">
        <f>2.55214897202684E-07*(-PI()/180)</f>
        <v>-4.4543402563257023E-9</v>
      </c>
    </row>
    <row r="146" spans="1:8" x14ac:dyDescent="0.3">
      <c r="A146" s="1">
        <v>143</v>
      </c>
      <c r="B146" s="2">
        <v>1.8000000000000009</v>
      </c>
      <c r="C146">
        <f>(-113.607552306511*(-PI()/180))*-1</f>
        <v>-1.982825842880295</v>
      </c>
      <c r="D146" s="3">
        <v>104.53238322007059</v>
      </c>
      <c r="E146">
        <v>4.8010561750395411</v>
      </c>
      <c r="F146">
        <v>5.9239958352654103</v>
      </c>
      <c r="G146">
        <f>240.000000000001*(-PI()/180)</f>
        <v>-4.1887902047864083</v>
      </c>
      <c r="H146">
        <f>-7.9854021182629E-17*(-PI()/180)</f>
        <v>1.3937155905941721E-18</v>
      </c>
    </row>
    <row r="147" spans="1:8" x14ac:dyDescent="0.3">
      <c r="A147" s="1">
        <v>144</v>
      </c>
      <c r="B147" s="2">
        <v>1.8131100000000868</v>
      </c>
      <c r="C147">
        <f>(-118.565778617529*(-PI()/180))*-1</f>
        <v>-2.0693632170665719</v>
      </c>
      <c r="D147" s="3">
        <v>106.05440965514401</v>
      </c>
      <c r="E147">
        <v>4.8078485257719574</v>
      </c>
      <c r="F147">
        <v>5.9258102913148294</v>
      </c>
      <c r="G147">
        <f>250.487999933695*(-PI()/180)</f>
        <v>-4.3718403355783151</v>
      </c>
      <c r="H147">
        <f>-1.64125113110906E-07*(-PI()/180)</f>
        <v>2.864523608993423E-9</v>
      </c>
    </row>
    <row r="148" spans="1:8" x14ac:dyDescent="0.3">
      <c r="A148" s="1">
        <v>145</v>
      </c>
      <c r="B148" s="2">
        <v>1.8385100000002532</v>
      </c>
      <c r="C148">
        <f>(-128.198293919217*(-PI()/180))*-1</f>
        <v>-2.2374823243297621</v>
      </c>
      <c r="D148" s="3">
        <v>109.18841931659438</v>
      </c>
      <c r="E148">
        <v>4.8216993759716278</v>
      </c>
      <c r="F148">
        <v>5.9302192270401957</v>
      </c>
      <c r="G148">
        <f>270.808000040326*(-PI()/180)</f>
        <v>-4.7264912414446254</v>
      </c>
      <c r="H148">
        <f>3.07305273605642E-07*(-PI()/180)</f>
        <v>-5.3634888331604797E-9</v>
      </c>
    </row>
    <row r="149" spans="1:8" x14ac:dyDescent="0.3">
      <c r="A149" s="1">
        <v>146</v>
      </c>
      <c r="B149" s="2">
        <v>1.840000000000001</v>
      </c>
      <c r="C149">
        <f>(-128.763763132275*(-PI()/180))*-1</f>
        <v>-2.2473516239162854</v>
      </c>
      <c r="D149" s="3">
        <v>109.37986030562124</v>
      </c>
      <c r="E149">
        <v>4.822535738614258</v>
      </c>
      <c r="F149">
        <v>5.930514028707174</v>
      </c>
      <c r="G149">
        <f>272.000000000001*(-PI()/180)</f>
        <v>-4.7472955654245945</v>
      </c>
      <c r="H149">
        <f>-1.25412837965178E-15*(-PI()/180)</f>
        <v>2.1888669467625017E-17</v>
      </c>
    </row>
    <row r="150" spans="1:8" x14ac:dyDescent="0.3">
      <c r="A150" s="1">
        <v>147</v>
      </c>
      <c r="B150" s="2">
        <v>1.8488000000000586</v>
      </c>
      <c r="C150">
        <f>(-132.086349877954*(-PI()/180))*-1</f>
        <v>-2.3053417023115075</v>
      </c>
      <c r="D150" s="3">
        <v>110.52760549926002</v>
      </c>
      <c r="E150">
        <v>4.8275247643418773</v>
      </c>
      <c r="F150">
        <v>5.9323285880085805</v>
      </c>
      <c r="G150">
        <f>279.040000182134*(-PI()/180)</f>
        <v>-4.8701667479438155</v>
      </c>
      <c r="H150">
        <f>1.08503638457999E-07*(-PI()/180)</f>
        <v>-1.8937457414856255E-9</v>
      </c>
    </row>
    <row r="151" spans="1:8" x14ac:dyDescent="0.3">
      <c r="A151" s="1">
        <v>148</v>
      </c>
      <c r="B151" s="2">
        <v>1.8755000000002335</v>
      </c>
      <c r="C151">
        <f>(-142.191774431706*(-PI()/180))*-1</f>
        <v>-2.4817146330863586</v>
      </c>
      <c r="D151" s="3">
        <v>114.18946227673226</v>
      </c>
      <c r="E151">
        <v>4.8431858239743244</v>
      </c>
      <c r="F151">
        <v>5.9387038716474061</v>
      </c>
      <c r="G151">
        <f>300.400000112839*(-PI()/180)</f>
        <v>-5.2429690749603779</v>
      </c>
      <c r="H151">
        <f>2.28802503398892E-07*(-PI()/180)</f>
        <v>-3.9933570211161817E-9</v>
      </c>
    </row>
    <row r="152" spans="1:8" x14ac:dyDescent="0.3">
      <c r="A152" s="1">
        <v>149</v>
      </c>
      <c r="B152" s="2">
        <v>1.880000000000001</v>
      </c>
      <c r="C152">
        <f>(-143.903766730316*(-PI()/180))*-1</f>
        <v>-2.5115945354658891</v>
      </c>
      <c r="D152" s="3">
        <v>114.83322112398774</v>
      </c>
      <c r="E152">
        <v>4.8458980181366362</v>
      </c>
      <c r="F152">
        <v>5.939936322415015</v>
      </c>
      <c r="G152">
        <f>304.000000000001*(-PI()/180)</f>
        <v>-5.3058009260627799</v>
      </c>
      <c r="H152">
        <f>-4.44059808031725E-15*(-PI()/180)</f>
        <v>7.7503057259275613E-17</v>
      </c>
    </row>
    <row r="153" spans="1:8" x14ac:dyDescent="0.3">
      <c r="A153" s="1">
        <v>150</v>
      </c>
      <c r="B153" s="2">
        <v>1.904730000000163</v>
      </c>
      <c r="C153">
        <f>(-153.266326520489*(-PI()/180))*-1</f>
        <v>-2.6750020302192374</v>
      </c>
      <c r="D153" s="3">
        <v>118.50789517022523</v>
      </c>
      <c r="E153">
        <v>4.8611168593301919</v>
      </c>
      <c r="F153">
        <v>5.9475986487987536</v>
      </c>
      <c r="G153">
        <f>323.783999973959*(-PI()/180)</f>
        <v>-5.6510968648228186</v>
      </c>
      <c r="H153">
        <f>-2.44929662864171E-07*(-PI()/180)</f>
        <v>4.2748290527794695E-9</v>
      </c>
    </row>
    <row r="154" spans="1:8" x14ac:dyDescent="0.3">
      <c r="A154" s="1">
        <v>151</v>
      </c>
      <c r="B154" s="2">
        <v>1.920000000000001</v>
      </c>
      <c r="C154">
        <f>(-159.05421825101*(-PI()/180))*-1</f>
        <v>-2.7760197976657817</v>
      </c>
      <c r="D154" s="3">
        <v>120.89254715977879</v>
      </c>
      <c r="E154">
        <v>4.8707085845578346</v>
      </c>
      <c r="F154">
        <v>5.9530355376693871</v>
      </c>
      <c r="G154">
        <f>336.000000000001*(-PI()/180)</f>
        <v>-5.8643062867009652</v>
      </c>
      <c r="H154">
        <f>-1.02367313616172E-15*(-PI()/180)</f>
        <v>1.786646669023824E-17</v>
      </c>
    </row>
    <row r="155" spans="1:8" x14ac:dyDescent="0.3">
      <c r="A155" s="1">
        <v>152</v>
      </c>
      <c r="B155" s="2">
        <v>1.9309200000000726</v>
      </c>
      <c r="C155">
        <f>(-163.205375455772*(-PI()/180))*-1</f>
        <v>-2.8484711586567628</v>
      </c>
      <c r="D155" s="3">
        <v>122.65212126577892</v>
      </c>
      <c r="E155">
        <v>4.8776285744676713</v>
      </c>
      <c r="F155">
        <v>5.9572906559076051</v>
      </c>
      <c r="G155">
        <f>344.735999957799*(-PI()/180)</f>
        <v>-6.0167782494186248</v>
      </c>
      <c r="H155">
        <f>8.69385061673537E-08*(-PI()/180)</f>
        <v>-1.5173631793857184E-9</v>
      </c>
    </row>
    <row r="156" spans="1:8" x14ac:dyDescent="0.3">
      <c r="A156" s="1">
        <v>153</v>
      </c>
      <c r="B156" s="2">
        <v>1.9409200000001381</v>
      </c>
      <c r="C156">
        <f>(-166.98778231955*(-PI()/180))*-1</f>
        <v>-2.9144866120797213</v>
      </c>
      <c r="D156" s="3">
        <v>124.30306526237783</v>
      </c>
      <c r="E156">
        <v>4.8839989167804676</v>
      </c>
      <c r="F156">
        <v>5.9614965793401087</v>
      </c>
      <c r="G156">
        <f>352.735999929568*(-PI()/180)</f>
        <v>-6.1564045890854473</v>
      </c>
      <c r="H156">
        <f>1.10175817851833E-07*(-PI()/180)</f>
        <v>-1.922930777592032E-9</v>
      </c>
    </row>
    <row r="157" spans="1:8" x14ac:dyDescent="0.3">
      <c r="A157" s="1">
        <v>154</v>
      </c>
      <c r="B157" s="2">
        <v>1.9600000000000011</v>
      </c>
      <c r="C157">
        <f>(-174.207521470017*(-PI()/180))*-1</f>
        <v>-3.0404948313905091</v>
      </c>
      <c r="D157" s="3">
        <v>127.55810016175886</v>
      </c>
      <c r="E157">
        <v>4.8962052881288161</v>
      </c>
      <c r="F157">
        <v>5.9703592168622377</v>
      </c>
      <c r="G157">
        <f>368.000000000001*(-PI()/180)</f>
        <v>-6.4228116473391506</v>
      </c>
      <c r="H157">
        <f>2.74040511410157E-15*(-PI()/180)</f>
        <v>-4.7829092079563283E-17</v>
      </c>
    </row>
    <row r="158" spans="1:8" x14ac:dyDescent="0.3">
      <c r="A158" s="1">
        <v>155</v>
      </c>
      <c r="B158" s="2">
        <v>1.963950000000027</v>
      </c>
      <c r="C158">
        <f>(-175.701614779672*(-PI()/180))*-1</f>
        <v>-3.066571678976008</v>
      </c>
      <c r="D158" s="3">
        <v>128.24920035383539</v>
      </c>
      <c r="E158">
        <v>4.8987351388784841</v>
      </c>
      <c r="F158">
        <v>5.9723259528794959</v>
      </c>
      <c r="G158">
        <f>371.160000191469*(-PI()/180)</f>
        <v>-6.4779640550439179</v>
      </c>
      <c r="H158">
        <f>-1.72971401232302E-08*(-PI()/180)</f>
        <v>3.0189204632918468E-10</v>
      </c>
    </row>
    <row r="159" spans="1:8" x14ac:dyDescent="0.3">
      <c r="A159" s="1">
        <v>156</v>
      </c>
      <c r="B159" s="2">
        <v>1.9765700000001096</v>
      </c>
      <c r="C159">
        <f>(-180.492025639202*(-PI()/180))*-1</f>
        <v>-3.150180120998098</v>
      </c>
      <c r="D159" s="3">
        <v>130.49679346309284</v>
      </c>
      <c r="E159">
        <v>4.9067983050026509</v>
      </c>
      <c r="F159">
        <v>5.9789090600708938</v>
      </c>
      <c r="G159">
        <f>381.256000419989*(-PI()/180)</f>
        <v>-6.6541725003136918</v>
      </c>
      <c r="H159">
        <f>-6.79346338247592E-08*(-PI()/180)</f>
        <v>1.1856830363787564E-9</v>
      </c>
    </row>
    <row r="160" spans="1:8" x14ac:dyDescent="0.3">
      <c r="A160" s="1">
        <v>157</v>
      </c>
      <c r="B160" s="2">
        <v>1.9961200000002377</v>
      </c>
      <c r="C160">
        <f>(-187.843310787413*(-PI()/180))*-1</f>
        <v>-3.2784842510873391</v>
      </c>
      <c r="D160" s="3">
        <v>134.09754899814115</v>
      </c>
      <c r="E160">
        <v>4.919128139055081</v>
      </c>
      <c r="F160">
        <v>5.9900819828914971</v>
      </c>
      <c r="G160">
        <f>396.830882850429*(-PI()/180)</f>
        <v>-6.9260054793358874</v>
      </c>
      <c r="H160">
        <f>0.0325584869709766*(-PI()/180)</f>
        <v>-5.6825279711121719E-4</v>
      </c>
    </row>
    <row r="161" spans="1:8" x14ac:dyDescent="0.3">
      <c r="A161" s="1">
        <v>158</v>
      </c>
      <c r="B161" s="2">
        <v>2.0000000000000009</v>
      </c>
      <c r="C161">
        <f>(-188.894264712331*(-PI()/180))*-1</f>
        <v>-3.2968268573639152</v>
      </c>
      <c r="D161" s="3">
        <v>134.82859813860614</v>
      </c>
      <c r="E161">
        <v>4.9215419466099748</v>
      </c>
      <c r="F161">
        <v>5.9924533142868004</v>
      </c>
      <c r="G161">
        <f>399.333333333335*(-PI()/180)</f>
        <v>-6.9696814796307187</v>
      </c>
      <c r="H161">
        <f>0.333333333333517*(-PI()/180)</f>
        <v>-5.8177641733176376E-3</v>
      </c>
    </row>
    <row r="162" spans="1:8" x14ac:dyDescent="0.3">
      <c r="A162" s="1">
        <v>159</v>
      </c>
      <c r="B162" s="2">
        <v>2.0290800000001914</v>
      </c>
      <c r="C162">
        <f>(-183.869722461997*(-PI()/180))*-1</f>
        <v>-3.2091320516900219</v>
      </c>
      <c r="D162" s="3">
        <v>140.25467911334147</v>
      </c>
      <c r="E162">
        <v>4.9390464386610189</v>
      </c>
      <c r="F162">
        <v>6.0116724605769569</v>
      </c>
      <c r="G162">
        <f>399.999999936604*(-PI()/180)</f>
        <v>-6.9813170068708494</v>
      </c>
      <c r="H162">
        <f>11.6319999935221*(-PI()/180)</f>
        <v>-0.20301669847891973</v>
      </c>
    </row>
    <row r="163" spans="1:8" x14ac:dyDescent="0.3">
      <c r="A163" s="1">
        <v>160</v>
      </c>
      <c r="B163" s="2">
        <v>2.0400000000000009</v>
      </c>
      <c r="C163">
        <f>(-181.803780525733*(-PI()/180))*-1</f>
        <v>-3.1730745627471886</v>
      </c>
      <c r="D163" s="3">
        <v>142.25119246035362</v>
      </c>
      <c r="E163">
        <v>4.945261326410038</v>
      </c>
      <c r="F163">
        <v>6.0193646733071366</v>
      </c>
      <c r="G163">
        <f>400.000000000001*(-PI()/180)</f>
        <v>-6.9813170079773359</v>
      </c>
      <c r="H163">
        <f>16.0000000000001*(-PI()/180)</f>
        <v>-0.27925268031909445</v>
      </c>
    </row>
    <row r="164" spans="1:8" x14ac:dyDescent="0.3">
      <c r="A164" s="1">
        <v>161</v>
      </c>
      <c r="B164" s="2">
        <v>2.057870000000118</v>
      </c>
      <c r="C164">
        <f>(-178.409428469873*(-PI()/180))*-1</f>
        <v>-3.113831943400593</v>
      </c>
      <c r="D164" s="3">
        <v>145.46965820617649</v>
      </c>
      <c r="E164">
        <v>4.9548980469690642</v>
      </c>
      <c r="F164">
        <v>6.0325293557754556</v>
      </c>
      <c r="G164">
        <f>399.999999983214*(-PI()/180)</f>
        <v>-6.981317007684348</v>
      </c>
      <c r="H164">
        <f>23.1479998143422*(-PI()/180)</f>
        <v>-0.40400881201130751</v>
      </c>
    </row>
    <row r="165" spans="1:8" x14ac:dyDescent="0.3">
      <c r="A165" s="1">
        <v>162</v>
      </c>
      <c r="B165" s="2">
        <v>2.0693100000001929</v>
      </c>
      <c r="C165">
        <f>(-176.244392207567*(-PI()/180))*-1</f>
        <v>-3.0760449321982812</v>
      </c>
      <c r="D165" s="3">
        <v>147.49834597975456</v>
      </c>
      <c r="E165">
        <v>4.9607342255632121</v>
      </c>
      <c r="F165">
        <v>6.0414172211996267</v>
      </c>
      <c r="G165">
        <f>400.000000051652*(-PI()/180)</f>
        <v>-6.9813170088788157</v>
      </c>
      <c r="H165">
        <f>27.7240000052857*(-PI()/180)</f>
        <v>-0.48387508191516077</v>
      </c>
    </row>
    <row r="166" spans="1:8" x14ac:dyDescent="0.3">
      <c r="A166" s="1">
        <v>163</v>
      </c>
      <c r="B166" s="2">
        <v>2.080000000000001</v>
      </c>
      <c r="C166">
        <f>(-174.225611287211*(-PI()/180))*-1</f>
        <v>-3.040810558261628</v>
      </c>
      <c r="D166" s="3">
        <v>149.37162678210763</v>
      </c>
      <c r="E166">
        <v>4.9660015918108131</v>
      </c>
      <c r="F166">
        <v>6.0500441430707799</v>
      </c>
      <c r="G166">
        <f>400.000000000001*(-PI()/180)</f>
        <v>-6.9813170079773359</v>
      </c>
      <c r="H166">
        <f>31.9999999999999*(-PI()/180)</f>
        <v>-0.55850536063818368</v>
      </c>
    </row>
    <row r="167" spans="1:8" x14ac:dyDescent="0.3">
      <c r="A167" s="1">
        <v>164</v>
      </c>
      <c r="B167" s="2">
        <v>2.0846700000000316</v>
      </c>
      <c r="C167">
        <f>(-173.334343564943*(-PI()/180))*-1</f>
        <v>-3.0252550019913009</v>
      </c>
      <c r="D167" s="3">
        <v>150.18318121377686</v>
      </c>
      <c r="E167">
        <v>4.9682488067981563</v>
      </c>
      <c r="F167">
        <v>6.0538955067213616</v>
      </c>
      <c r="G167">
        <f>399.999999973865*(-PI()/180)</f>
        <v>-6.9813170075211763</v>
      </c>
      <c r="H167">
        <f>33.8679999828017*(-PI()/180)</f>
        <v>-0.59110811076527259</v>
      </c>
    </row>
    <row r="168" spans="1:8" x14ac:dyDescent="0.3">
      <c r="A168" s="1">
        <v>165</v>
      </c>
      <c r="B168" s="2">
        <v>2.0961200000001066</v>
      </c>
      <c r="C168">
        <f>(-171.165992461561*(-PI()/180))*-1</f>
        <v>-2.9874101358980329</v>
      </c>
      <c r="D168" s="3">
        <v>152.15547382841473</v>
      </c>
      <c r="E168">
        <v>4.9735906994042303</v>
      </c>
      <c r="F168">
        <v>6.0635055725701354</v>
      </c>
      <c r="G168">
        <f>399.99999982024*(-PI()/180)</f>
        <v>-6.9813170048399149</v>
      </c>
      <c r="H168">
        <f>38.4479998969478*(-PI()/180)</f>
        <v>-0.67104418900817964</v>
      </c>
    </row>
    <row r="169" spans="1:8" x14ac:dyDescent="0.3">
      <c r="A169" s="1">
        <v>166</v>
      </c>
      <c r="B169" s="2">
        <v>2.1198900000002623</v>
      </c>
      <c r="C169">
        <f>(-166.665701543356*(-PI()/180))*-1</f>
        <v>-2.908865242077757</v>
      </c>
      <c r="D169" s="3">
        <v>156.1706865238223</v>
      </c>
      <c r="E169">
        <v>4.983633056847216</v>
      </c>
      <c r="F169">
        <v>6.0841971324087103</v>
      </c>
      <c r="G169">
        <f>399.999999942023*(-PI()/180)</f>
        <v>-6.9813170069654289</v>
      </c>
      <c r="H169">
        <f>47.9560000451739*(-PI()/180)</f>
        <v>-0.83699009687483394</v>
      </c>
    </row>
    <row r="170" spans="1:8" x14ac:dyDescent="0.3">
      <c r="A170" s="1">
        <v>167</v>
      </c>
      <c r="B170" s="2">
        <v>2.120000000000001</v>
      </c>
      <c r="C170">
        <f>(-166.644498156887*(-PI()/180))*-1</f>
        <v>-2.9084951731713002</v>
      </c>
      <c r="D170" s="3">
        <v>156.18901866360736</v>
      </c>
      <c r="E170">
        <v>4.9836759280871554</v>
      </c>
      <c r="F170">
        <v>6.0842955744182445</v>
      </c>
      <c r="G170">
        <f>400.000000000001*(-PI()/180)</f>
        <v>-6.9813170079773359</v>
      </c>
      <c r="H170">
        <f>47.9999999999999*(-PI()/180)</f>
        <v>-0.83775804095727646</v>
      </c>
    </row>
    <row r="171" spans="1:8" x14ac:dyDescent="0.3">
      <c r="A171" s="1">
        <v>168</v>
      </c>
      <c r="B171" s="2">
        <v>2.1379300000001185</v>
      </c>
      <c r="C171">
        <f>(-163.263261398059*(-PI()/180))*-1</f>
        <v>-2.8494814589402901</v>
      </c>
      <c r="D171" s="3">
        <v>159.14659722286277</v>
      </c>
      <c r="E171">
        <v>4.9903269690880343</v>
      </c>
      <c r="F171">
        <v>6.1006891772288139</v>
      </c>
      <c r="G171">
        <f>399.999999982025*(-PI()/180)</f>
        <v>-6.9813170076635949</v>
      </c>
      <c r="H171">
        <f>55.1719999973389*(-PI()/180)</f>
        <v>-0.9629330548638666</v>
      </c>
    </row>
    <row r="172" spans="1:8" x14ac:dyDescent="0.3">
      <c r="A172" s="1">
        <v>169</v>
      </c>
      <c r="B172" s="2">
        <v>2.160000000000001</v>
      </c>
      <c r="C172">
        <f>(-159.061141930923*(-PI()/180))*-1</f>
        <v>-2.7761406386766172</v>
      </c>
      <c r="D172" s="3">
        <v>162.70346485442241</v>
      </c>
      <c r="E172">
        <v>4.9976850594637279</v>
      </c>
      <c r="F172">
        <v>6.1217477778220077</v>
      </c>
      <c r="G172">
        <f>400.000000000001*(-PI()/180)</f>
        <v>-6.9813170079773359</v>
      </c>
      <c r="H172">
        <f>64.0000000000001*(-PI()/180)</f>
        <v>-1.1170107212763727</v>
      </c>
    </row>
    <row r="173" spans="1:8" x14ac:dyDescent="0.3">
      <c r="A173" s="1">
        <v>170</v>
      </c>
      <c r="B173" s="2">
        <v>2.1623700000000166</v>
      </c>
      <c r="C173">
        <f>(-158.620592789089*(-PI()/180))*-1</f>
        <v>-2.7684516056347781</v>
      </c>
      <c r="D173" s="3">
        <v>163.07993273543207</v>
      </c>
      <c r="E173">
        <v>4.9984062222144292</v>
      </c>
      <c r="F173">
        <v>6.1240546940513978</v>
      </c>
      <c r="G173">
        <f>400.000000038433*(-PI()/180)</f>
        <v>-6.9813170086480998</v>
      </c>
      <c r="H173">
        <f>64.9480000859193*(-PI()/180)</f>
        <v>-1.133556444084852</v>
      </c>
    </row>
    <row r="174" spans="1:8" x14ac:dyDescent="0.3">
      <c r="A174" s="1">
        <v>171</v>
      </c>
      <c r="B174" s="2">
        <v>2.1935200000002206</v>
      </c>
      <c r="C174">
        <f>(-152.723176673595*(-PI()/180))*-1</f>
        <v>-2.6655222770592339</v>
      </c>
      <c r="D174" s="3">
        <v>167.92921841626634</v>
      </c>
      <c r="E174">
        <v>5.0063489138486634</v>
      </c>
      <c r="F174">
        <v>6.1551156859598324</v>
      </c>
      <c r="G174">
        <f>399.999999935543*(-PI()/180)</f>
        <v>-6.9813170068523309</v>
      </c>
      <c r="H174">
        <f>77.4080001803121*(-PI()/180)</f>
        <v>-1.3510244705308105</v>
      </c>
    </row>
    <row r="175" spans="1:8" x14ac:dyDescent="0.3">
      <c r="A175" s="1">
        <v>172</v>
      </c>
      <c r="B175" s="2">
        <v>2.2000000000000011</v>
      </c>
      <c r="C175">
        <f>(-151.5059468073*(-PI()/180))*-1</f>
        <v>-2.644277608138776</v>
      </c>
      <c r="D175" s="3">
        <v>168.91488615057168</v>
      </c>
      <c r="E175">
        <v>5.0076998460923656</v>
      </c>
      <c r="F175">
        <v>6.1617623694877866</v>
      </c>
      <c r="G175">
        <f>400.000000000001*(-PI()/180)</f>
        <v>-6.9813170079773359</v>
      </c>
      <c r="H175">
        <f>80.0000000000003*(-PI()/180)</f>
        <v>-1.3962634015954689</v>
      </c>
    </row>
    <row r="176" spans="1:8" x14ac:dyDescent="0.3">
      <c r="A176" s="1">
        <v>173</v>
      </c>
      <c r="B176" s="2">
        <v>2.2066900000000449</v>
      </c>
      <c r="C176">
        <f>(-150.228934587634*(-PI()/180))*-1</f>
        <v>-2.6219895403174029</v>
      </c>
      <c r="D176" s="3">
        <v>169.92417166702035</v>
      </c>
      <c r="E176">
        <v>5.0090083664368708</v>
      </c>
      <c r="F176">
        <v>6.1686946261303088</v>
      </c>
      <c r="G176">
        <f>400.000000015675*(-PI()/180)</f>
        <v>-6.9813170082508993</v>
      </c>
      <c r="H176">
        <f>82.6760001199102*(-PI()/180)</f>
        <v>-1.4429684144716597</v>
      </c>
    </row>
    <row r="177" spans="1:8" x14ac:dyDescent="0.3">
      <c r="A177" s="1">
        <v>174</v>
      </c>
      <c r="B177" s="2">
        <v>2.2343500000002261</v>
      </c>
      <c r="C177">
        <f>(-144.994616671991*(-PI()/180))*-1</f>
        <v>-2.5306334585933059</v>
      </c>
      <c r="D177" s="3">
        <v>174.00716548524011</v>
      </c>
      <c r="E177">
        <v>5.0132186558884868</v>
      </c>
      <c r="F177">
        <v>6.198044325183135</v>
      </c>
      <c r="G177">
        <f>400.000000062921*(-PI()/180)</f>
        <v>-6.9813170090754966</v>
      </c>
      <c r="H177">
        <f>93.7399998038519*(-PI()/180)</f>
        <v>-1.6360716373960544</v>
      </c>
    </row>
    <row r="178" spans="1:8" x14ac:dyDescent="0.3">
      <c r="A178" s="1">
        <v>175</v>
      </c>
      <c r="B178" s="2">
        <v>2.2400000000000011</v>
      </c>
      <c r="C178">
        <f>(-143.922132534645*(-PI()/180))*-1</f>
        <v>-2.511915079221207</v>
      </c>
      <c r="D178" s="3">
        <v>174.82335013151692</v>
      </c>
      <c r="E178">
        <v>5.0137968313925159</v>
      </c>
      <c r="F178">
        <v>6.2041370430646516</v>
      </c>
      <c r="G178">
        <f>400.000000000001*(-PI()/180)</f>
        <v>-6.9813170079773359</v>
      </c>
      <c r="H178">
        <f>96.0000000000006*(-PI()/180)</f>
        <v>-1.6755160819145667</v>
      </c>
    </row>
    <row r="179" spans="1:8" x14ac:dyDescent="0.3">
      <c r="A179" s="1">
        <v>176</v>
      </c>
      <c r="B179" s="2">
        <v>2.2539500000000925</v>
      </c>
      <c r="C179">
        <f>(-141.282917189381*(-PI()/180))*-1</f>
        <v>-2.4658520817771916</v>
      </c>
      <c r="D179" s="3">
        <v>176.81265529019112</v>
      </c>
      <c r="E179">
        <v>5.0148480503329917</v>
      </c>
      <c r="F179">
        <v>6.2192954157760898</v>
      </c>
      <c r="G179">
        <f>400.000000091883*(-PI()/180)</f>
        <v>-6.9813170095809793</v>
      </c>
      <c r="H179">
        <f>101.580000061063*(-PI()/180)</f>
        <v>-1.7729054552415904</v>
      </c>
    </row>
    <row r="180" spans="1:8" x14ac:dyDescent="0.3">
      <c r="A180" s="1">
        <v>177</v>
      </c>
      <c r="B180" s="2">
        <v>2.2648900000001642</v>
      </c>
      <c r="C180">
        <f>(-139.200224220787*(-PI()/180))*-1</f>
        <v>-2.4295022321670912</v>
      </c>
      <c r="D180" s="3">
        <v>178.34695589804767</v>
      </c>
      <c r="E180">
        <v>5.0153549551840557</v>
      </c>
      <c r="F180">
        <v>6.2313255096322466</v>
      </c>
      <c r="G180">
        <f>399.999999976581*(-PI()/180)</f>
        <v>-6.9813170075685802</v>
      </c>
      <c r="H180">
        <f>105.955999789702*(-PI()/180)</f>
        <v>-1.8492810585727193</v>
      </c>
    </row>
    <row r="181" spans="1:8" x14ac:dyDescent="0.3">
      <c r="A181" s="1">
        <v>178</v>
      </c>
      <c r="B181" s="2">
        <v>2.2749100000002298</v>
      </c>
      <c r="C181">
        <f>(-137.317931242653*(-PI()/180))*-1</f>
        <v>-2.3966500222114835</v>
      </c>
      <c r="D181" s="3">
        <v>179.73234740854835</v>
      </c>
      <c r="E181">
        <v>5.01557754620843</v>
      </c>
      <c r="F181">
        <v>6.2424698723352128</v>
      </c>
      <c r="G181">
        <f>400.000000096415*(-PI()/180)</f>
        <v>-6.9813170096600778</v>
      </c>
      <c r="H181">
        <f>109.964000015328*(-PI()/180)</f>
        <v>-1.9192338589305686</v>
      </c>
    </row>
    <row r="182" spans="1:8" x14ac:dyDescent="0.3">
      <c r="A182" s="1">
        <v>179</v>
      </c>
      <c r="B182" s="2">
        <v>2.2800000000000011</v>
      </c>
      <c r="C182">
        <f>(-136.344368691587*(-PI()/180))*-1</f>
        <v>-2.3796581502212661</v>
      </c>
      <c r="D182" s="3">
        <v>-179.57117337518665</v>
      </c>
      <c r="E182">
        <v>5.0155885398655338</v>
      </c>
      <c r="F182">
        <v>6.2481765052524532</v>
      </c>
      <c r="G182">
        <f>400.000000000001*(-PI()/180)</f>
        <v>-6.9813170079773359</v>
      </c>
      <c r="H182">
        <f>112.000000000001*(-PI()/180)</f>
        <v>-1.9547687622336665</v>
      </c>
    </row>
    <row r="183" spans="1:8" x14ac:dyDescent="0.3">
      <c r="A183" s="1">
        <v>180</v>
      </c>
      <c r="B183" s="2">
        <v>2.3046500000001626</v>
      </c>
      <c r="C183">
        <f>(-131.684104472342*(-PI()/180))*-1</f>
        <v>-2.2983211955825582</v>
      </c>
      <c r="D183" s="3">
        <v>-176.26768689524766</v>
      </c>
      <c r="E183">
        <v>5.0145470434030193</v>
      </c>
      <c r="F183">
        <v>6.2761249355544315</v>
      </c>
      <c r="G183">
        <f>400.00000008367*(-PI()/180)</f>
        <v>-6.9813170094376353</v>
      </c>
      <c r="H183">
        <f>121.859999867048*(-PI()/180)</f>
        <v>-2.1268582241598399</v>
      </c>
    </row>
    <row r="184" spans="1:8" x14ac:dyDescent="0.3">
      <c r="A184" s="1">
        <v>181</v>
      </c>
      <c r="B184" s="2">
        <v>2.3155900000002343</v>
      </c>
      <c r="C184">
        <f>(-129.606183700927*(-PI()/180))*-1</f>
        <v>-2.2620546365257859</v>
      </c>
      <c r="D184" s="3">
        <v>-174.8384328319853</v>
      </c>
      <c r="E184">
        <v>5.0135456719504186</v>
      </c>
      <c r="F184">
        <v>6.2886163684162106</v>
      </c>
      <c r="G184">
        <f>399.999999958833*(-PI()/180)</f>
        <v>-6.9813170072588182</v>
      </c>
      <c r="H184">
        <f>126.235999974355*(-PI()/180)</f>
        <v>-2.2032338340999722</v>
      </c>
    </row>
    <row r="185" spans="1:8" x14ac:dyDescent="0.3">
      <c r="A185" s="1">
        <v>182</v>
      </c>
      <c r="B185" s="2">
        <v>2.3200000000000012</v>
      </c>
      <c r="C185">
        <f>(-128.769699357642*(-PI()/180))*-1</f>
        <v>-2.2474552305940803</v>
      </c>
      <c r="D185" s="3">
        <v>-174.26870205720644</v>
      </c>
      <c r="E185">
        <v>5.0130617481175754</v>
      </c>
      <c r="F185">
        <v>6.2936670311661462</v>
      </c>
      <c r="G185">
        <f>400.000000000001*(-PI()/180)</f>
        <v>-6.9813170079773359</v>
      </c>
      <c r="H185">
        <f>128.000000000001*(-PI()/180)</f>
        <v>-2.2340214425527591</v>
      </c>
    </row>
    <row r="186" spans="1:8" x14ac:dyDescent="0.3">
      <c r="A186" s="1">
        <v>183</v>
      </c>
      <c r="B186" s="2">
        <v>2.3343700000000953</v>
      </c>
      <c r="C186">
        <f>(-126.048254081025*(-PI()/180))*-1</f>
        <v>-2.1999570501042656</v>
      </c>
      <c r="D186" s="3">
        <v>-172.43775734428655</v>
      </c>
      <c r="E186">
        <v>5.0111623877067268</v>
      </c>
      <c r="F186">
        <v>6.3102253190563697</v>
      </c>
      <c r="G186">
        <f>399.999999898343*(-PI()/180)</f>
        <v>-6.9813170062030689</v>
      </c>
      <c r="H186">
        <f>133.747999957588*(-PI()/180)</f>
        <v>-2.3343429672171472</v>
      </c>
    </row>
    <row r="187" spans="1:8" x14ac:dyDescent="0.3">
      <c r="A187" s="1">
        <v>184</v>
      </c>
      <c r="B187" s="2">
        <v>2.3600000000000012</v>
      </c>
      <c r="C187">
        <f>(-121.210686575444*(-PI()/180))*-1</f>
        <v>-2.115525569344388</v>
      </c>
      <c r="D187" s="3">
        <v>-169.26918426512728</v>
      </c>
      <c r="E187">
        <v>5.0063448579889522</v>
      </c>
      <c r="F187">
        <v>6.3401440513929419</v>
      </c>
      <c r="G187">
        <f>400.000000000001*(-PI()/180)</f>
        <v>-6.9813170079773359</v>
      </c>
      <c r="H187">
        <f>144.000000000001*(-PI()/180)</f>
        <v>-2.5132741228718518</v>
      </c>
    </row>
    <row r="188" spans="1:8" x14ac:dyDescent="0.3">
      <c r="A188" s="1">
        <v>185</v>
      </c>
      <c r="B188" s="2">
        <v>2.3717100000000779</v>
      </c>
      <c r="C188">
        <f>(-118.991316222613*(-PI()/180))*-1</f>
        <v>-2.0767902493663386</v>
      </c>
      <c r="D188" s="3">
        <v>-167.86291778125138</v>
      </c>
      <c r="E188">
        <v>5.0035361799034703</v>
      </c>
      <c r="F188">
        <v>6.3538886444100688</v>
      </c>
      <c r="G188">
        <f>399.999999972274*(-PI()/180)</f>
        <v>-6.9813170074934083</v>
      </c>
      <c r="H188">
        <f>148.683999932724*(-PI()/180)</f>
        <v>-2.5950253438610611</v>
      </c>
    </row>
    <row r="189" spans="1:8" x14ac:dyDescent="0.3">
      <c r="A189" s="1">
        <v>186</v>
      </c>
      <c r="B189" s="2">
        <v>2.4000000000000012</v>
      </c>
      <c r="C189">
        <f>(-113.625800502608*(-PI()/180))*-1</f>
        <v>-1.9831443339847374</v>
      </c>
      <c r="D189" s="3">
        <v>-164.57269805248228</v>
      </c>
      <c r="E189">
        <v>4.9953945135607096</v>
      </c>
      <c r="F189">
        <v>6.3871669729179725</v>
      </c>
      <c r="G189">
        <f>400.000000000001*(-PI()/180)</f>
        <v>-6.9813170079773359</v>
      </c>
      <c r="H189">
        <f>160.000000000001*(-PI()/180)</f>
        <v>-2.7925268031909445</v>
      </c>
    </row>
    <row r="190" spans="1:8" x14ac:dyDescent="0.3">
      <c r="A190" s="1">
        <v>187</v>
      </c>
      <c r="B190" s="2">
        <v>2.4009800000000077</v>
      </c>
      <c r="C190">
        <f>(-113.436998014502*(-PI()/180))*-1</f>
        <v>-1.9798491089313301</v>
      </c>
      <c r="D190" s="3">
        <v>-164.46143833166695</v>
      </c>
      <c r="E190">
        <v>4.9950748746357503</v>
      </c>
      <c r="F190">
        <v>6.3883251295815189</v>
      </c>
      <c r="G190">
        <f>400.000000122101*(-PI()/180)</f>
        <v>-6.9813170101083832</v>
      </c>
      <c r="H190">
        <f>160.39199992878*(-PI()/180)</f>
        <v>-2.7993684926157214</v>
      </c>
    </row>
    <row r="191" spans="1:8" x14ac:dyDescent="0.3">
      <c r="A191" s="1">
        <v>188</v>
      </c>
      <c r="B191" s="2">
        <v>2.4346000000002279</v>
      </c>
      <c r="C191">
        <f>(-107.06986880216*(-PI()/180))*-1</f>
        <v>-1.8687217402760492</v>
      </c>
      <c r="D191" s="3">
        <v>-160.75461776039759</v>
      </c>
      <c r="E191">
        <v>4.9825213630562857</v>
      </c>
      <c r="F191">
        <v>6.4282214374701736</v>
      </c>
      <c r="G191">
        <f>399.99999989442*(-PI()/180)</f>
        <v>-6.9813170061345993</v>
      </c>
      <c r="H191">
        <f>173.839999967794*(-PI()/180)</f>
        <v>-3.0340803711048419</v>
      </c>
    </row>
    <row r="192" spans="1:8" x14ac:dyDescent="0.3">
      <c r="A192" s="1">
        <v>189</v>
      </c>
      <c r="B192" s="2">
        <v>2.4400000000000013</v>
      </c>
      <c r="C192">
        <f>(-106.045497801663*(-PI()/180))*-1</f>
        <v>-1.8508430935554281</v>
      </c>
      <c r="D192" s="3">
        <v>-160.17918956605811</v>
      </c>
      <c r="E192">
        <v>4.980252311913361</v>
      </c>
      <c r="F192">
        <v>6.434627130650969</v>
      </c>
      <c r="G192">
        <f>400.000000000001*(-PI()/180)</f>
        <v>-6.9813170079773359</v>
      </c>
      <c r="H192">
        <f>176.000000000001*(-PI()/180)</f>
        <v>-3.0717794835100372</v>
      </c>
    </row>
    <row r="193" spans="1:8" x14ac:dyDescent="0.3">
      <c r="A193" s="1">
        <v>190</v>
      </c>
      <c r="B193" s="2">
        <v>2.4635600000001556</v>
      </c>
      <c r="C193">
        <f>(-101.586527554158*(-PI()/180))*-1</f>
        <v>-1.7730193814879993</v>
      </c>
      <c r="D193" s="3">
        <v>-157.73321507349115</v>
      </c>
      <c r="E193">
        <v>4.9695385132729983</v>
      </c>
      <c r="F193">
        <v>6.4625320041037666</v>
      </c>
      <c r="G193">
        <f>400.000000022465*(-PI()/180)</f>
        <v>-6.9813170083694063</v>
      </c>
      <c r="H193">
        <f>185.423999870711*(-PI()/180)</f>
        <v>-3.2362593099614467</v>
      </c>
    </row>
    <row r="194" spans="1:8" x14ac:dyDescent="0.3">
      <c r="A194" s="1">
        <v>191</v>
      </c>
      <c r="B194" s="2">
        <v>2.4800000000000013</v>
      </c>
      <c r="C194">
        <f>(-98.4799748036393*(-PI()/180))*-1</f>
        <v>-1.7187998076045619</v>
      </c>
      <c r="D194" s="3">
        <v>-156.08868614220225</v>
      </c>
      <c r="E194">
        <v>4.9611959430206118</v>
      </c>
      <c r="F194">
        <v>6.4820321480938965</v>
      </c>
      <c r="G194">
        <f>400.000000000001*(-PI()/180)</f>
        <v>-6.9813170079773359</v>
      </c>
      <c r="H194">
        <f>192.000000000001*(-PI()/180)</f>
        <v>-3.3510321638291303</v>
      </c>
    </row>
    <row r="195" spans="1:8" x14ac:dyDescent="0.3">
      <c r="A195" s="1">
        <v>192</v>
      </c>
      <c r="B195" s="2">
        <v>2.5200000000000014</v>
      </c>
      <c r="C195">
        <f>(-91.4027524535678*(-PI()/180))*-1</f>
        <v>-1.5952789757000836</v>
      </c>
      <c r="D195" s="3">
        <v>-152.26630249963443</v>
      </c>
      <c r="E195">
        <v>4.9385669036150119</v>
      </c>
      <c r="F195">
        <v>6.5288817956600287</v>
      </c>
      <c r="G195">
        <f>380*(-PI()/180)</f>
        <v>-6.6322511575784526</v>
      </c>
      <c r="H195">
        <f>175.999999999999*(-PI()/180)</f>
        <v>-3.0717794835100025</v>
      </c>
    </row>
    <row r="196" spans="1:8" x14ac:dyDescent="0.3">
      <c r="A196" s="1">
        <v>193</v>
      </c>
      <c r="B196" s="2">
        <v>2.5208500000000069</v>
      </c>
      <c r="C196">
        <f>(-90.934807496531*(-PI()/180))*-1</f>
        <v>-1.5871117954816878</v>
      </c>
      <c r="D196" s="3">
        <v>-152.18881133750824</v>
      </c>
      <c r="E196">
        <v>4.9380707668302417</v>
      </c>
      <c r="F196">
        <v>6.529829958560045</v>
      </c>
      <c r="G196">
        <f>379.150000260223*(-PI()/180)</f>
        <v>-6.6174158634782492</v>
      </c>
      <c r="H196">
        <f>174.980000052025*(-PI()/180)</f>
        <v>-3.0539771260476853</v>
      </c>
    </row>
    <row r="197" spans="1:8" x14ac:dyDescent="0.3">
      <c r="A197" s="1">
        <v>194</v>
      </c>
      <c r="B197" s="2">
        <v>2.5381500000001203</v>
      </c>
      <c r="C197">
        <f>(-85.2740232441625*(-PI()/180))*-1</f>
        <v>-1.4883124720328123</v>
      </c>
      <c r="D197" s="3">
        <v>-150.6774648075336</v>
      </c>
      <c r="E197">
        <v>4.9281785461811056</v>
      </c>
      <c r="F197">
        <v>6.5485665310582286</v>
      </c>
      <c r="G197">
        <f>361.849999742001*(-PI()/180)</f>
        <v>-6.3154738938385488</v>
      </c>
      <c r="H197">
        <f>154.219999993597*(-PI()/180)</f>
        <v>-2.6916467723139017</v>
      </c>
    </row>
    <row r="198" spans="1:8" x14ac:dyDescent="0.3">
      <c r="A198" s="1">
        <v>195</v>
      </c>
      <c r="B198" s="2">
        <v>2.5524800000002141</v>
      </c>
      <c r="C198">
        <f>(-84.1584878773949*(-PI()/180))*-1</f>
        <v>-1.468842706960275</v>
      </c>
      <c r="D198" s="3">
        <v>-149.4631440785268</v>
      </c>
      <c r="E198">
        <v>4.9202537387443641</v>
      </c>
      <c r="F198">
        <v>6.5633372037473245</v>
      </c>
      <c r="G198">
        <f>347.520000005621*(-PI()/180)</f>
        <v>-6.0653682166287988</v>
      </c>
      <c r="H198">
        <f>137.024000030488*(-PI()/180)</f>
        <v>-2.391519954784826</v>
      </c>
    </row>
    <row r="199" spans="1:8" x14ac:dyDescent="0.3">
      <c r="A199" s="1">
        <v>196</v>
      </c>
      <c r="B199" s="2">
        <v>2.5600000000000014</v>
      </c>
      <c r="C199">
        <f>(-81.1638856738899*(-PI()/180))*-1</f>
        <v>-1.4165770387216352</v>
      </c>
      <c r="D199" s="3">
        <v>-148.84049370019099</v>
      </c>
      <c r="E199">
        <v>4.9160902682062426</v>
      </c>
      <c r="F199">
        <v>6.5707406538323676</v>
      </c>
      <c r="G199">
        <f>340*(-PI()/180)</f>
        <v>-5.9341194567807207</v>
      </c>
      <c r="H199">
        <f>128*(-PI()/180)</f>
        <v>-2.2340214425527418</v>
      </c>
    </row>
    <row r="200" spans="1:8" x14ac:dyDescent="0.3">
      <c r="A200" s="1">
        <v>197</v>
      </c>
      <c r="B200" s="2">
        <v>2.5701300000000677</v>
      </c>
      <c r="C200">
        <f>(-77.2991636627477*(-PI()/180))*-1</f>
        <v>-1.349124914952907</v>
      </c>
      <c r="D200" s="3">
        <v>-148.0396952878032</v>
      </c>
      <c r="E200">
        <v>4.9103726318787242</v>
      </c>
      <c r="F200">
        <v>6.5803893951643007</v>
      </c>
      <c r="G200">
        <f>329.870000152213*(-PI()/180)</f>
        <v>-5.7573176062103126</v>
      </c>
      <c r="H200">
        <f>115.844000184978*(-PI()/180)</f>
        <v>-2.0218592219087861</v>
      </c>
    </row>
    <row r="201" spans="1:8" x14ac:dyDescent="0.3">
      <c r="A201" s="1">
        <v>198</v>
      </c>
      <c r="B201" s="2">
        <v>2.5897500000001963</v>
      </c>
      <c r="C201">
        <f>(-74.9986111200809*(-PI()/180))*-1</f>
        <v>-1.3089726984682439</v>
      </c>
      <c r="D201" s="3">
        <v>-146.55448682142946</v>
      </c>
      <c r="E201">
        <v>4.8993992024424715</v>
      </c>
      <c r="F201">
        <v>6.5982487407927186</v>
      </c>
      <c r="G201">
        <f>310.249999999342*(-PI()/180)</f>
        <v>-5.414884004300923</v>
      </c>
      <c r="H201">
        <f>92.299999801094*(-PI()/180)</f>
        <v>-1.6109388961192017</v>
      </c>
    </row>
    <row r="202" spans="1:8" x14ac:dyDescent="0.3">
      <c r="A202" s="1">
        <v>199</v>
      </c>
      <c r="B202" s="2">
        <v>2.6000000000000014</v>
      </c>
      <c r="C202">
        <f>(-71.9868589735186*(-PI()/180))*-1</f>
        <v>-1.256407707256725</v>
      </c>
      <c r="D202" s="3">
        <v>-145.7978658546221</v>
      </c>
      <c r="E202">
        <v>4.8940487915879993</v>
      </c>
      <c r="F202">
        <v>6.6069284923598328</v>
      </c>
      <c r="G202">
        <f>300*(-PI()/180)</f>
        <v>-5.2359877559829888</v>
      </c>
      <c r="H202">
        <f>80.0000000000001*(-PI()/180)</f>
        <v>-1.3962634015954654</v>
      </c>
    </row>
    <row r="203" spans="1:8" x14ac:dyDescent="0.3">
      <c r="A203" s="1">
        <v>200</v>
      </c>
      <c r="B203" s="2">
        <v>2.6089800000000603</v>
      </c>
      <c r="C203">
        <f>(-68.8577739636921*(-PI()/180))*-1</f>
        <v>-1.2017948712604534</v>
      </c>
      <c r="D203" s="3">
        <v>-145.16638218975726</v>
      </c>
      <c r="E203">
        <v>4.8894026225424287</v>
      </c>
      <c r="F203">
        <v>6.6142478477827291</v>
      </c>
      <c r="G203">
        <f>291.020000052095*(-PI()/180)</f>
        <v>-5.0792571900631271</v>
      </c>
      <c r="H203">
        <f>69.2239999128182*(-PI()/180)</f>
        <v>-1.2081867198789453</v>
      </c>
    </row>
    <row r="204" spans="1:8" x14ac:dyDescent="0.3">
      <c r="A204" s="1">
        <v>201</v>
      </c>
      <c r="B204" s="2">
        <v>2.6279600000001846</v>
      </c>
      <c r="C204">
        <f>(-65.4569612692233*(-PI()/180))*-1</f>
        <v>-1.142439492498353</v>
      </c>
      <c r="D204" s="3">
        <v>-143.90439198361295</v>
      </c>
      <c r="E204">
        <v>4.8794327142269829</v>
      </c>
      <c r="F204">
        <v>6.6289397804304047</v>
      </c>
      <c r="G204">
        <f>272.039999993656*(-PI()/180)</f>
        <v>-4.7479936970146506</v>
      </c>
      <c r="H204">
        <f>46.4479999611927*(-PI()/180)</f>
        <v>-0.81067053028901104</v>
      </c>
    </row>
    <row r="205" spans="1:8" x14ac:dyDescent="0.3">
      <c r="A205" s="1">
        <v>202</v>
      </c>
      <c r="B205" s="2">
        <v>2.6400000000000015</v>
      </c>
      <c r="C205">
        <f>(-63.6625124575425*(-PI()/180))*-1</f>
        <v>-1.1111204524760234</v>
      </c>
      <c r="D205" s="3">
        <v>-143.12324267316504</v>
      </c>
      <c r="E205">
        <v>4.8733951610288377</v>
      </c>
      <c r="F205">
        <v>6.6374812830473449</v>
      </c>
      <c r="G205">
        <f>260*(-PI()/180)</f>
        <v>-4.5378560551852569</v>
      </c>
      <c r="H205">
        <f>31.9999999999998*(-PI()/180)</f>
        <v>-0.55850536063818201</v>
      </c>
    </row>
    <row r="206" spans="1:8" x14ac:dyDescent="0.3">
      <c r="A206" s="1">
        <v>203</v>
      </c>
      <c r="B206" s="2">
        <v>2.6462300000000423</v>
      </c>
      <c r="C206">
        <f>(-62.1346788697159*(-PI()/180))*-1</f>
        <v>-1.0844547259458912</v>
      </c>
      <c r="D206" s="3">
        <v>-142.73148500071821</v>
      </c>
      <c r="E206">
        <v>4.8703535115171963</v>
      </c>
      <c r="F206">
        <v>6.6417502969639166</v>
      </c>
      <c r="G206">
        <f>253.770000016699*(-PI()/180)</f>
        <v>-4.429122043077462</v>
      </c>
      <c r="H206">
        <f>24.5239999697603*(-PI()/180)</f>
        <v>-0.42802454523130706</v>
      </c>
    </row>
    <row r="207" spans="1:8" x14ac:dyDescent="0.3">
      <c r="A207" s="1">
        <v>204</v>
      </c>
      <c r="B207" s="2">
        <v>2.6638600000001578</v>
      </c>
      <c r="C207">
        <f>(-58.3180630448502*(-PI()/180))*-1</f>
        <v>-1.0178422135182654</v>
      </c>
      <c r="D207" s="3">
        <v>-141.67395070576217</v>
      </c>
      <c r="E207">
        <v>4.8619608909641618</v>
      </c>
      <c r="F207">
        <v>6.6532712909007401</v>
      </c>
      <c r="G207">
        <f>236.140000045435*(-PI()/180)</f>
        <v>-4.1214204964523997</v>
      </c>
      <c r="H207">
        <f>3.36800008244187*(-PI()/180)</f>
        <v>-5.8782690646051093E-2</v>
      </c>
    </row>
    <row r="208" spans="1:8" x14ac:dyDescent="0.3">
      <c r="A208" s="1">
        <v>205</v>
      </c>
      <c r="B208" s="2">
        <v>2.6800000000000015</v>
      </c>
      <c r="C208">
        <f>(-54.2197940270751*(-PI()/180))*-1</f>
        <v>-0.94631392552561611</v>
      </c>
      <c r="D208" s="3">
        <v>-140.76214286927956</v>
      </c>
      <c r="E208">
        <v>4.8546953967739368</v>
      </c>
      <c r="F208">
        <v>6.6626648271986282</v>
      </c>
      <c r="G208">
        <f>220*(-PI()/180)</f>
        <v>-3.839724354387525</v>
      </c>
      <c r="H208">
        <f>-16.0000000000007*(-PI()/180)</f>
        <v>0.27925268031910494</v>
      </c>
    </row>
    <row r="209" spans="1:8" x14ac:dyDescent="0.3">
      <c r="A209" s="1">
        <v>206</v>
      </c>
      <c r="B209" s="2">
        <v>2.6819700000000144</v>
      </c>
      <c r="C209">
        <f>(-53.7243112256417*(-PI()/180))*-1</f>
        <v>-0.93766611925359789</v>
      </c>
      <c r="D209" s="3">
        <v>-140.65582250836638</v>
      </c>
      <c r="E209">
        <v>4.8538158567616341</v>
      </c>
      <c r="F209">
        <v>6.6637614163420906</v>
      </c>
      <c r="G209">
        <f>218.030000078277*(-PI()/180)</f>
        <v>-3.8053413694894282</v>
      </c>
      <c r="H209">
        <f>-18.3639999394334*(-PI()/180)</f>
        <v>0.32051226277915207</v>
      </c>
    </row>
    <row r="210" spans="1:8" x14ac:dyDescent="0.3">
      <c r="A210" s="1">
        <v>207</v>
      </c>
      <c r="B210" s="2">
        <v>2.7002600000001342</v>
      </c>
      <c r="C210">
        <f>(-51.0001004262081*(-PI()/180))*-1</f>
        <v>-0.89011967128509473</v>
      </c>
      <c r="D210" s="3">
        <v>-139.70386569578275</v>
      </c>
      <c r="E210">
        <v>4.845857648375854</v>
      </c>
      <c r="F210">
        <v>6.6734673798318713</v>
      </c>
      <c r="G210">
        <f>199.74000002247*(-PI()/180)</f>
        <v>-3.4861206483256497</v>
      </c>
      <c r="H210">
        <f>-40.3119997635408*(-PI()/180)</f>
        <v>0.70357712393696248</v>
      </c>
    </row>
    <row r="211" spans="1:8" x14ac:dyDescent="0.3">
      <c r="A211" s="1">
        <v>208</v>
      </c>
      <c r="B211" s="2">
        <v>2.7187400000002553</v>
      </c>
      <c r="C211">
        <f>(-46.0536351925857*(-PI()/180))*-1</f>
        <v>-0.80378756662295336</v>
      </c>
      <c r="D211" s="3">
        <v>-138.79982529955046</v>
      </c>
      <c r="E211">
        <v>4.8386988487915152</v>
      </c>
      <c r="F211">
        <v>6.6820221919219849</v>
      </c>
      <c r="G211">
        <f>181.260000005495*(-PI()/180)</f>
        <v>-3.1635838022608271</v>
      </c>
      <c r="H211">
        <f>-62.4879999502582*(-PI()/180)</f>
        <v>1.0906213421180584</v>
      </c>
    </row>
    <row r="212" spans="1:8" x14ac:dyDescent="0.3">
      <c r="A212" s="1">
        <v>209</v>
      </c>
      <c r="B212" s="2">
        <v>2.7200000000000015</v>
      </c>
      <c r="C212">
        <f>(-45.6781716480659*(-PI()/180))*-1</f>
        <v>-0.79723449154987447</v>
      </c>
      <c r="D212" s="3">
        <v>-138.74203432698141</v>
      </c>
      <c r="E212">
        <v>4.8382237889205122</v>
      </c>
      <c r="F212">
        <v>6.6825731220982538</v>
      </c>
      <c r="G212">
        <f>179.999999999999*(-PI()/180)</f>
        <v>-3.1415926535897758</v>
      </c>
      <c r="H212">
        <f>-64.0000000000015*(-PI()/180)</f>
        <v>1.1170107212763971</v>
      </c>
    </row>
    <row r="213" spans="1:8" x14ac:dyDescent="0.3">
      <c r="A213" s="1">
        <v>210</v>
      </c>
      <c r="B213" s="2">
        <v>2.7365400000001099</v>
      </c>
      <c r="C213">
        <f>(-43.2639306062176*(-PI()/180))*-1</f>
        <v>-0.75509803643284346</v>
      </c>
      <c r="D213" s="3">
        <v>-138.01546569437519</v>
      </c>
      <c r="E213">
        <v>4.8321376000363685</v>
      </c>
      <c r="F213">
        <v>6.6893964632718452</v>
      </c>
      <c r="G213">
        <f>163.460000001183*(-PI()/180)</f>
        <v>-2.8529151953305782</v>
      </c>
      <c r="H213">
        <f>-83.8480000206575*(-PI()/180)</f>
        <v>1.4634236715727467</v>
      </c>
    </row>
    <row r="214" spans="1:8" x14ac:dyDescent="0.3">
      <c r="A214" s="1">
        <v>211</v>
      </c>
      <c r="B214" s="2">
        <v>2.7538700000002234</v>
      </c>
      <c r="C214">
        <f>(-40.8561980966726*(-PI()/180))*-1</f>
        <v>-0.71307517663397735</v>
      </c>
      <c r="D214" s="3">
        <v>-137.28014254059099</v>
      </c>
      <c r="E214">
        <v>4.8264999059155409</v>
      </c>
      <c r="F214">
        <v>6.6955664777431023</v>
      </c>
      <c r="G214">
        <f>146.130000007108*(-PI()/180)</f>
        <v>-2.5504496360633717</v>
      </c>
      <c r="H214">
        <f>-104.643999979366*(-PI()/180)</f>
        <v>1.826382342096815</v>
      </c>
    </row>
    <row r="215" spans="1:8" x14ac:dyDescent="0.3">
      <c r="A215" s="1">
        <v>212</v>
      </c>
      <c r="B215" s="2">
        <v>2.7600000000000016</v>
      </c>
      <c r="C215">
        <f>(-39.1994134245361*(-PI()/180))*-1</f>
        <v>-0.68415882910862069</v>
      </c>
      <c r="D215" s="3">
        <v>-137.03454416265438</v>
      </c>
      <c r="E215">
        <v>4.8246439812586281</v>
      </c>
      <c r="F215">
        <v>6.6975918009441227</v>
      </c>
      <c r="G215">
        <f>139.999999999999*(-PI()/180)</f>
        <v>-2.4434609527920439</v>
      </c>
      <c r="H215">
        <f>-112.000000000002*(-PI()/180)</f>
        <v>1.954768762233684</v>
      </c>
    </row>
    <row r="216" spans="1:8" x14ac:dyDescent="0.3">
      <c r="A216" s="1">
        <v>213</v>
      </c>
      <c r="B216" s="2">
        <v>2.7715000000000769</v>
      </c>
      <c r="C216">
        <f>(-35.9525655667935*(-PI()/180))*-1</f>
        <v>-0.62749064367968788</v>
      </c>
      <c r="D216" s="3">
        <v>-136.60380579488947</v>
      </c>
      <c r="E216">
        <v>4.8213857232130097</v>
      </c>
      <c r="F216">
        <v>6.7011166689664048</v>
      </c>
      <c r="G216">
        <f>128.499999945782*(-PI()/180)</f>
        <v>-2.2427480878664312</v>
      </c>
      <c r="H216">
        <f>-125.800000000133*(-PI()/180)</f>
        <v>2.195624199011188</v>
      </c>
    </row>
    <row r="217" spans="1:8" x14ac:dyDescent="0.3">
      <c r="A217" s="1">
        <v>214</v>
      </c>
      <c r="B217" s="2">
        <v>2.7898700000001972</v>
      </c>
      <c r="C217">
        <f>(-33.5395512414869*(-PI()/180))*-1</f>
        <v>-0.5853755988052981</v>
      </c>
      <c r="D217" s="3">
        <v>-135.96882415842359</v>
      </c>
      <c r="E217">
        <v>4.8168995887461081</v>
      </c>
      <c r="F217">
        <v>6.7058333397049763</v>
      </c>
      <c r="G217">
        <f>110.129999977572*(-PI()/180)</f>
        <v>-1.9221311048299126</v>
      </c>
      <c r="H217">
        <f>-147.843999982701*(-PI()/180)</f>
        <v>2.5803645790165723</v>
      </c>
    </row>
    <row r="218" spans="1:8" x14ac:dyDescent="0.3">
      <c r="A218" s="1">
        <v>215</v>
      </c>
      <c r="B218" s="2">
        <v>2.8000000000000016</v>
      </c>
      <c r="C218">
        <f>(-31.9857843627789*(-PI()/180))*-1</f>
        <v>-0.55825725096340817</v>
      </c>
      <c r="D218" s="3">
        <v>-135.63624489333677</v>
      </c>
      <c r="E218">
        <v>4.8146308858952116</v>
      </c>
      <c r="F218">
        <v>6.7081179449143171</v>
      </c>
      <c r="G218">
        <f>99.999999999998*(-PI()/180)</f>
        <v>-1.7453292519942947</v>
      </c>
      <c r="H218">
        <f>-160.000000000003*(-PI()/180)</f>
        <v>2.79252680319098</v>
      </c>
    </row>
    <row r="219" spans="1:8" x14ac:dyDescent="0.3">
      <c r="A219" s="1">
        <v>216</v>
      </c>
      <c r="B219" s="2">
        <v>2.808450000000057</v>
      </c>
      <c r="C219">
        <f>(-29.651295747435*(-PI()/180))*-1</f>
        <v>-0.51751273827533373</v>
      </c>
      <c r="D219" s="3">
        <v>-135.37544825444806</v>
      </c>
      <c r="E219">
        <v>4.8129186948969576</v>
      </c>
      <c r="F219">
        <v>6.7098239037124214</v>
      </c>
      <c r="G219">
        <f>91.5500000202678*(-PI()/180)</f>
        <v>-1.5978489305545487</v>
      </c>
      <c r="H219">
        <f>-170.140000157041*(-PI()/180)</f>
        <v>2.9695031920840345</v>
      </c>
    </row>
    <row r="220" spans="1:8" x14ac:dyDescent="0.3">
      <c r="A220" s="1">
        <v>217</v>
      </c>
      <c r="B220" s="2">
        <v>2.8266500000001762</v>
      </c>
      <c r="C220">
        <f>(-25.0174657613567*(-PI()/180))*-1</f>
        <v>-0.43663714804062437</v>
      </c>
      <c r="D220" s="3">
        <v>-134.88276830313109</v>
      </c>
      <c r="E220">
        <v>4.8099941699252469</v>
      </c>
      <c r="F220">
        <v>6.7127914639145096</v>
      </c>
      <c r="G220">
        <f>73.350000106664*(-PI()/180)</f>
        <v>-1.2801990081994787</v>
      </c>
      <c r="H220">
        <f>-191.979999947444*(-PI()/180)</f>
        <v>3.350683097061439</v>
      </c>
    </row>
    <row r="221" spans="1:8" x14ac:dyDescent="0.3">
      <c r="A221" s="1">
        <v>218</v>
      </c>
      <c r="B221" s="2">
        <v>2.8400000000000016</v>
      </c>
      <c r="C221">
        <f>(-22.5620010064821*(-PI()/180))*-1</f>
        <v>-0.39378120340138711</v>
      </c>
      <c r="D221" s="3">
        <v>-134.56425141080905</v>
      </c>
      <c r="E221">
        <v>4.8082774721107882</v>
      </c>
      <c r="F221">
        <v>6.7145306394904054</v>
      </c>
      <c r="G221">
        <f>59.9999999999974*(-PI()/180)</f>
        <v>-1.0471975511965523</v>
      </c>
      <c r="H221">
        <f>-208.000000000004*(-PI()/180)</f>
        <v>3.6302848441482753</v>
      </c>
    </row>
    <row r="222" spans="1:8" x14ac:dyDescent="0.3">
      <c r="A222" s="1">
        <v>219</v>
      </c>
      <c r="B222" s="2">
        <v>2.8437300000000261</v>
      </c>
      <c r="C222">
        <f>(-21.6579287668723*(-PI()/180))*-1</f>
        <v>-0.37800216614431703</v>
      </c>
      <c r="D222" s="3">
        <v>-134.48169374506716</v>
      </c>
      <c r="E222">
        <v>4.8078654898671989</v>
      </c>
      <c r="F222">
        <v>6.7149363456461035</v>
      </c>
      <c r="G222">
        <f>56.2700000016113*(-PI()/180)</f>
        <v>-0.9820967701253317</v>
      </c>
      <c r="H222">
        <f>-212.476000013135*(-PI()/180)</f>
        <v>3.7084057816967206</v>
      </c>
    </row>
    <row r="223" spans="1:8" x14ac:dyDescent="0.3">
      <c r="A223" s="1">
        <v>220</v>
      </c>
      <c r="B223" s="2">
        <v>2.8609000000001386</v>
      </c>
      <c r="C223">
        <f>(-16.9893037464625*(-PI()/180))*-1</f>
        <v>-0.29651928799717858</v>
      </c>
      <c r="D223" s="3">
        <v>-134.15025011867081</v>
      </c>
      <c r="E223">
        <v>4.8063887272487653</v>
      </c>
      <c r="F223">
        <v>6.7163350347368018</v>
      </c>
      <c r="G223">
        <f>39.0999998344126*(-PI()/180)</f>
        <v>-0.68242373463973749</v>
      </c>
      <c r="H223">
        <f>-233.08000003601*(-PI()/180)</f>
        <v>4.0680134211768761</v>
      </c>
    </row>
    <row r="224" spans="1:8" x14ac:dyDescent="0.3">
      <c r="A224" s="1">
        <v>221</v>
      </c>
      <c r="B224" s="2">
        <v>2.8780800000002511</v>
      </c>
      <c r="C224">
        <f>(-11.07117945756*(-PI()/180))*-1</f>
        <v>-0.1932285336135818</v>
      </c>
      <c r="D224" s="3">
        <v>-133.90498786553914</v>
      </c>
      <c r="E224">
        <v>4.8055015221690418</v>
      </c>
      <c r="F224">
        <v>6.7171494548774451</v>
      </c>
      <c r="G224">
        <f>21.9200000004498*(-PI()/180)</f>
        <v>-0.38257617204500755</v>
      </c>
      <c r="H224">
        <f>-253.695999988253*(-PI()/180)</f>
        <v>4.4278304989345108</v>
      </c>
    </row>
    <row r="225" spans="1:8" x14ac:dyDescent="0.3">
      <c r="A225" s="1">
        <v>222</v>
      </c>
      <c r="B225" s="2">
        <v>2.8800000000000017</v>
      </c>
      <c r="C225">
        <f>(-10.2970032215219*(-PI()/180))*-1</f>
        <v>-0.1797166093040202</v>
      </c>
      <c r="D225" s="3">
        <v>-133.88448487246632</v>
      </c>
      <c r="E225">
        <v>4.8054498579815608</v>
      </c>
      <c r="F225">
        <v>6.7172011755530088</v>
      </c>
      <c r="G225">
        <f>19.9999999999971*(-PI()/180)</f>
        <v>-0.34906585039881532</v>
      </c>
      <c r="H225">
        <f>-256.000000000004*(-PI()/180)</f>
        <v>4.4680428851055529</v>
      </c>
    </row>
    <row r="226" spans="1:8" x14ac:dyDescent="0.3">
      <c r="A226" s="1">
        <v>223</v>
      </c>
      <c r="B226" s="2">
        <v>2.8969400000001126</v>
      </c>
      <c r="C226">
        <f>(-4.93308337469971*(-PI()/180))*-1</f>
        <v>-8.6098547163903083E-2</v>
      </c>
      <c r="D226" s="3">
        <v>-133.75793290461206</v>
      </c>
      <c r="E226">
        <v>4.8053701412041621</v>
      </c>
      <c r="F226">
        <v>6.7173458819259952</v>
      </c>
      <c r="G226">
        <f>3.0599999715574*(-PI()/180)</f>
        <v>-5.3407074614609459E-2</v>
      </c>
      <c r="H226">
        <f>-276.327999988276*(-PI()/180)</f>
        <v>4.8228334152462686</v>
      </c>
    </row>
    <row r="227" spans="1:8" x14ac:dyDescent="0.3">
      <c r="A227" s="1">
        <v>224</v>
      </c>
      <c r="B227" s="2">
        <v>2.912720000000216</v>
      </c>
      <c r="C227">
        <f>(0.0212639552775277*(-PI()/180))*-1</f>
        <v>3.7112603158968296E-4</v>
      </c>
      <c r="D227" s="3">
        <v>-133.72365486488698</v>
      </c>
      <c r="E227">
        <v>4.8056671536451576</v>
      </c>
      <c r="F227">
        <v>6.7170687459275795</v>
      </c>
      <c r="G227">
        <f>-12.7200001271921*(-PI()/180)</f>
        <v>0.22200588307359964</v>
      </c>
      <c r="H227">
        <f>-295.263999958446*(-PI()/180)</f>
        <v>5.1533289618832834</v>
      </c>
    </row>
    <row r="228" spans="1:8" x14ac:dyDescent="0.3">
      <c r="A228" s="1">
        <v>225</v>
      </c>
      <c r="B228" s="2">
        <v>2.9200000000000017</v>
      </c>
      <c r="C228">
        <f>(0.275080152196356*(-PI()/180))*-1</f>
        <v>4.8010543627135232E-3</v>
      </c>
      <c r="D228" s="3">
        <v>-133.72496812022123</v>
      </c>
      <c r="E228">
        <v>4.8059239193706214</v>
      </c>
      <c r="F228">
        <v>6.7168023319532697</v>
      </c>
      <c r="G228">
        <f>-20.0000000000029*(-PI()/180)</f>
        <v>0.34906585039891652</v>
      </c>
      <c r="H228">
        <f>-304.000000000004*(-PI()/180)</f>
        <v>5.3058009260628314</v>
      </c>
    </row>
    <row r="229" spans="1:8" x14ac:dyDescent="0.3">
      <c r="A229" s="1">
        <v>226</v>
      </c>
      <c r="B229" s="2">
        <v>2.9276600000000519</v>
      </c>
      <c r="C229">
        <f>(0.347707143064861*(-PI()/180))*-1</f>
        <v>6.0686344791847915E-3</v>
      </c>
      <c r="D229" s="3">
        <v>-133.72739847229684</v>
      </c>
      <c r="E229">
        <v>4.8062820754708779</v>
      </c>
      <c r="F229">
        <v>6.7164360785848869</v>
      </c>
      <c r="G229">
        <f>-27.6599999388069*(-PI()/180)</f>
        <v>0.48275807003361049</v>
      </c>
      <c r="H229">
        <f>-313.19200001373*(-PI()/180)</f>
        <v>5.4662315911457151</v>
      </c>
    </row>
    <row r="230" spans="1:8" x14ac:dyDescent="0.3">
      <c r="A230" s="1">
        <v>227</v>
      </c>
      <c r="B230" s="2">
        <v>2.9419500000001455</v>
      </c>
      <c r="C230">
        <f>(0.449442432855623*(-PI()/180))*-1</f>
        <v>7.8442502515041618E-3</v>
      </c>
      <c r="D230" s="3">
        <v>-133.73303075038618</v>
      </c>
      <c r="E230">
        <v>4.8071740245585763</v>
      </c>
      <c r="F230">
        <v>6.7155459439028711</v>
      </c>
      <c r="G230">
        <f>-41.9500000787375*(-PI()/180)</f>
        <v>0.73216562258584994</v>
      </c>
      <c r="H230">
        <f>-330.33999994315*(-PI()/180)</f>
        <v>5.7655206500458487</v>
      </c>
    </row>
    <row r="231" spans="1:8" x14ac:dyDescent="0.3">
      <c r="A231" s="1">
        <v>228</v>
      </c>
      <c r="B231" s="2">
        <v>2.9554700000002341</v>
      </c>
      <c r="C231">
        <f>(0.649085296854098*(-PI()/180))*-1</f>
        <v>1.1328675556388801E-2</v>
      </c>
      <c r="D231" s="3">
        <v>-133.74033238340107</v>
      </c>
      <c r="E231">
        <v>4.8082740881802817</v>
      </c>
      <c r="F231">
        <v>6.7144725345246021</v>
      </c>
      <c r="G231">
        <f>-55.4699999887833*(-PI()/180)</f>
        <v>0.96813413588548625</v>
      </c>
      <c r="H231">
        <f>-346.564000049164*(-PI()/180)</f>
        <v>6.0486828697397019</v>
      </c>
    </row>
    <row r="232" spans="1:8" x14ac:dyDescent="0.3">
      <c r="A232" s="1">
        <v>229</v>
      </c>
      <c r="B232" s="2">
        <v>2.9600000000000017</v>
      </c>
      <c r="C232">
        <f>(0.74219585219324*(-PI()/180))*-1</f>
        <v>1.2953761315417216E-2</v>
      </c>
      <c r="D232" s="3">
        <v>-133.74348500609469</v>
      </c>
      <c r="E232">
        <v>4.8087060580219889</v>
      </c>
      <c r="F232">
        <v>6.7140512708915487</v>
      </c>
      <c r="G232">
        <f>-60.0000000000026*(-PI()/180)</f>
        <v>1.0471975511966432</v>
      </c>
      <c r="H232">
        <f>-352.000000000004*(-PI()/180)</f>
        <v>6.1435589670201098</v>
      </c>
    </row>
    <row r="233" spans="1:8" x14ac:dyDescent="0.3">
      <c r="A233" s="1">
        <v>230</v>
      </c>
      <c r="B233" s="2">
        <v>2.969050000000061</v>
      </c>
      <c r="C233">
        <f>(0.881116804461807*(-PI()/180))*-1</f>
        <v>1.5378389332509595E-2</v>
      </c>
      <c r="D233" s="3">
        <v>-133.75099444208655</v>
      </c>
      <c r="E233">
        <v>4.8096619455745948</v>
      </c>
      <c r="F233">
        <v>6.7131120043980328</v>
      </c>
      <c r="G233">
        <f>-69.0499999431585*(-PI()/180)</f>
        <v>1.2051498475100131</v>
      </c>
      <c r="H233">
        <f>-362.859999974993*(-PI()/180)</f>
        <v>6.3331017233501701</v>
      </c>
    </row>
    <row r="234" spans="1:8" x14ac:dyDescent="0.3">
      <c r="A234" s="1">
        <v>231</v>
      </c>
      <c r="B234" s="2">
        <v>2.9833700000001548</v>
      </c>
      <c r="C234">
        <f>(0.795207649904937*(-PI()/180))*-1</f>
        <v>1.3878991727887523E-2</v>
      </c>
      <c r="D234" s="3">
        <v>-133.76273510462013</v>
      </c>
      <c r="E234">
        <v>4.8113909188766204</v>
      </c>
      <c r="F234">
        <v>6.7114113779361713</v>
      </c>
      <c r="G234">
        <f>-83.3700000638092*(-PI()/180)</f>
        <v>1.4550809985013531</v>
      </c>
      <c r="H234">
        <f>-380.043999954619*(-PI()/180)</f>
        <v>6.6330191016572817</v>
      </c>
    </row>
    <row r="235" spans="1:8" x14ac:dyDescent="0.3">
      <c r="A235" s="1">
        <v>232</v>
      </c>
      <c r="B235" s="2">
        <v>2.9980000000002507</v>
      </c>
      <c r="C235">
        <f>(0.897122330075588*(-PI()/180))*-1</f>
        <v>1.5657738452982361E-2</v>
      </c>
      <c r="D235" s="3">
        <v>-133.77528269004594</v>
      </c>
      <c r="E235">
        <v>4.8134558754991561</v>
      </c>
      <c r="F235">
        <v>6.7093886749178315</v>
      </c>
      <c r="G235">
        <f>-97.5955556241664*(-PI()/180)</f>
        <v>1.7033637809549731</v>
      </c>
      <c r="H235">
        <f>-396.925925957727*(-PI()/180)</f>
        <v>6.9276642944895626</v>
      </c>
    </row>
    <row r="236" spans="1:8" x14ac:dyDescent="0.3">
      <c r="A236" s="1">
        <v>233</v>
      </c>
      <c r="B236" s="2">
        <v>3.0000000000000018</v>
      </c>
      <c r="C236">
        <f>(0.916643738928149*(-PI()/180))*-1</f>
        <v>1.5998451312087519E-2</v>
      </c>
      <c r="D236" s="3">
        <v>-133.7771010903044</v>
      </c>
      <c r="E236">
        <v>4.8137638855340219</v>
      </c>
      <c r="F236">
        <v>6.7090872561255228</v>
      </c>
      <c r="G236">
        <f>-99.0000000000009*(-PI()/180)</f>
        <v>1.727875959474402</v>
      </c>
      <c r="H236">
        <f>-398.333333333334*(-PI()/180)</f>
        <v>6.9522281871107579</v>
      </c>
    </row>
    <row r="237" spans="1:8" x14ac:dyDescent="0.3">
      <c r="A237" s="1">
        <v>234</v>
      </c>
      <c r="B237" s="2">
        <v>3.0138100000000922</v>
      </c>
      <c r="C237">
        <f>(1.00023566639458*(-PI()/180))*-1</f>
        <v>1.7457405674465021E-2</v>
      </c>
      <c r="D237" s="3">
        <v>-133.79091307696211</v>
      </c>
      <c r="E237">
        <v>4.8160649243613891</v>
      </c>
      <c r="F237">
        <v>6.7068328644413606</v>
      </c>
      <c r="G237">
        <f>-97.2380000000904*(-PI()/180)</f>
        <v>1.6971232580558238</v>
      </c>
      <c r="H237">
        <f>-388.951999827294*(-PI()/180)</f>
        <v>6.7884930292026961</v>
      </c>
    </row>
    <row r="238" spans="1:8" x14ac:dyDescent="0.3">
      <c r="A238" s="1">
        <v>235</v>
      </c>
      <c r="B238" s="2">
        <v>3.0287000000001898</v>
      </c>
      <c r="C238">
        <f>(0.807694990043735*(-PI()/180))*-1</f>
        <v>1.4096936928125995E-2</v>
      </c>
      <c r="D238" s="3">
        <v>-133.80480549789095</v>
      </c>
      <c r="E238">
        <v>4.818907757734582</v>
      </c>
      <c r="F238">
        <v>6.7040552477157345</v>
      </c>
      <c r="G238">
        <f>-94.2599999316687*(-PI()/180)</f>
        <v>1.6451473517372488</v>
      </c>
      <c r="H238">
        <f>-377.040000027127*(-PI()/180)</f>
        <v>6.5805894121928761</v>
      </c>
    </row>
    <row r="239" spans="1:8" x14ac:dyDescent="0.3">
      <c r="A239" s="1">
        <v>236</v>
      </c>
      <c r="B239" s="2">
        <v>3.0400000000000018</v>
      </c>
      <c r="C239">
        <f>(0.881209192293374*(-PI()/180))*-1</f>
        <v>1.5380001804359217E-2</v>
      </c>
      <c r="D239" s="3">
        <v>-133.81417814746567</v>
      </c>
      <c r="E239">
        <v>4.8213313690886155</v>
      </c>
      <c r="F239">
        <v>6.7017029697598902</v>
      </c>
      <c r="G239">
        <f>-92*(-PI()/180)</f>
        <v>1.6057029118347832</v>
      </c>
      <c r="H239">
        <f>-368*(-PI()/180)</f>
        <v>6.4228116473391328</v>
      </c>
    </row>
    <row r="240" spans="1:8" x14ac:dyDescent="0.3">
      <c r="A240" s="1">
        <v>237</v>
      </c>
      <c r="B240" s="2">
        <v>3.0438900000000273</v>
      </c>
      <c r="C240">
        <f>(0.892368904266321*(-PI()/180))*-1</f>
        <v>1.5574775521861374E-2</v>
      </c>
      <c r="D240" s="3">
        <v>-133.81761951366167</v>
      </c>
      <c r="E240">
        <v>4.8222175943281398</v>
      </c>
      <c r="F240">
        <v>6.7008435313963339</v>
      </c>
      <c r="G240">
        <f>-91.2219998873236*(-PI()/180)</f>
        <v>1.5921242482876932</v>
      </c>
      <c r="H240">
        <f>-364.887999947817*(-PI()/180)</f>
        <v>6.3684970001063039</v>
      </c>
    </row>
    <row r="241" spans="1:8" x14ac:dyDescent="0.3">
      <c r="A241" s="1">
        <v>238</v>
      </c>
      <c r="B241" s="2">
        <v>3.0587700000001248</v>
      </c>
      <c r="C241">
        <f>(0.854622775541389*(-PI()/180))*-1</f>
        <v>1.4915981295729703E-2</v>
      </c>
      <c r="D241" s="3">
        <v>-133.83106945653321</v>
      </c>
      <c r="E241">
        <v>4.8258397309637662</v>
      </c>
      <c r="F241">
        <v>6.6973319103678017</v>
      </c>
      <c r="G241">
        <f>-88.2460000108421*(-PI()/180)</f>
        <v>1.5401832519041463</v>
      </c>
      <c r="H241">
        <f>-352.983999954361*(-PI()/180)</f>
        <v>6.160733006063114</v>
      </c>
    </row>
    <row r="242" spans="1:8" x14ac:dyDescent="0.3">
      <c r="A242" s="1">
        <v>239</v>
      </c>
      <c r="B242" s="2">
        <v>3.0800000000000018</v>
      </c>
      <c r="C242">
        <f>(-3.30338613284073*(-PI()/180))*-1</f>
        <v>-5.7654964482793523E-2</v>
      </c>
      <c r="D242" s="3">
        <v>-133.82596632830496</v>
      </c>
      <c r="E242">
        <v>4.8316303001064407</v>
      </c>
      <c r="F242">
        <v>6.6917755465645525</v>
      </c>
      <c r="G242">
        <f>-84.0000000000001*(-PI()/180)</f>
        <v>1.4660765716752386</v>
      </c>
      <c r="H242">
        <f>-336*(-PI()/180)</f>
        <v>5.8643062867009474</v>
      </c>
    </row>
    <row r="243" spans="1:8" x14ac:dyDescent="0.3">
      <c r="A243" s="1">
        <v>240</v>
      </c>
      <c r="B243" s="2">
        <v>3.0836100000000255</v>
      </c>
      <c r="C243">
        <f>(-5.08866140903667*(-PI()/180))*-1</f>
        <v>-8.8813896106863827E-2</v>
      </c>
      <c r="D243" s="3">
        <v>-133.81084868106345</v>
      </c>
      <c r="E243">
        <v>4.8326570729239835</v>
      </c>
      <c r="F243">
        <v>6.6907985350812194</v>
      </c>
      <c r="G243">
        <f>-83.278000035008*(-PI()/180)</f>
        <v>1.4534752950868428</v>
      </c>
      <c r="H243">
        <f>-333.112000037871*(-PI()/180)</f>
        <v>5.8139011785643246</v>
      </c>
    </row>
    <row r="244" spans="1:8" x14ac:dyDescent="0.3">
      <c r="A244" s="1">
        <v>241</v>
      </c>
      <c r="B244" s="2">
        <v>3.1022300000001475</v>
      </c>
      <c r="C244">
        <f>(-13.7081019025257*(-PI()/180))*-1</f>
        <v>-0.23925151239797224</v>
      </c>
      <c r="D244" s="3">
        <v>-133.62887550588974</v>
      </c>
      <c r="E244">
        <v>4.8380354230223448</v>
      </c>
      <c r="F244">
        <v>6.6856681021291742</v>
      </c>
      <c r="G244">
        <f>-79.5540000995502*(-PI()/180)</f>
        <v>1.3884792348690476</v>
      </c>
      <c r="H244">
        <f>-318.216000006241*(-PI()/180)</f>
        <v>5.553916932635202</v>
      </c>
    </row>
    <row r="245" spans="1:8" x14ac:dyDescent="0.3">
      <c r="A245" s="1">
        <v>242</v>
      </c>
      <c r="B245" s="2">
        <v>3.1163800000002402</v>
      </c>
      <c r="C245">
        <f>(-17.7089842805727*(-PI()/180))*-1</f>
        <v>-0.3090800828799129</v>
      </c>
      <c r="D245" s="3">
        <v>-133.40597467822178</v>
      </c>
      <c r="E245">
        <v>4.842249516147537</v>
      </c>
      <c r="F245">
        <v>6.6816242947676443</v>
      </c>
      <c r="G245">
        <f>-76.7240000194852*(-PI()/180)</f>
        <v>1.3390864156402102</v>
      </c>
      <c r="H245">
        <f>-306.895999905318*(-PI()/180)</f>
        <v>5.3563456595480048</v>
      </c>
    </row>
    <row r="246" spans="1:8" x14ac:dyDescent="0.3">
      <c r="A246" s="1">
        <v>243</v>
      </c>
      <c r="B246" s="2">
        <v>3.1200000000000019</v>
      </c>
      <c r="C246">
        <f>(-18.801049787767*(-PI()/180))*-1</f>
        <v>-0.32814022162791523</v>
      </c>
      <c r="D246" s="3">
        <v>-133.33995116335007</v>
      </c>
      <c r="E246">
        <v>4.8433498514651161</v>
      </c>
      <c r="F246">
        <v>6.6805741094150193</v>
      </c>
      <c r="G246">
        <f>-76.0000000000001*(-PI()/180)</f>
        <v>1.3264502315156923</v>
      </c>
      <c r="H246">
        <f>-304*(-PI()/180)</f>
        <v>5.3058009260627621</v>
      </c>
    </row>
    <row r="247" spans="1:8" x14ac:dyDescent="0.3">
      <c r="A247" s="1">
        <v>244</v>
      </c>
      <c r="B247" s="2">
        <v>3.1303600000000698</v>
      </c>
      <c r="C247">
        <f>(-22.416541112976*(-PI()/180))*-1</f>
        <v>-0.39124244933010538</v>
      </c>
      <c r="D247" s="3">
        <v>-133.12734976386866</v>
      </c>
      <c r="E247">
        <v>4.8465632596193986</v>
      </c>
      <c r="F247">
        <v>6.6775432964668449</v>
      </c>
      <c r="G247">
        <f>-73.9279999041921*(-PI()/180)</f>
        <v>1.2902870077422048</v>
      </c>
      <c r="H247">
        <f>-295.711999850665*(-PI()/180)</f>
        <v>5.1611480350510845</v>
      </c>
    </row>
    <row r="248" spans="1:8" x14ac:dyDescent="0.3">
      <c r="A248" s="1">
        <v>245</v>
      </c>
      <c r="B248" s="2">
        <v>3.1490100000001919</v>
      </c>
      <c r="C248">
        <f>(-30.5378150573834*(-PI()/180))*-1</f>
        <v>-0.53298541911644148</v>
      </c>
      <c r="D248" s="3">
        <v>-132.63427342515473</v>
      </c>
      <c r="E248">
        <v>4.8525893479658579</v>
      </c>
      <c r="F248">
        <v>6.6719976375389463</v>
      </c>
      <c r="G248">
        <f>-70.1980000423404*(-PI()/180)</f>
        <v>1.2251862290539588</v>
      </c>
      <c r="H248">
        <f>-280.792000023798*(-PI()/180)</f>
        <v>4.900744913675271</v>
      </c>
    </row>
    <row r="249" spans="1:8" x14ac:dyDescent="0.3">
      <c r="A249" s="1">
        <v>246</v>
      </c>
      <c r="B249" s="2">
        <v>3.1591900000002586</v>
      </c>
      <c r="C249">
        <f>(-33.9224700320011*(-PI()/180))*-1</f>
        <v>-0.59205879246752546</v>
      </c>
      <c r="D249" s="3">
        <v>-132.30476106573863</v>
      </c>
      <c r="E249">
        <v>4.8559555701367945</v>
      </c>
      <c r="F249">
        <v>6.6689175488518426</v>
      </c>
      <c r="G249">
        <f>-68.1620000501905*(-PI()/180)</f>
        <v>1.1896513256203645</v>
      </c>
      <c r="H249">
        <f>-272.648000001847*(-PI()/180)</f>
        <v>4.7586052990097354</v>
      </c>
    </row>
    <row r="250" spans="1:8" x14ac:dyDescent="0.3">
      <c r="A250" s="1">
        <v>247</v>
      </c>
      <c r="B250" s="2">
        <v>3.1600000000000019</v>
      </c>
      <c r="C250">
        <f>(-34.1154105829805*(-PI()/180))*-1</f>
        <v>-0.59542624034272795</v>
      </c>
      <c r="D250" s="3">
        <v>-132.27720541637953</v>
      </c>
      <c r="E250">
        <v>4.856225492966507</v>
      </c>
      <c r="F250">
        <v>6.6686703738166742</v>
      </c>
      <c r="G250">
        <f>-68*(-PI()/180)</f>
        <v>1.1868238913561442</v>
      </c>
      <c r="H250">
        <f>-272*(-PI()/180)</f>
        <v>4.7472955654245768</v>
      </c>
    </row>
    <row r="251" spans="1:8" x14ac:dyDescent="0.3">
      <c r="A251" s="1">
        <v>248</v>
      </c>
      <c r="B251" s="2">
        <v>3.1852700000001675</v>
      </c>
      <c r="C251">
        <f>(-42.7956252008451*(-PI()/180))*-1</f>
        <v>-0.74692456520420658</v>
      </c>
      <c r="D251" s="3">
        <v>-131.32349152004807</v>
      </c>
      <c r="E251">
        <v>4.864918745402167</v>
      </c>
      <c r="F251">
        <v>6.6608216523493269</v>
      </c>
      <c r="G251">
        <f>-62.9459999998984*(-PI()/180)</f>
        <v>1.0986149509585774</v>
      </c>
      <c r="H251">
        <f>-251.783999998155*(-PI()/180)</f>
        <v>4.3944598038092018</v>
      </c>
    </row>
    <row r="252" spans="1:8" x14ac:dyDescent="0.3">
      <c r="A252" s="1">
        <v>249</v>
      </c>
      <c r="B252" s="2">
        <v>3.200000000000002</v>
      </c>
      <c r="C252">
        <f>(-48.7470384579642*(-PI()/180))*-1</f>
        <v>-0.85079632168777475</v>
      </c>
      <c r="D252" s="3">
        <v>-130.64482171152548</v>
      </c>
      <c r="E252">
        <v>4.8702657464150265</v>
      </c>
      <c r="F252">
        <v>6.656218384663787</v>
      </c>
      <c r="G252">
        <f>-59.9999999999999*(-PI()/180)</f>
        <v>1.0471975511965961</v>
      </c>
      <c r="H252">
        <f>-240*(-PI()/180)</f>
        <v>4.1887902047863905</v>
      </c>
    </row>
    <row r="253" spans="1:8" x14ac:dyDescent="0.3">
      <c r="A253" s="1">
        <v>250</v>
      </c>
      <c r="B253" s="2">
        <v>3.202900000000021</v>
      </c>
      <c r="C253">
        <f>(-49.4616608946206*(-PI()/180))*-1</f>
        <v>-0.86326883611605354</v>
      </c>
      <c r="D253" s="3">
        <v>-130.50238909724993</v>
      </c>
      <c r="E253">
        <v>4.8713402588047732</v>
      </c>
      <c r="F253">
        <v>6.6553057811727943</v>
      </c>
      <c r="G253">
        <f>-59.420000000594*(-PI()/180)</f>
        <v>1.037074641545398</v>
      </c>
      <c r="H253">
        <f>-237.679999805697*(-PI()/180)</f>
        <v>4.1482985627488951</v>
      </c>
    </row>
    <row r="254" spans="1:8" x14ac:dyDescent="0.3">
      <c r="A254" s="1">
        <v>251</v>
      </c>
      <c r="B254" s="2">
        <v>3.2221500000001471</v>
      </c>
      <c r="C254">
        <f>(-55.388154975175*(-PI()/180))*-1</f>
        <v>-0.9667056709216818</v>
      </c>
      <c r="D254" s="3">
        <v>-129.49974523606551</v>
      </c>
      <c r="E254">
        <v>4.8786346137800507</v>
      </c>
      <c r="F254">
        <v>6.6491700770301616</v>
      </c>
      <c r="G254">
        <f>-55.5700000534423*(-PI()/180)</f>
        <v>0.96987946626599297</v>
      </c>
      <c r="H254">
        <f>-222.280000088095*(-PI()/180)</f>
        <v>3.8795178628705433</v>
      </c>
    </row>
    <row r="255" spans="1:8" x14ac:dyDescent="0.3">
      <c r="A255" s="1">
        <v>252</v>
      </c>
      <c r="B255" s="2">
        <v>3.240000000000002</v>
      </c>
      <c r="C255">
        <f>(-62.9389316278511*(-PI()/180))*-1</f>
        <v>-1.0984915845935961</v>
      </c>
      <c r="D255" s="3">
        <v>-128.44144636262132</v>
      </c>
      <c r="E255">
        <v>4.885664589820129</v>
      </c>
      <c r="F255">
        <v>6.6434393758121058</v>
      </c>
      <c r="G255">
        <f>-51.9999999999998*(-PI()/180)</f>
        <v>0.90757121103704785</v>
      </c>
      <c r="H255">
        <f>-207.999999999999*(-PI()/180)</f>
        <v>3.6302848441481883</v>
      </c>
    </row>
    <row r="256" spans="1:8" x14ac:dyDescent="0.3">
      <c r="A256" s="1">
        <v>253</v>
      </c>
      <c r="B256" s="2">
        <v>3.2431100000000224</v>
      </c>
      <c r="C256">
        <f>(-64.0212698622428*(-PI()/180))*-1</f>
        <v>-1.1173819504039535</v>
      </c>
      <c r="D256" s="3">
        <v>-128.24396384715487</v>
      </c>
      <c r="E256">
        <v>4.8869272860891355</v>
      </c>
      <c r="F256">
        <v>6.6424434732129196</v>
      </c>
      <c r="G256">
        <f>-51.3779999985286*(-PI()/180)</f>
        <v>0.89671526306396587</v>
      </c>
      <c r="H256">
        <f>-205.511999979633*(-PI()/180)</f>
        <v>3.5868610520031154</v>
      </c>
    </row>
    <row r="257" spans="1:8" x14ac:dyDescent="0.3">
      <c r="A257" s="1">
        <v>254</v>
      </c>
      <c r="B257" s="2">
        <v>3.2749700000002311</v>
      </c>
      <c r="C257">
        <f>(-63.9231812167092*(-PI()/180))*-1</f>
        <v>-1.1156699805805705</v>
      </c>
      <c r="D257" s="3">
        <v>-126.13147938975668</v>
      </c>
      <c r="E257">
        <v>4.9002625589006295</v>
      </c>
      <c r="F257">
        <v>6.6323183556851157</v>
      </c>
      <c r="G257">
        <f>-45.0059999967742*(-PI()/180)</f>
        <v>0.78550288309626715</v>
      </c>
      <c r="H257">
        <f>-180.023999906505*(-PI()/180)</f>
        <v>3.1420115309784764</v>
      </c>
    </row>
    <row r="258" spans="1:8" x14ac:dyDescent="0.3">
      <c r="A258" s="1">
        <v>255</v>
      </c>
      <c r="B258" s="2">
        <v>3.280000000000002</v>
      </c>
      <c r="C258">
        <f>(-62.4978811351013*(-PI()/180))*-1</f>
        <v>-1.0907938013275686</v>
      </c>
      <c r="D258" s="3">
        <v>-125.81354172442623</v>
      </c>
      <c r="E258">
        <v>4.9023210775132773</v>
      </c>
      <c r="F258">
        <v>6.6308045632565893</v>
      </c>
      <c r="G258">
        <f>-43.9999999999996*(-PI()/180)</f>
        <v>0.76794487087749808</v>
      </c>
      <c r="H258">
        <f>-175.999999999998*(-PI()/180)</f>
        <v>3.0717794835099852</v>
      </c>
    </row>
    <row r="259" spans="1:8" x14ac:dyDescent="0.3">
      <c r="A259" s="1">
        <v>256</v>
      </c>
      <c r="B259" s="2">
        <v>3.3026100000001501</v>
      </c>
      <c r="C259">
        <f>(-56.0728930806835*(-PI()/180))*-1</f>
        <v>-0.97865660537667354</v>
      </c>
      <c r="D259" s="3">
        <v>-124.47313402888561</v>
      </c>
      <c r="E259">
        <v>4.9111166846873209</v>
      </c>
      <c r="F259">
        <v>6.6246211339024752</v>
      </c>
      <c r="G259">
        <f>-39.4779999162227*(-PI()/180)</f>
        <v>0.68902108064013168</v>
      </c>
      <c r="H259">
        <f>-157.911999861583*(-PI()/180)</f>
        <v>2.7560843259934535</v>
      </c>
    </row>
    <row r="260" spans="1:8" x14ac:dyDescent="0.3">
      <c r="A260" s="1">
        <v>257</v>
      </c>
      <c r="B260" s="2">
        <v>3.3200000000000021</v>
      </c>
      <c r="C260">
        <f>(-51.1333689765877*(-PI()/180))*-1</f>
        <v>-0.89244564627857859</v>
      </c>
      <c r="D260" s="3">
        <v>-123.54096667005975</v>
      </c>
      <c r="E260">
        <v>4.9174037592729452</v>
      </c>
      <c r="F260">
        <v>6.6204474146740431</v>
      </c>
      <c r="G260">
        <f>-35.9999999999995*(-PI()/180)</f>
        <v>0.62831853071794996</v>
      </c>
      <c r="H260">
        <f>-143.999999999998*(-PI()/180)</f>
        <v>2.5132741228717999</v>
      </c>
    </row>
    <row r="261" spans="1:8" x14ac:dyDescent="0.3">
      <c r="A261" s="1">
        <v>258</v>
      </c>
      <c r="B261" s="2">
        <v>3.3249000000000342</v>
      </c>
      <c r="C261">
        <f>(-49.7383843556511*(-PI()/180))*-1</f>
        <v>-0.86809857162854998</v>
      </c>
      <c r="D261" s="3">
        <v>-123.29383571771737</v>
      </c>
      <c r="E261">
        <v>4.9190775557394524</v>
      </c>
      <c r="F261">
        <v>6.619338308498941</v>
      </c>
      <c r="G261">
        <f>-35.0200001035186*(-PI()/180)</f>
        <v>0.61121430585515457</v>
      </c>
      <c r="H261">
        <f>-140.080000049667*(-PI()/180)</f>
        <v>2.4448572170605098</v>
      </c>
    </row>
    <row r="262" spans="1:8" x14ac:dyDescent="0.3">
      <c r="A262" s="1">
        <v>259</v>
      </c>
      <c r="B262" s="2">
        <v>3.3477200000001837</v>
      </c>
      <c r="C262">
        <f>(-43.258720093974*(-PI()/180))*-1</f>
        <v>-0.75500709583847714</v>
      </c>
      <c r="D262" s="3">
        <v>-122.23270098833851</v>
      </c>
      <c r="E262">
        <v>4.9263061063750593</v>
      </c>
      <c r="F262">
        <v>6.6146227071228605</v>
      </c>
      <c r="G262">
        <f>-30.4560000493468*(-PI()/180)</f>
        <v>0.53155747784865715</v>
      </c>
      <c r="H262">
        <f>-121.824000032014*(-PI()/180)</f>
        <v>2.1262299085083218</v>
      </c>
    </row>
    <row r="263" spans="1:8" x14ac:dyDescent="0.3">
      <c r="A263" s="1">
        <v>260</v>
      </c>
      <c r="B263" s="2">
        <v>3.3600000000000021</v>
      </c>
      <c r="C263">
        <f>(-39.7690243045944*(-PI()/180))*-1</f>
        <v>-0.6941004144208206</v>
      </c>
      <c r="D263" s="3">
        <v>-121.72289533715642</v>
      </c>
      <c r="E263">
        <v>4.9298816062657425</v>
      </c>
      <c r="F263">
        <v>6.6124262888614682</v>
      </c>
      <c r="G263">
        <f>-27.9999999999994*(-PI()/180)</f>
        <v>0.4886921905584018</v>
      </c>
      <c r="H263">
        <f>-111.999999999997*(-PI()/180)</f>
        <v>1.9547687622335967</v>
      </c>
    </row>
    <row r="264" spans="1:8" x14ac:dyDescent="0.3">
      <c r="A264" s="1">
        <v>261</v>
      </c>
      <c r="B264" s="2">
        <v>3.3708100000000729</v>
      </c>
      <c r="C264">
        <f>(-36.6989099519118*(-PI()/180))*-1</f>
        <v>-0.64051681055377485</v>
      </c>
      <c r="D264" s="3">
        <v>-121.30957573152293</v>
      </c>
      <c r="E264">
        <v>4.9328165634267496</v>
      </c>
      <c r="F264">
        <v>6.6106623183213138</v>
      </c>
      <c r="G264">
        <f>-25.8380000042667*(-PI()/180)</f>
        <v>0.45095817220476281</v>
      </c>
      <c r="H264">
        <f>-103.352000000886*(-PI()/180)</f>
        <v>1.8038326885366429</v>
      </c>
    </row>
    <row r="265" spans="1:8" x14ac:dyDescent="0.3">
      <c r="A265" s="1">
        <v>262</v>
      </c>
      <c r="B265" s="2">
        <v>3.3927300000002165</v>
      </c>
      <c r="C265">
        <f>(-30.4735470710204*(-PI()/180))*-1</f>
        <v>-0.53186373115078023</v>
      </c>
      <c r="D265" s="3">
        <v>-120.57335732737741</v>
      </c>
      <c r="E265">
        <v>4.9380804746105174</v>
      </c>
      <c r="F265">
        <v>6.6074879026399946</v>
      </c>
      <c r="G265">
        <f>-21.4539999875669*(-PI()/180)</f>
        <v>0.37444293750586494</v>
      </c>
      <c r="H265">
        <f>-85.8160000370835*(-PI()/180)</f>
        <v>1.497771751538683</v>
      </c>
    </row>
    <row r="266" spans="1:8" x14ac:dyDescent="0.3">
      <c r="A266" s="1">
        <v>263</v>
      </c>
      <c r="B266" s="2">
        <v>3.4000000000000021</v>
      </c>
      <c r="C266">
        <f>(-28.4104607547599*(-PI()/180))*-1</f>
        <v>-0.49585608217919352</v>
      </c>
      <c r="D266" s="3">
        <v>-120.35931260642793</v>
      </c>
      <c r="E266">
        <v>4.9396435429223775</v>
      </c>
      <c r="F266">
        <v>6.6065584414085405</v>
      </c>
      <c r="G266">
        <f>-19.9999999999994*(-PI()/180)</f>
        <v>0.3490658503988554</v>
      </c>
      <c r="H266">
        <f>-79.9999999999974*(-PI()/180)</f>
        <v>1.3962634015954183</v>
      </c>
    </row>
    <row r="267" spans="1:8" x14ac:dyDescent="0.3">
      <c r="A267" s="1">
        <v>264</v>
      </c>
      <c r="B267" s="2">
        <v>3.4145100000000972</v>
      </c>
      <c r="C267">
        <f>(-24.2867981737103*(-PI()/180))*-1</f>
        <v>-0.42388459289859043</v>
      </c>
      <c r="D267" s="3">
        <v>-119.97701883613438</v>
      </c>
      <c r="E267">
        <v>4.9424932184031762</v>
      </c>
      <c r="F267">
        <v>6.6049166825203676</v>
      </c>
      <c r="G267">
        <f>-17.0980001761532*(-PI()/180)</f>
        <v>0.29841639858044378</v>
      </c>
      <c r="H267">
        <f>-68.3920001300026*(-PI()/180)</f>
        <v>1.1936655842929353</v>
      </c>
    </row>
    <row r="268" spans="1:8" x14ac:dyDescent="0.3">
      <c r="A268" s="1">
        <v>265</v>
      </c>
      <c r="B268" s="2">
        <v>3.4353600000002338</v>
      </c>
      <c r="C268">
        <f>(-18.3638692782508*(-PI()/180))*-1</f>
        <v>-0.32050998231131117</v>
      </c>
      <c r="D268" s="3">
        <v>-119.53239025084213</v>
      </c>
      <c r="E268">
        <v>4.9458986993696712</v>
      </c>
      <c r="F268">
        <v>6.6029898839257521</v>
      </c>
      <c r="G268">
        <f>-12.9279999275073*(-PI()/180)</f>
        <v>0.2256361644325906</v>
      </c>
      <c r="H268">
        <f>-51.7120000962354*(-PI()/180)</f>
        <v>0.90254466447093229</v>
      </c>
    </row>
    <row r="269" spans="1:8" x14ac:dyDescent="0.3">
      <c r="A269" s="1">
        <v>266</v>
      </c>
      <c r="B269" s="2">
        <v>3.4400000000000022</v>
      </c>
      <c r="C269">
        <f>(-17.0466919677434*(-PI()/180))*-1</f>
        <v>-0.29752090141039333</v>
      </c>
      <c r="D269" s="3">
        <v>-119.45023875079306</v>
      </c>
      <c r="E269">
        <v>4.9465477168679</v>
      </c>
      <c r="F269">
        <v>6.6026165135534169</v>
      </c>
      <c r="G269">
        <f>-11.9999999999994*(-PI()/180)</f>
        <v>0.20943951023930907</v>
      </c>
      <c r="H269">
        <f>-47.9999999999976*(-PI()/180)</f>
        <v>0.83775804095723627</v>
      </c>
    </row>
    <row r="270" spans="1:8" x14ac:dyDescent="0.3">
      <c r="A270" s="1">
        <v>267</v>
      </c>
      <c r="B270" s="2">
        <v>3.4587100000001247</v>
      </c>
      <c r="C270">
        <f>(-11.7310592878269*(-PI()/180))*-1</f>
        <v>-0.20474560931924057</v>
      </c>
      <c r="D270" s="3">
        <v>-119.18102218719329</v>
      </c>
      <c r="E270">
        <v>4.9487744979444459</v>
      </c>
      <c r="F270">
        <v>6.6013651327006055</v>
      </c>
      <c r="G270">
        <f>-8.25799986664295*(-PI()/180)</f>
        <v>0.14412928730217212</v>
      </c>
      <c r="H270">
        <f>-33.0320000535271*(-PI()/180)</f>
        <v>0.57651715945299109</v>
      </c>
    </row>
    <row r="271" spans="1:8" x14ac:dyDescent="0.3">
      <c r="A271" s="1">
        <v>268</v>
      </c>
      <c r="B271" s="2">
        <v>3.4792800000002595</v>
      </c>
      <c r="C271">
        <f>(-5.88859714411142*(-PI()/180))*-1</f>
        <v>-0.1027754084882793</v>
      </c>
      <c r="D271" s="3">
        <v>-118.99980852636007</v>
      </c>
      <c r="E271">
        <v>4.9504645863689332</v>
      </c>
      <c r="F271">
        <v>6.6004470899933469</v>
      </c>
      <c r="G271">
        <f>-4.14399996945968*(-PI()/180)</f>
        <v>7.2326443669615867E-2</v>
      </c>
      <c r="H271">
        <f>-16.5759999299917*(-PI()/180)</f>
        <v>0.28930577558870474</v>
      </c>
    </row>
    <row r="272" spans="1:8" x14ac:dyDescent="0.3">
      <c r="A272" s="1">
        <v>269</v>
      </c>
      <c r="B272" s="2">
        <v>3.4800000000000022</v>
      </c>
      <c r="C272">
        <f>(-5.68409002482392*(-PI()/180))*-1</f>
        <v>-9.9206085912943623E-2</v>
      </c>
      <c r="D272" s="3">
        <v>-118.99564236885996</v>
      </c>
      <c r="E272">
        <v>4.9505094842844937</v>
      </c>
      <c r="F272">
        <v>6.6004224602047783</v>
      </c>
      <c r="G272">
        <f>-3.99999999999953*(-PI()/180)</f>
        <v>6.981317007976498E-2</v>
      </c>
      <c r="H272">
        <f>-15.9999999999981*(-PI()/180)</f>
        <v>0.27925268031905953</v>
      </c>
    </row>
    <row r="273" spans="1:8" x14ac:dyDescent="0.3">
      <c r="A273" s="1">
        <v>270</v>
      </c>
      <c r="B273" s="2">
        <v>3.501190000000141</v>
      </c>
      <c r="C273">
        <f>(-0.746311993116032*(-PI()/180))*-1</f>
        <v>-1.3025601526996014E-2</v>
      </c>
      <c r="D273" s="3">
        <v>-118.93705428954489</v>
      </c>
      <c r="E273">
        <v>4.9513996948909806</v>
      </c>
      <c r="F273">
        <v>6.599928229625359</v>
      </c>
      <c r="G273">
        <f>1.22238608185468*(-PI()/180)</f>
        <v>-2.1334661858917078E-2</v>
      </c>
      <c r="H273">
        <f>-0.360514633830537*(-PI()/180)</f>
        <v>6.292167361964608E-3</v>
      </c>
    </row>
    <row r="274" spans="1:8" x14ac:dyDescent="0.3">
      <c r="A274" s="1">
        <v>271</v>
      </c>
      <c r="B274" s="2">
        <v>3.5160700000002385</v>
      </c>
      <c r="C274">
        <f>(-6.08108294145467*(-PI()/180))*-1</f>
        <v>-0.10613491941524557</v>
      </c>
      <c r="D274" s="3">
        <v>-118.88798783290049</v>
      </c>
      <c r="E274">
        <v>4.9515424671118327</v>
      </c>
      <c r="F274">
        <v>6.5998863640835133</v>
      </c>
      <c r="G274">
        <f>12.8560000691532*(-PI()/180)</f>
        <v>-0.22437952984334203</v>
      </c>
      <c r="H274">
        <f>-7.28582302104019E-08*(-PI()/180)</f>
        <v>1.2716160043475142E-9</v>
      </c>
    </row>
    <row r="275" spans="1:8" x14ac:dyDescent="0.3">
      <c r="A275" s="1">
        <v>272</v>
      </c>
      <c r="B275" s="2">
        <v>3.5200000000000022</v>
      </c>
      <c r="C275">
        <f>(-7.56930664395538*(-PI()/180))*-1</f>
        <v>-0.13210932303010353</v>
      </c>
      <c r="D275" s="3">
        <v>-118.86116274888037</v>
      </c>
      <c r="E275">
        <v>4.9515163970340854</v>
      </c>
      <c r="F275">
        <v>6.5999138938731861</v>
      </c>
      <c r="G275">
        <f>16.0000000000016*(-PI()/180)</f>
        <v>-0.27925268031912065</v>
      </c>
      <c r="H275">
        <f>-2.87853424550252E-16*(-PI()/180)</f>
        <v>5.0239900215429754E-18</v>
      </c>
    </row>
    <row r="276" spans="1:8" x14ac:dyDescent="0.3">
      <c r="A276" s="1">
        <v>273</v>
      </c>
      <c r="B276" s="2">
        <v>3.5387700000001252</v>
      </c>
      <c r="C276">
        <f>(-14.6786425131787*(-PI()/180))*-1</f>
        <v>-0.25619064157818344</v>
      </c>
      <c r="D276" s="3">
        <v>-118.65235683131107</v>
      </c>
      <c r="E276">
        <v>4.9510001006056985</v>
      </c>
      <c r="F276">
        <v>6.6002009358040929</v>
      </c>
      <c r="G276">
        <f>31.0160000724731*(-PI()/180)</f>
        <v>-0.54133132206345547</v>
      </c>
      <c r="H276">
        <f>7.34671612913948E-08*(-PI()/180)</f>
        <v>-1.2822438566285685E-9</v>
      </c>
    </row>
    <row r="277" spans="1:8" x14ac:dyDescent="0.3">
      <c r="A277" s="1">
        <v>274</v>
      </c>
      <c r="B277" s="2">
        <v>3.5600000000000023</v>
      </c>
      <c r="C277">
        <f>(-22.7196719726447*(-PI()/180))*-1</f>
        <v>-0.39653308089572509</v>
      </c>
      <c r="D277" s="3">
        <v>-118.25535713526327</v>
      </c>
      <c r="E277">
        <v>4.9496227634250927</v>
      </c>
      <c r="F277">
        <v>6.6008932587602507</v>
      </c>
      <c r="G277">
        <f>48.000000000001*(-PI()/180)</f>
        <v>-0.83775804095729567</v>
      </c>
      <c r="H277">
        <f>3.65492066613477E-16*(-PI()/180)</f>
        <v>-6.3790399523236145E-18</v>
      </c>
    </row>
    <row r="278" spans="1:8" x14ac:dyDescent="0.3">
      <c r="A278" s="1">
        <v>275</v>
      </c>
      <c r="B278" s="2">
        <v>3.5637100000000266</v>
      </c>
      <c r="C278">
        <f>(-24.1240725267025*(-PI()/180))*-1</f>
        <v>-0.42104449458086629</v>
      </c>
      <c r="D278" s="3">
        <v>-118.16846237990808</v>
      </c>
      <c r="E278">
        <v>4.9493037781969278</v>
      </c>
      <c r="F278">
        <v>6.6010670477089493</v>
      </c>
      <c r="G278">
        <f>50.9679999941007*(-PI()/180)</f>
        <v>-0.88955941305350772</v>
      </c>
      <c r="H278">
        <f>1.02428877211041E-07*(-PI()/180)</f>
        <v>-1.7877211564536522E-9</v>
      </c>
    </row>
    <row r="279" spans="1:8" x14ac:dyDescent="0.3">
      <c r="A279" s="1">
        <v>276</v>
      </c>
      <c r="B279" s="2">
        <v>3.5869100000001786</v>
      </c>
      <c r="C279">
        <f>(-32.9123363678076*(-PI()/180))*-1</f>
        <v>-0.57442863414211398</v>
      </c>
      <c r="D279" s="3">
        <v>-117.50683706706099</v>
      </c>
      <c r="E279">
        <v>4.9467875340489247</v>
      </c>
      <c r="F279">
        <v>6.6024822277401167</v>
      </c>
      <c r="G279">
        <f>69.5280000790498*(-PI()/180)</f>
        <v>-1.2134925237062968</v>
      </c>
      <c r="H279">
        <f>4.32027148684528E-08*(-PI()/180)</f>
        <v>-7.5402962025481019E-10</v>
      </c>
    </row>
    <row r="280" spans="1:8" x14ac:dyDescent="0.3">
      <c r="A280" s="1">
        <v>277</v>
      </c>
      <c r="B280" s="2">
        <v>3.6000000000000023</v>
      </c>
      <c r="C280">
        <f>(-37.8696421407002*(-PI()/180))*-1</f>
        <v>-0.66094994190721224</v>
      </c>
      <c r="D280" s="3">
        <v>-117.04357923732324</v>
      </c>
      <c r="E280">
        <v>4.9448987526340051</v>
      </c>
      <c r="F280">
        <v>6.6034473516308889</v>
      </c>
      <c r="G280">
        <f>80.0000000000009*(-PI()/180)</f>
        <v>-1.3962634015954793</v>
      </c>
      <c r="H280">
        <f>9.03356455668201E-16*(-PI()/180)</f>
        <v>-1.57665444705563E-17</v>
      </c>
    </row>
    <row r="281" spans="1:8" x14ac:dyDescent="0.3">
      <c r="A281" s="1">
        <v>278</v>
      </c>
      <c r="B281" s="2">
        <v>3.6121800000000821</v>
      </c>
      <c r="C281">
        <f>(-42.480779483317*(-PI()/180))*-1</f>
        <v>-0.74142947079753718</v>
      </c>
      <c r="D281" s="3">
        <v>-116.55423339922696</v>
      </c>
      <c r="E281">
        <v>4.9428476483374038</v>
      </c>
      <c r="F281">
        <v>6.6044518692012879</v>
      </c>
      <c r="G281">
        <f>89.7439999445231*(-PI()/180)</f>
        <v>-1.5663282829415366</v>
      </c>
      <c r="H281">
        <f>-5.74055790543505E-08*(-PI()/180)</f>
        <v>1.0019163635123091E-9</v>
      </c>
    </row>
    <row r="282" spans="1:8" x14ac:dyDescent="0.3">
      <c r="A282" s="1">
        <v>279</v>
      </c>
      <c r="B282" s="2">
        <v>3.6369300000002442</v>
      </c>
      <c r="C282">
        <f>(-51.8590968071745*(-PI()/180))*-1</f>
        <v>-0.90511198639567403</v>
      </c>
      <c r="D282" s="3">
        <v>-115.38678562590655</v>
      </c>
      <c r="E282">
        <v>4.9378751522480835</v>
      </c>
      <c r="F282">
        <v>6.6069383604882344</v>
      </c>
      <c r="G282">
        <f>109.54400002027*(-PI()/180)</f>
        <v>-1.9119034761584466</v>
      </c>
      <c r="H282">
        <f>-3.138208582577E-08*(-PI()/180)</f>
        <v>5.4772072380313001E-10</v>
      </c>
    </row>
    <row r="283" spans="1:8" x14ac:dyDescent="0.3">
      <c r="A283" s="1">
        <v>280</v>
      </c>
      <c r="B283" s="2">
        <v>3.6400000000000023</v>
      </c>
      <c r="C283">
        <f>(-53.0190494916542*(-PI()/180))*-1</f>
        <v>-0.92535697990719168</v>
      </c>
      <c r="D283" s="3">
        <v>-115.22579922023455</v>
      </c>
      <c r="E283">
        <v>4.9371757917052941</v>
      </c>
      <c r="F283">
        <v>6.6072816670811614</v>
      </c>
      <c r="G283">
        <f>112.000000000001*(-PI()/180)</f>
        <v>-1.9547687622336665</v>
      </c>
      <c r="H283">
        <f>-1.03531863106165E-15*(-PI()/180)</f>
        <v>1.8069718919266231E-17</v>
      </c>
    </row>
    <row r="284" spans="1:8" x14ac:dyDescent="0.3">
      <c r="A284" s="1">
        <v>281</v>
      </c>
      <c r="B284" s="2">
        <v>3.6573000000001157</v>
      </c>
      <c r="C284">
        <f>(-59.5704420949299*(-PI()/180))*-1</f>
        <v>-1.0397003514251553</v>
      </c>
      <c r="D284" s="3">
        <v>-114.25189819231139</v>
      </c>
      <c r="E284">
        <v>4.9328734530270273</v>
      </c>
      <c r="F284">
        <v>6.6092843695504913</v>
      </c>
      <c r="G284">
        <f>125.840000095747*(-PI()/180)</f>
        <v>-2.1963223323807646</v>
      </c>
      <c r="H284">
        <f>-1.01285776004862E-07*(-PI()/180)</f>
        <v>1.7677702767223101E-9</v>
      </c>
    </row>
    <row r="285" spans="1:8" x14ac:dyDescent="0.3">
      <c r="A285" s="1">
        <v>282</v>
      </c>
      <c r="B285" s="2">
        <v>3.6725700000002157</v>
      </c>
      <c r="C285">
        <f>(-65.3587804669353*(-PI()/180))*-1</f>
        <v>-1.1407259142361779</v>
      </c>
      <c r="D285" s="3">
        <v>-113.2980841182746</v>
      </c>
      <c r="E285">
        <v>4.9285746672406336</v>
      </c>
      <c r="F285">
        <v>6.611156293677892</v>
      </c>
      <c r="G285">
        <f>138.055999991853*(-PI()/180)</f>
        <v>-2.4095317519910999</v>
      </c>
      <c r="H285">
        <f>-8.67570289067595E-08*(-PI()/180)</f>
        <v>1.5141958036708498E-9</v>
      </c>
    </row>
    <row r="286" spans="1:8" x14ac:dyDescent="0.3">
      <c r="A286" s="1">
        <v>283</v>
      </c>
      <c r="B286" s="2">
        <v>3.6800000000000024</v>
      </c>
      <c r="C286">
        <f>(-68.1677848413137*(-PI()/180))*-1</f>
        <v>-1.1897522892720045</v>
      </c>
      <c r="D286" s="3">
        <v>-112.80204444306804</v>
      </c>
      <c r="E286">
        <v>4.9263151422343423</v>
      </c>
      <c r="F286">
        <v>6.6121249620493296</v>
      </c>
      <c r="G286">
        <f>144.000000000001*(-PI()/180)</f>
        <v>-2.5132741228718518</v>
      </c>
      <c r="H286">
        <f>9.6637500037261E-16*(-PI()/180)</f>
        <v>-1.6866425565463475E-17</v>
      </c>
    </row>
    <row r="287" spans="1:8" x14ac:dyDescent="0.3">
      <c r="A287" s="1">
        <v>284</v>
      </c>
      <c r="B287" s="2">
        <v>3.6883100000000568</v>
      </c>
      <c r="C287">
        <f>(-71.3146292934344*(-PI()/180))*-1</f>
        <v>-1.2446750860096276</v>
      </c>
      <c r="D287" s="3">
        <v>-112.22247968577449</v>
      </c>
      <c r="E287">
        <v>4.9236580683989724</v>
      </c>
      <c r="F287">
        <v>6.6132548607469808</v>
      </c>
      <c r="G287">
        <f>150.647999877999*(-PI()/180)</f>
        <v>-2.6293036094150986</v>
      </c>
      <c r="H287">
        <f>9.68277805651607E-08*(-PI()/180)</f>
        <v>-1.6899635782606301E-9</v>
      </c>
    </row>
    <row r="288" spans="1:8" x14ac:dyDescent="0.3">
      <c r="A288" s="1">
        <v>285</v>
      </c>
      <c r="B288" s="2">
        <v>3.7017100000001446</v>
      </c>
      <c r="C288">
        <f>(-76.3944115050149*(-PI()/180))*-1</f>
        <v>-1.3333340108859466</v>
      </c>
      <c r="D288" s="3">
        <v>-111.23284302587716</v>
      </c>
      <c r="E288">
        <v>4.919077451272325</v>
      </c>
      <c r="F288">
        <v>6.6151362737483739</v>
      </c>
      <c r="G288">
        <f>161.36800013178*(-PI()/180)</f>
        <v>-2.8164029096582048</v>
      </c>
      <c r="H288">
        <f>-1.41037771535652E-08*(-PI()/180)</f>
        <v>2.4615734829726664E-10</v>
      </c>
    </row>
    <row r="289" spans="1:8" x14ac:dyDescent="0.3">
      <c r="A289" s="1">
        <v>286</v>
      </c>
      <c r="B289" s="2">
        <v>3.7146000000002291</v>
      </c>
      <c r="C289">
        <f>(-81.2740201561548*(-PI()/180))*-1</f>
        <v>-1.4184992480571372</v>
      </c>
      <c r="D289" s="3">
        <v>-110.21668288511837</v>
      </c>
      <c r="E289">
        <v>4.9143045319464784</v>
      </c>
      <c r="F289">
        <v>6.6169520227015166</v>
      </c>
      <c r="G289">
        <f>171.679999951675*(-PI()/180)</f>
        <v>-2.9963812589804348</v>
      </c>
      <c r="H289">
        <f>1.36215872860074E-07*(-PI()/180)</f>
        <v>-2.3774154748862764E-9</v>
      </c>
    </row>
    <row r="290" spans="1:8" x14ac:dyDescent="0.3">
      <c r="A290" s="1">
        <v>287</v>
      </c>
      <c r="B290" s="2">
        <v>3.7200000000000024</v>
      </c>
      <c r="C290">
        <f>(-83.3232767573726*(-PI()/180))*-1</f>
        <v>-1.4542655229666162</v>
      </c>
      <c r="D290" s="3">
        <v>-109.77229006898784</v>
      </c>
      <c r="E290">
        <v>4.9121936485653483</v>
      </c>
      <c r="F290">
        <v>6.617710990689984</v>
      </c>
      <c r="G290">
        <f>176.000000000002*(-PI()/180)</f>
        <v>-3.0717794835100549</v>
      </c>
      <c r="H290">
        <f>-6.75171976137605E-16*(-PI()/180)</f>
        <v>1.1783974000797794E-17</v>
      </c>
    </row>
    <row r="291" spans="1:8" x14ac:dyDescent="0.3">
      <c r="A291" s="1">
        <v>288</v>
      </c>
      <c r="B291" s="2">
        <v>3.7270800000000488</v>
      </c>
      <c r="C291">
        <f>(-86.0007676515928*(-PI()/180))*-1</f>
        <v>-1.5009965547629258</v>
      </c>
      <c r="D291" s="3">
        <v>-109.17290258006793</v>
      </c>
      <c r="E291">
        <v>4.9093272707826632</v>
      </c>
      <c r="F291">
        <v>6.6187109212609512</v>
      </c>
      <c r="G291">
        <f>181.664000103217*(-PI()/180)</f>
        <v>-3.1706349341444553</v>
      </c>
      <c r="H291">
        <f>-6.14170020231866E-08*(-PI()/180)</f>
        <v>1.0719289020086248E-9</v>
      </c>
    </row>
    <row r="292" spans="1:8" x14ac:dyDescent="0.3">
      <c r="A292" s="1">
        <v>289</v>
      </c>
      <c r="B292" s="2">
        <v>3.7389500000001266</v>
      </c>
      <c r="C292">
        <f>(-90.4961164858321*(-PI()/180))*-1</f>
        <v>-1.5794551929460907</v>
      </c>
      <c r="D292" s="3">
        <v>-108.12539208280434</v>
      </c>
      <c r="E292">
        <v>4.9042811772218835</v>
      </c>
      <c r="F292">
        <v>6.6204156457763261</v>
      </c>
      <c r="G292">
        <f>191.159999929091*(-PI()/180)</f>
        <v>-3.3363713968747648</v>
      </c>
      <c r="H292">
        <f>-6.23712553358048E-08*(-PI()/180)</f>
        <v>1.0885837642118754E-9</v>
      </c>
    </row>
    <row r="293" spans="1:8" x14ac:dyDescent="0.3">
      <c r="A293" s="1">
        <v>290</v>
      </c>
      <c r="B293" s="2">
        <v>3.7600000000000025</v>
      </c>
      <c r="C293">
        <f>(-98.4755067774835*(-PI()/180))*-1</f>
        <v>-1.7187218258370782</v>
      </c>
      <c r="D293" s="3">
        <v>-106.1365548300333</v>
      </c>
      <c r="E293">
        <v>4.8945939200994708</v>
      </c>
      <c r="F293">
        <v>6.6234736850093068</v>
      </c>
      <c r="G293">
        <f>208.000000000002*(-PI()/180)</f>
        <v>-3.6302848441482403</v>
      </c>
      <c r="H293">
        <f>5.56188461309688E-15*(-PI()/180)</f>
        <v>-9.7073199114551479E-17</v>
      </c>
    </row>
    <row r="294" spans="1:8" x14ac:dyDescent="0.3">
      <c r="A294" s="1">
        <v>291</v>
      </c>
      <c r="B294" s="2">
        <v>3.7649400000000348</v>
      </c>
      <c r="C294">
        <f>(-100.342374589047*(-PI()/180))*-1</f>
        <v>-1.7513048158483622</v>
      </c>
      <c r="D294" s="3">
        <v>-105.64550704233348</v>
      </c>
      <c r="E294">
        <v>4.8921729538693182</v>
      </c>
      <c r="F294">
        <v>6.6241721253915404</v>
      </c>
      <c r="G294">
        <f>211.95200019347*(-PI()/180)</f>
        <v>-3.6992602595637103</v>
      </c>
      <c r="H294">
        <f>-3.09993755791476E-09*(-PI()/180)</f>
        <v>5.4104116991844966E-11</v>
      </c>
    </row>
    <row r="295" spans="1:8" x14ac:dyDescent="0.3">
      <c r="A295" s="1">
        <v>292</v>
      </c>
      <c r="B295" s="2">
        <v>3.7776100000001178</v>
      </c>
      <c r="C295">
        <f>(-105.138238563707*(-PI()/180))*-1</f>
        <v>-1.8350084326839613</v>
      </c>
      <c r="D295" s="3">
        <v>-104.34380287032697</v>
      </c>
      <c r="E295">
        <v>4.8856967406480658</v>
      </c>
      <c r="F295">
        <v>6.6258989716110275</v>
      </c>
      <c r="G295">
        <f>222.088000052907*(-PI()/180)</f>
        <v>-3.876166830092568</v>
      </c>
      <c r="H295">
        <f>7.38792784256493E-09*(-PI()/180)</f>
        <v>-1.289436657525193E-10</v>
      </c>
    </row>
    <row r="296" spans="1:8" x14ac:dyDescent="0.3">
      <c r="A296" s="1">
        <v>293</v>
      </c>
      <c r="B296" s="2">
        <v>3.7888700000001916</v>
      </c>
      <c r="C296">
        <f>(-109.402878205014*(-PI()/180))*-1</f>
        <v>-1.9094404358358383</v>
      </c>
      <c r="D296" s="3">
        <v>-103.13593063779021</v>
      </c>
      <c r="E296">
        <v>4.8796307054223256</v>
      </c>
      <c r="F296">
        <v>6.6273650916378042</v>
      </c>
      <c r="G296">
        <f>231.095999926627*(-PI()/180)</f>
        <v>-4.033386086908215</v>
      </c>
      <c r="H296">
        <f>6.51312549963869E-08*(-PI()/180)</f>
        <v>-1.136754845642959E-9</v>
      </c>
    </row>
    <row r="297" spans="1:8" x14ac:dyDescent="0.3">
      <c r="A297" s="1">
        <v>294</v>
      </c>
      <c r="B297" s="2">
        <v>3.7995800000002617</v>
      </c>
      <c r="C297">
        <f>(-113.464300104714*(-PI()/180))*-1</f>
        <v>-1.980325620298206</v>
      </c>
      <c r="D297" s="3">
        <v>-101.94252887959541</v>
      </c>
      <c r="E297">
        <v>4.8735983802713667</v>
      </c>
      <c r="F297">
        <v>6.6287157017721094</v>
      </c>
      <c r="G297">
        <f>239.664000039517*(-PI()/180)</f>
        <v>-4.1829258991893914</v>
      </c>
      <c r="H297">
        <f>7.84507959199227E-08*(-PI()/180)</f>
        <v>-1.3692246896127849E-9</v>
      </c>
    </row>
    <row r="298" spans="1:8" x14ac:dyDescent="0.3">
      <c r="A298" s="1">
        <v>295</v>
      </c>
      <c r="B298" s="2">
        <v>3.8000000000000025</v>
      </c>
      <c r="C298">
        <f>(-113.621729244377*(-PI()/180))*-1</f>
        <v>-1.9830732771239075</v>
      </c>
      <c r="D298" s="3">
        <v>-101.89484197652496</v>
      </c>
      <c r="E298">
        <v>4.8733565140404291</v>
      </c>
      <c r="F298">
        <v>6.6287677286399749</v>
      </c>
      <c r="G298">
        <f>240.000000000003*(-PI()/180)</f>
        <v>-4.1887902047864438</v>
      </c>
      <c r="H298">
        <f>4.74148846146038E-15*(-PI()/180)</f>
        <v>-8.2754585097803901E-17</v>
      </c>
    </row>
    <row r="299" spans="1:8" x14ac:dyDescent="0.3">
      <c r="A299" s="1">
        <v>296</v>
      </c>
      <c r="B299" s="2">
        <v>3.8175700000001176</v>
      </c>
      <c r="C299">
        <f>(-117.150647218326*(-PI()/180))*-1</f>
        <v>-2.044664514802125</v>
      </c>
      <c r="D299" s="3">
        <v>-99.846917005866644</v>
      </c>
      <c r="E299">
        <v>4.8630076350377314</v>
      </c>
      <c r="F299">
        <v>6.630817770816213</v>
      </c>
      <c r="G299">
        <f>254.056000073341*(-PI()/180)</f>
        <v>-4.4341136857267562</v>
      </c>
      <c r="H299">
        <f>-2.30913718795379E-08*(-PI()/180)</f>
        <v>4.0302046810036778E-10</v>
      </c>
    </row>
    <row r="300" spans="1:8" x14ac:dyDescent="0.3">
      <c r="A300" s="1">
        <v>297</v>
      </c>
      <c r="B300" s="2">
        <v>3.8318200000002109</v>
      </c>
      <c r="C300">
        <f>(-114.062891242778*(-PI()/180))*-1</f>
        <v>-1.9907730065306828</v>
      </c>
      <c r="D300" s="3">
        <v>-98.214251548612296</v>
      </c>
      <c r="E300">
        <v>4.8549285631317991</v>
      </c>
      <c r="F300">
        <v>6.6322353427839733</v>
      </c>
      <c r="G300">
        <f>265.456000097792*(-PI()/180)</f>
        <v>-4.6330812208808601</v>
      </c>
      <c r="H300">
        <f>-1.34846654108284E-07*(-PI()/180)</f>
        <v>2.353518099487494E-9</v>
      </c>
    </row>
    <row r="301" spans="1:8" x14ac:dyDescent="0.3">
      <c r="A301" s="1">
        <v>298</v>
      </c>
      <c r="B301" s="2">
        <v>3.8400000000000025</v>
      </c>
      <c r="C301">
        <f>(-118.195706090501*(-PI()/180))*-1</f>
        <v>-2.0629042329987572</v>
      </c>
      <c r="D301" s="3">
        <v>-97.267641882321769</v>
      </c>
      <c r="E301">
        <v>4.8503390402884898</v>
      </c>
      <c r="F301">
        <v>6.6330114899925885</v>
      </c>
      <c r="G301">
        <f>272.000000000004*(-PI()/180)</f>
        <v>-4.747295565424646</v>
      </c>
      <c r="H301">
        <f>6.78972701686978E-16*(-PI()/180)</f>
        <v>-1.1850309175599024E-17</v>
      </c>
    </row>
    <row r="302" spans="1:8" x14ac:dyDescent="0.3">
      <c r="A302" s="1">
        <v>299</v>
      </c>
      <c r="B302" s="2">
        <v>3.8444600000000317</v>
      </c>
      <c r="C302">
        <f>(-122.630653094444*(-PI()/180))*-1</f>
        <v>-2.1403086603690205</v>
      </c>
      <c r="D302" s="3">
        <v>-96.73099381096965</v>
      </c>
      <c r="E302">
        <v>4.8478231400250662</v>
      </c>
      <c r="F302">
        <v>6.6334296786719644</v>
      </c>
      <c r="G302">
        <f>275.567999945551*(-PI()/180)</f>
        <v>-4.8095689121854193</v>
      </c>
      <c r="H302">
        <f>8.9281624600871E-08*(-PI()/180)</f>
        <v>-1.5582583108147672E-9</v>
      </c>
    </row>
    <row r="303" spans="1:8" x14ac:dyDescent="0.3">
      <c r="A303" s="1">
        <v>300</v>
      </c>
      <c r="B303" s="2">
        <v>3.8555900000001047</v>
      </c>
      <c r="C303">
        <f>(-134.527928083728*(-PI()/180))*-1</f>
        <v>-2.3479552809471995</v>
      </c>
      <c r="D303" s="3">
        <v>-95.302407130139628</v>
      </c>
      <c r="E303">
        <v>4.8413237116998564</v>
      </c>
      <c r="F303">
        <v>6.6343675311431252</v>
      </c>
      <c r="G303">
        <f>284.472000155551*(-PI()/180)</f>
        <v>-4.964973032448186</v>
      </c>
      <c r="H303">
        <f>5.75165745121649E-08*(-PI()/180)</f>
        <v>-1.0038535997059287E-9</v>
      </c>
    </row>
    <row r="304" spans="1:8" x14ac:dyDescent="0.3">
      <c r="A304" s="1">
        <v>301</v>
      </c>
      <c r="B304" s="2">
        <v>3.8778700000002506</v>
      </c>
      <c r="C304">
        <f>(-142.295930483725*(-PI()/180))*-1</f>
        <v>-2.4835324991299683</v>
      </c>
      <c r="D304" s="3">
        <v>-92.21335436336598</v>
      </c>
      <c r="E304">
        <v>4.8272065144897578</v>
      </c>
      <c r="F304">
        <v>6.6351391143608049</v>
      </c>
      <c r="G304">
        <f>302.295999948101*(-PI()/180)</f>
        <v>-5.2760605147029693</v>
      </c>
      <c r="H304">
        <f>-1.86391665381458E-07*(-PI()/180)</f>
        <v>3.2531482591819748E-9</v>
      </c>
    </row>
    <row r="305" spans="1:8" x14ac:dyDescent="0.3">
      <c r="A305" s="1">
        <v>302</v>
      </c>
      <c r="B305" s="2">
        <v>3.8800000000000026</v>
      </c>
      <c r="C305">
        <f>(-143.385662439176*(-PI()/180))*-1</f>
        <v>-2.502551909716785</v>
      </c>
      <c r="D305" s="3">
        <v>-91.909155287733171</v>
      </c>
      <c r="E305">
        <v>4.8258129017336202</v>
      </c>
      <c r="F305">
        <v>6.6351487015185588</v>
      </c>
      <c r="G305">
        <f>304.000000000004*(-PI()/180)</f>
        <v>-5.3058009260628314</v>
      </c>
      <c r="H305">
        <f>-3.97349831091697E-16*(-PI()/180)</f>
        <v>6.9350628347934472E-18</v>
      </c>
    </row>
    <row r="306" spans="1:8" x14ac:dyDescent="0.3">
      <c r="A306" s="1">
        <v>303</v>
      </c>
      <c r="B306" s="2">
        <v>3.8991700000001281</v>
      </c>
      <c r="C306">
        <f>(-151.18251706196*(-PI()/180))*-1</f>
        <v>-2.6386326941837059</v>
      </c>
      <c r="D306" s="3">
        <v>-89.081450124533148</v>
      </c>
      <c r="E306">
        <v>4.8128169967338845</v>
      </c>
      <c r="F306">
        <v>6.635223541271019</v>
      </c>
      <c r="G306">
        <f>319.335999848032*(-PI()/180)</f>
        <v>-5.5734646174962696</v>
      </c>
      <c r="H306">
        <f>9.4548010531844E-09*(-PI()/180)</f>
        <v>-1.6501740849909529E-10</v>
      </c>
    </row>
    <row r="307" spans="1:8" x14ac:dyDescent="0.3">
      <c r="A307" s="1">
        <v>304</v>
      </c>
      <c r="B307" s="2">
        <v>3.9175500000002486</v>
      </c>
      <c r="C307">
        <f>(-157.363387344208*(-PI()/180))*-1</f>
        <v>-2.7465092312476052</v>
      </c>
      <c r="D307" s="3">
        <v>-86.240441678458382</v>
      </c>
      <c r="E307">
        <v>4.7994557351599152</v>
      </c>
      <c r="F307">
        <v>6.6349983726552688</v>
      </c>
      <c r="G307">
        <f>334.03999992868*(-PI()/180)</f>
        <v>-5.8300978321170893</v>
      </c>
      <c r="H307">
        <f>-3.24854822446561E-08*(-PI()/180)</f>
        <v>5.6697862426740709E-10</v>
      </c>
    </row>
    <row r="308" spans="1:8" x14ac:dyDescent="0.3">
      <c r="A308" s="1">
        <v>305</v>
      </c>
      <c r="B308" s="2">
        <v>3.9200000000000026</v>
      </c>
      <c r="C308">
        <f>(-157.719668525493*(-PI()/180))*-1</f>
        <v>-2.7527275109239229</v>
      </c>
      <c r="D308" s="3">
        <v>-85.854459941027542</v>
      </c>
      <c r="E308">
        <v>4.7976293208823169</v>
      </c>
      <c r="F308">
        <v>6.634889570958542</v>
      </c>
      <c r="G308">
        <f>336.000000000004*(-PI()/180)</f>
        <v>-5.8643062867010167</v>
      </c>
      <c r="H308">
        <f>2.07415783540655E-16*(-PI()/180)</f>
        <v>-3.6200883433882918E-18</v>
      </c>
    </row>
    <row r="309" spans="1:8" x14ac:dyDescent="0.3">
      <c r="A309" s="1">
        <v>306</v>
      </c>
      <c r="B309" s="2">
        <v>3.9340200000000944</v>
      </c>
      <c r="C309">
        <f>(-163.125738872645*(-PI()/180))*-1</f>
        <v>-2.8470812380761581</v>
      </c>
      <c r="D309" s="3">
        <v>-83.617453688951088</v>
      </c>
      <c r="E309">
        <v>4.7870184731014973</v>
      </c>
      <c r="F309">
        <v>6.633890170931303</v>
      </c>
      <c r="G309">
        <f>347.216000040148*(-PI()/180)</f>
        <v>-6.060062416305346</v>
      </c>
      <c r="H309">
        <f>1.6901470231011E-07*(-PI()/180)</f>
        <v>-2.9498630395894854E-9</v>
      </c>
    </row>
    <row r="310" spans="1:8" x14ac:dyDescent="0.3">
      <c r="A310" s="1">
        <v>307</v>
      </c>
      <c r="B310" s="2">
        <v>3.9566400000002426</v>
      </c>
      <c r="C310">
        <f>(-172.927847773809*(-PI()/180))*-1</f>
        <v>-3.0181603120405134</v>
      </c>
      <c r="D310" s="3">
        <v>-79.80403945439933</v>
      </c>
      <c r="E310">
        <v>4.7693304931693099</v>
      </c>
      <c r="F310">
        <v>6.6313427852043532</v>
      </c>
      <c r="G310">
        <f>365.312000054286*(-PI()/180)</f>
        <v>-6.3758971979929946</v>
      </c>
      <c r="H310">
        <f>5.48079256869542E-08*(-PI()/180)</f>
        <v>-9.565787594257258E-10</v>
      </c>
    </row>
    <row r="311" spans="1:8" x14ac:dyDescent="0.3">
      <c r="A311" s="1">
        <v>308</v>
      </c>
      <c r="B311" s="2">
        <v>3.9600000000000026</v>
      </c>
      <c r="C311">
        <f>(-173.981018735089*(-PI()/180))*-1</f>
        <v>-3.0365416129012432</v>
      </c>
      <c r="D311" s="3">
        <v>-79.221096546184782</v>
      </c>
      <c r="E311">
        <v>4.7666630767172222</v>
      </c>
      <c r="F311">
        <v>6.6308853529189715</v>
      </c>
      <c r="G311">
        <f>368.000000000003*(-PI()/180)</f>
        <v>-6.4228116473391852</v>
      </c>
      <c r="H311">
        <f>1.57264908118279E-15*(-PI()/180)</f>
        <v>-2.7447904445103285E-17</v>
      </c>
    </row>
    <row r="312" spans="1:8" x14ac:dyDescent="0.3">
      <c r="A312" s="1">
        <v>309</v>
      </c>
      <c r="B312" s="2">
        <v>3.9764200000001102</v>
      </c>
      <c r="C312">
        <f>(-178.242521809376*(-PI()/180))*-1</f>
        <v>-3.1109188726314119</v>
      </c>
      <c r="D312" s="3">
        <v>-76.331355174054508</v>
      </c>
      <c r="E312">
        <v>4.753486896979819</v>
      </c>
      <c r="F312">
        <v>6.6281873419309854</v>
      </c>
      <c r="G312">
        <f>381.135999962712*(-PI()/180)</f>
        <v>-6.6520780972303095</v>
      </c>
      <c r="H312">
        <f>-3.50523037492542E-09*(-PI()/180)</f>
        <v>6.1177811083363868E-11</v>
      </c>
    </row>
    <row r="313" spans="1:8" x14ac:dyDescent="0.3">
      <c r="A313" s="1">
        <v>310</v>
      </c>
      <c r="B313" s="2">
        <v>3.9876100000001835</v>
      </c>
      <c r="C313">
        <f>(-184.682496263651*(-PI()/180))*-1</f>
        <v>-3.2233176306028355</v>
      </c>
      <c r="D313" s="3">
        <v>-74.301506417057297</v>
      </c>
      <c r="E313">
        <v>4.7444568880433646</v>
      </c>
      <c r="F313">
        <v>6.6258464496042055</v>
      </c>
      <c r="G313">
        <f>390.088000004077*(-PI()/180)</f>
        <v>-6.8083199725907972</v>
      </c>
      <c r="H313">
        <f>-8.68461938962947E-08*(-PI()/180)</f>
        <v>1.5157520263157454E-9</v>
      </c>
    </row>
    <row r="314" spans="1:8" x14ac:dyDescent="0.3">
      <c r="A314" s="1">
        <v>311</v>
      </c>
      <c r="B314" s="2">
        <v>4.0000000000000027</v>
      </c>
      <c r="C314">
        <f>(-188.745858958613*(-PI()/180))*-1</f>
        <v>-3.2942366883326328</v>
      </c>
      <c r="D314" s="3">
        <v>-71.985502070094753</v>
      </c>
      <c r="E314">
        <v>4.7342940889629004</v>
      </c>
      <c r="F314">
        <v>6.6227557302943678</v>
      </c>
      <c r="G314">
        <f>399.333333333335*(-PI()/180)</f>
        <v>-6.9696814796307187</v>
      </c>
      <c r="H314">
        <f>0.666666666667731*(-PI()/180)</f>
        <v>-1.1635528346647439E-2</v>
      </c>
    </row>
    <row r="315" spans="1:8" x14ac:dyDescent="0.3">
      <c r="A315" s="1">
        <v>312</v>
      </c>
      <c r="B315" s="2">
        <v>4.001259999999955</v>
      </c>
      <c r="C315">
        <f>(-188.580330511168*(-PI()/180))*-1</f>
        <v>-3.2913476719190027</v>
      </c>
      <c r="D315" s="3">
        <v>-71.747756814379443</v>
      </c>
      <c r="E315">
        <v>4.7332518394407348</v>
      </c>
      <c r="F315">
        <v>6.6224131865283606</v>
      </c>
      <c r="G315">
        <f>399.649549626795*(-PI()/180)</f>
        <v>-6.9752004951000481</v>
      </c>
      <c r="H315">
        <f>1.35845032729473*(-PI()/180)</f>
        <v>-2.3709430936087631E-2</v>
      </c>
    </row>
    <row r="316" spans="1:8" x14ac:dyDescent="0.3">
      <c r="A316" s="1">
        <v>313</v>
      </c>
      <c r="B316" s="2">
        <v>4.0228699999991369</v>
      </c>
      <c r="C316">
        <f>(-180.721721649056*(-PI()/180))*-1</f>
        <v>-3.1541890726487436</v>
      </c>
      <c r="D316" s="3">
        <v>-67.75429756499318</v>
      </c>
      <c r="E316">
        <v>4.7151354689032434</v>
      </c>
      <c r="F316">
        <v>6.6156873992797118</v>
      </c>
      <c r="G316">
        <f>400.000000051563*(-PI()/180)</f>
        <v>-6.9813170088772623</v>
      </c>
      <c r="H316">
        <f>18.296000009197*(-PI()/180)</f>
        <v>-0.31932544010540048</v>
      </c>
    </row>
    <row r="317" spans="1:8" x14ac:dyDescent="0.3">
      <c r="A317" s="1">
        <v>314</v>
      </c>
      <c r="B317" s="2">
        <v>4.0400000000000027</v>
      </c>
      <c r="C317">
        <f>(-174.228376197256*(-PI()/180))*-1</f>
        <v>-3.0408588150454348</v>
      </c>
      <c r="D317" s="3">
        <v>-64.714215691820712</v>
      </c>
      <c r="E317">
        <v>4.7003415819567111</v>
      </c>
      <c r="F317">
        <v>6.6091932678101974</v>
      </c>
      <c r="G317">
        <f>400.000000001863*(-PI()/180)</f>
        <v>-6.9813170080098335</v>
      </c>
      <c r="H317">
        <f>32.0000000000028*(-PI()/180)</f>
        <v>-0.5585053606382343</v>
      </c>
    </row>
    <row r="318" spans="1:8" x14ac:dyDescent="0.3">
      <c r="A318" s="1">
        <v>315</v>
      </c>
      <c r="B318" s="2">
        <v>4.0442099999998433</v>
      </c>
      <c r="C318">
        <f>(-172.637729856846*(-PI()/180))*-1</f>
        <v>-3.0130967991704813</v>
      </c>
      <c r="D318" s="3">
        <v>-63.984018325558061</v>
      </c>
      <c r="E318">
        <v>4.6966668721367943</v>
      </c>
      <c r="F318">
        <v>6.6074438518426879</v>
      </c>
      <c r="G318">
        <f>399.999999963004*(-PI()/180)</f>
        <v>-6.981317007331616</v>
      </c>
      <c r="H318">
        <f>35.367999966796*(-PI()/180)</f>
        <v>-0.61728804926583536</v>
      </c>
    </row>
    <row r="319" spans="1:8" x14ac:dyDescent="0.3">
      <c r="A319" s="1">
        <v>316</v>
      </c>
      <c r="B319" s="2">
        <v>4.0602299999992368</v>
      </c>
      <c r="C319">
        <f>(-166.558780241091*(-PI()/180))*-1</f>
        <v>-2.9069991133127129</v>
      </c>
      <c r="D319" s="3">
        <v>-61.267025132842896</v>
      </c>
      <c r="E319">
        <v>4.6827275147698533</v>
      </c>
      <c r="F319">
        <v>6.6002476885952266</v>
      </c>
      <c r="G319">
        <f>399.999999995405*(-PI()/180)</f>
        <v>-6.9813170078971201</v>
      </c>
      <c r="H319">
        <f>48.1839999884444*(-PI()/180)</f>
        <v>-0.84096944657926442</v>
      </c>
    </row>
    <row r="320" spans="1:8" x14ac:dyDescent="0.3">
      <c r="A320" s="1">
        <v>317</v>
      </c>
      <c r="B320" s="2">
        <v>4.0745099999986962</v>
      </c>
      <c r="C320">
        <f>(-161.164857208539*(-PI()/180))*-1</f>
        <v>-2.8128573967955228</v>
      </c>
      <c r="D320" s="3">
        <v>-58.927098303672452</v>
      </c>
      <c r="E320">
        <v>4.6706046898768747</v>
      </c>
      <c r="F320">
        <v>6.593232595201548</v>
      </c>
      <c r="G320">
        <f>400.000000056985*(-PI()/180)</f>
        <v>-6.9813170089718941</v>
      </c>
      <c r="H320">
        <f>59.6080000116795*(-PI()/180)</f>
        <v>-1.0403558607326258</v>
      </c>
    </row>
    <row r="321" spans="1:8" x14ac:dyDescent="0.3">
      <c r="A321" s="1">
        <v>318</v>
      </c>
      <c r="B321" s="2">
        <v>4.0800000000000027</v>
      </c>
      <c r="C321">
        <f>(-159.082148681602*(-PI()/180))*-1</f>
        <v>-2.7765072756411113</v>
      </c>
      <c r="D321" s="3">
        <v>-58.047965527425234</v>
      </c>
      <c r="E321">
        <v>4.6659611165254304</v>
      </c>
      <c r="F321">
        <v>6.5903679976014065</v>
      </c>
      <c r="G321">
        <f>400.000000000001*(-PI()/180)</f>
        <v>-6.9813170079773359</v>
      </c>
      <c r="H321">
        <f>64.0000000000032*(-PI()/180)</f>
        <v>-1.1170107212764266</v>
      </c>
    </row>
    <row r="322" spans="1:8" x14ac:dyDescent="0.3">
      <c r="A322" s="1">
        <v>319</v>
      </c>
      <c r="B322" s="2">
        <v>4.0953599999994212</v>
      </c>
      <c r="C322">
        <f>(-153.251547699269*(-PI()/180))*-1</f>
        <v>-2.6747440911293849</v>
      </c>
      <c r="D322" s="3">
        <v>-55.649204249022382</v>
      </c>
      <c r="E322">
        <v>4.652910322314451</v>
      </c>
      <c r="F322">
        <v>6.5818286180838177</v>
      </c>
      <c r="G322">
        <f>400.000000082433*(-PI()/180)</f>
        <v>-6.9813170094160455</v>
      </c>
      <c r="H322">
        <f>76.2879997953124*(-PI()/180)</f>
        <v>-1.3314767761889617</v>
      </c>
    </row>
    <row r="323" spans="1:8" x14ac:dyDescent="0.3">
      <c r="A323" s="1">
        <v>320</v>
      </c>
      <c r="B323" s="2">
        <v>4.1200000000000028</v>
      </c>
      <c r="C323">
        <f>(-143.959070499119*(-PI()/180))*-1</f>
        <v>-2.5125597683202634</v>
      </c>
      <c r="D323" s="3">
        <v>-51.987650462787784</v>
      </c>
      <c r="E323">
        <v>4.6317632668972255</v>
      </c>
      <c r="F323">
        <v>6.5664096985929339</v>
      </c>
      <c r="G323">
        <f>400.000000001241*(-PI()/180)</f>
        <v>-6.9813170079989781</v>
      </c>
      <c r="H323">
        <f>96.0000000000034*(-PI()/180)</f>
        <v>-1.6755160819146155</v>
      </c>
    </row>
    <row r="324" spans="1:8" x14ac:dyDescent="0.3">
      <c r="A324" s="1">
        <v>321</v>
      </c>
      <c r="B324" s="2">
        <v>4.1207899999999729</v>
      </c>
      <c r="C324">
        <f>(-143.635212520029*(-PI()/180))*-1</f>
        <v>-2.5069073802762878</v>
      </c>
      <c r="D324" s="3">
        <v>-51.874050034942648</v>
      </c>
      <c r="E324">
        <v>4.6310855791388104</v>
      </c>
      <c r="F324">
        <v>6.5658791203854863</v>
      </c>
      <c r="G324">
        <f>400.000000041615*(-PI()/180)</f>
        <v>-6.9813170087036367</v>
      </c>
      <c r="H324">
        <f>96.6320000118952*(-PI()/180)</f>
        <v>-1.6865465629947709</v>
      </c>
    </row>
    <row r="325" spans="1:8" x14ac:dyDescent="0.3">
      <c r="A325" s="1">
        <v>322</v>
      </c>
      <c r="B325" s="2">
        <v>4.1414399999991911</v>
      </c>
      <c r="C325">
        <f>(-135.802018225045*(-PI()/180))*-1</f>
        <v>-2.3701923488803809</v>
      </c>
      <c r="D325" s="3">
        <v>-48.988721110127607</v>
      </c>
      <c r="E325">
        <v>4.6134238541627388</v>
      </c>
      <c r="F325">
        <v>6.551223214460026</v>
      </c>
      <c r="G325">
        <f>399.999999942653*(-PI()/180)</f>
        <v>-6.9813170069764245</v>
      </c>
      <c r="H325">
        <f>113.152000063249*(-PI()/180)</f>
        <v>-1.9748749563205272</v>
      </c>
    </row>
    <row r="326" spans="1:8" x14ac:dyDescent="0.3">
      <c r="A326" s="1">
        <v>323</v>
      </c>
      <c r="B326" s="2">
        <v>4.1543099999987039</v>
      </c>
      <c r="C326">
        <f>(-130.943064568823*(-PI()/180))*-1</f>
        <v>-2.2853876093774903</v>
      </c>
      <c r="D326" s="3">
        <v>-47.272221183489279</v>
      </c>
      <c r="E326">
        <v>4.6024090547478727</v>
      </c>
      <c r="F326">
        <v>6.5413355226889465</v>
      </c>
      <c r="G326">
        <f>400.000000096579*(-PI()/180)</f>
        <v>-6.9813170096629396</v>
      </c>
      <c r="H326">
        <f>123.447999939337*(-PI()/180)</f>
        <v>-2.1545740539431906</v>
      </c>
    </row>
    <row r="327" spans="1:8" x14ac:dyDescent="0.3">
      <c r="A327" s="1">
        <v>324</v>
      </c>
      <c r="B327" s="2">
        <v>4.1600000000000028</v>
      </c>
      <c r="C327">
        <f>(-128.777572442317*(-PI()/180))*-1</f>
        <v>-2.2475926418439469</v>
      </c>
      <c r="D327" s="3">
        <v>-46.533339810061101</v>
      </c>
      <c r="E327">
        <v>4.5975401074548401</v>
      </c>
      <c r="F327">
        <v>6.5367927130479906</v>
      </c>
      <c r="G327">
        <f>400.000000000931*(-PI()/180)</f>
        <v>-6.9813170079935665</v>
      </c>
      <c r="H327">
        <f>128.000000000003*(-PI()/180)</f>
        <v>-2.2340214425527942</v>
      </c>
    </row>
    <row r="328" spans="1:8" x14ac:dyDescent="0.3">
      <c r="A328" s="1">
        <v>325</v>
      </c>
      <c r="B328" s="2">
        <v>4.1725199999995288</v>
      </c>
      <c r="C328">
        <f>(-124.029474574992*(-PI()/180))*-1</f>
        <v>-2.164722700852205</v>
      </c>
      <c r="D328" s="3">
        <v>-44.950733048245958</v>
      </c>
      <c r="E328">
        <v>4.5869464046659179</v>
      </c>
      <c r="F328">
        <v>6.5265169638566798</v>
      </c>
      <c r="G328">
        <f>400.000000033137*(-PI()/180)</f>
        <v>-6.9813170085556679</v>
      </c>
      <c r="H328">
        <f>138.01600003562*(-PI()/180)</f>
        <v>-2.4088336210541805</v>
      </c>
    </row>
    <row r="329" spans="1:8" x14ac:dyDescent="0.3">
      <c r="A329" s="1">
        <v>326</v>
      </c>
      <c r="B329" s="2">
        <v>4.1933399999987406</v>
      </c>
      <c r="C329">
        <f>(-116.151593909638*(-PI()/180))*-1</f>
        <v>-2.027227745162576</v>
      </c>
      <c r="D329" s="3">
        <v>-42.450346264880828</v>
      </c>
      <c r="E329">
        <v>4.569929130309978</v>
      </c>
      <c r="F329">
        <v>6.5086767437770288</v>
      </c>
      <c r="G329">
        <f>399.999999839781*(-PI()/180)</f>
        <v>-6.9813170051809692</v>
      </c>
      <c r="H329">
        <f>154.672000111307*(-PI()/180)</f>
        <v>-2.6995356625873432</v>
      </c>
    </row>
    <row r="330" spans="1:8" x14ac:dyDescent="0.3">
      <c r="A330" s="1">
        <v>327</v>
      </c>
      <c r="B330" s="2">
        <v>4.2000000000000028</v>
      </c>
      <c r="C330">
        <f>(-113.616933823378*(-PI()/180))*-1</f>
        <v>-1.9829895812384557</v>
      </c>
      <c r="D330" s="3">
        <v>-41.685156412118246</v>
      </c>
      <c r="E330">
        <v>4.5645719252155796</v>
      </c>
      <c r="F330">
        <v>6.5026980792058868</v>
      </c>
      <c r="G330">
        <f>400.00000000062*(-PI()/180)</f>
        <v>-6.9813170079881388</v>
      </c>
      <c r="H330">
        <f>160.000000000003*(-PI()/180)</f>
        <v>-2.79252680319098</v>
      </c>
    </row>
    <row r="331" spans="1:8" x14ac:dyDescent="0.3">
      <c r="A331" s="1">
        <v>328</v>
      </c>
      <c r="B331" s="2">
        <v>4.2033399999998764</v>
      </c>
      <c r="C331">
        <f>(-112.364944357111*(-PI()/180))*-1</f>
        <v>-1.96113824285181</v>
      </c>
      <c r="D331" s="3">
        <v>-41.307748639943505</v>
      </c>
      <c r="E331">
        <v>4.5618883154446568</v>
      </c>
      <c r="F331">
        <v>6.4996452222315355</v>
      </c>
      <c r="G331">
        <f>400.000000024416*(-PI()/180)</f>
        <v>-6.9813170084034581</v>
      </c>
      <c r="H331">
        <f>162.672000078455*(-PI()/180)</f>
        <v>-2.8391620021735138</v>
      </c>
    </row>
    <row r="332" spans="1:8" x14ac:dyDescent="0.3">
      <c r="A332" s="1">
        <v>329</v>
      </c>
      <c r="B332" s="2">
        <v>4.2196399999992593</v>
      </c>
      <c r="C332">
        <f>(-106.179253523638*(-PI()/180))*-1</f>
        <v>-1.8531775712972738</v>
      </c>
      <c r="D332" s="3">
        <v>-39.526546177760679</v>
      </c>
      <c r="E332">
        <v>4.5487973782340889</v>
      </c>
      <c r="F332">
        <v>6.484259613099927</v>
      </c>
      <c r="G332">
        <f>399.999999929426*(-PI()/180)</f>
        <v>-6.9813170067455692</v>
      </c>
      <c r="H332">
        <f>175.712000069475*(-PI()/180)</f>
        <v>-3.0667529364768442</v>
      </c>
    </row>
    <row r="333" spans="1:8" x14ac:dyDescent="0.3">
      <c r="A333" s="1">
        <v>330</v>
      </c>
      <c r="B333" s="2">
        <v>4.2400000000000029</v>
      </c>
      <c r="C333">
        <f>(-98.4804722850943*(-PI()/180))*-1</f>
        <v>-1.7188084902939194</v>
      </c>
      <c r="D333" s="3">
        <v>-37.442977124593995</v>
      </c>
      <c r="E333">
        <v>4.5325815391782323</v>
      </c>
      <c r="F333">
        <v>6.4639503318665463</v>
      </c>
      <c r="G333">
        <f>400.00000000031*(-PI()/180)</f>
        <v>-6.9813170079827289</v>
      </c>
      <c r="H333">
        <f>192.000000000003*(-PI()/180)</f>
        <v>-3.3510321638291654</v>
      </c>
    </row>
    <row r="334" spans="1:8" x14ac:dyDescent="0.3">
      <c r="A334" s="1">
        <v>331</v>
      </c>
      <c r="B334" s="2">
        <v>4.2454399999997969</v>
      </c>
      <c r="C334">
        <f>(-96.4260968630757*(-PI()/180))*-1</f>
        <v>-1.6829528751076468</v>
      </c>
      <c r="D334" s="3">
        <v>-36.912842686910302</v>
      </c>
      <c r="E334">
        <v>4.5283010434402335</v>
      </c>
      <c r="F334">
        <v>6.4582975569546717</v>
      </c>
      <c r="G334">
        <f>399.99999999919*(-PI()/180)</f>
        <v>-6.981317007963181</v>
      </c>
      <c r="H334">
        <f>196.351999927728*(-PI()/180)</f>
        <v>-3.4269888916145215</v>
      </c>
    </row>
    <row r="335" spans="1:8" x14ac:dyDescent="0.3">
      <c r="A335" s="1">
        <v>332</v>
      </c>
      <c r="B335" s="2">
        <v>4.2695699999988834</v>
      </c>
      <c r="C335">
        <f>(-87.2757893627502*(-PI()/180))*-1</f>
        <v>-1.5232498816570348</v>
      </c>
      <c r="D335" s="3">
        <v>-34.696503774712468</v>
      </c>
      <c r="E335">
        <v>4.5095146783492615</v>
      </c>
      <c r="F335">
        <v>6.432098034892479</v>
      </c>
      <c r="G335">
        <f>400.000000006549*(-PI()/180)</f>
        <v>-6.9813170080916196</v>
      </c>
      <c r="H335">
        <f>215.655999819562*(-PI()/180)</f>
        <v>-3.763907248531654</v>
      </c>
    </row>
    <row r="336" spans="1:8" x14ac:dyDescent="0.3">
      <c r="A336" s="1">
        <v>333</v>
      </c>
      <c r="B336" s="2">
        <v>4.2800000000000029</v>
      </c>
      <c r="C336">
        <f>(-83.3329740818507*(-PI()/180))*-1</f>
        <v>-1.4544347732073932</v>
      </c>
      <c r="D336" s="3">
        <v>-33.806775754730666</v>
      </c>
      <c r="E336">
        <v>4.5014544289666159</v>
      </c>
      <c r="F336">
        <v>6.4202897685347491</v>
      </c>
      <c r="G336">
        <f>399.999999999999*(-PI()/180)</f>
        <v>-6.9813170079773004</v>
      </c>
      <c r="H336">
        <f>224.000000000003*(-PI()/180)</f>
        <v>-3.9095375244673507</v>
      </c>
    </row>
    <row r="337" spans="1:8" x14ac:dyDescent="0.3">
      <c r="A337" s="1">
        <v>334</v>
      </c>
      <c r="B337" s="2">
        <v>4.2888699999996671</v>
      </c>
      <c r="C337">
        <f>(-79.9631549999068*(-PI()/180))*-1</f>
        <v>-1.3956203350309397</v>
      </c>
      <c r="D337" s="3">
        <v>-33.082585305648848</v>
      </c>
      <c r="E337">
        <v>4.4946601403858253</v>
      </c>
      <c r="F337">
        <v>6.41006156104031</v>
      </c>
      <c r="G337">
        <f>400.000000086949*(-PI()/180)</f>
        <v>-6.9813170094948642</v>
      </c>
      <c r="H337">
        <f>231.095999956354*(-PI()/180)</f>
        <v>-4.0333860874270497</v>
      </c>
    </row>
    <row r="338" spans="1:8" x14ac:dyDescent="0.3">
      <c r="A338" s="1">
        <v>335</v>
      </c>
      <c r="B338" s="2">
        <v>4.3076499999989561</v>
      </c>
      <c r="C338">
        <f>(-72.8521069595379*(-PI()/180))*-1</f>
        <v>-1.2715091334590118</v>
      </c>
      <c r="D338" s="3">
        <v>-31.647495939706925</v>
      </c>
      <c r="E338">
        <v>4.4806533380993052</v>
      </c>
      <c r="F338">
        <v>6.3879566400524688</v>
      </c>
      <c r="G338">
        <f>399.999999980935*(-PI()/180)</f>
        <v>-6.981317007644571</v>
      </c>
      <c r="H338">
        <f>246.119999910206*(-PI()/180)</f>
        <v>-4.2956043534412425</v>
      </c>
    </row>
    <row r="339" spans="1:8" x14ac:dyDescent="0.3">
      <c r="A339" s="1">
        <v>336</v>
      </c>
      <c r="B339" s="2">
        <v>4.3200000000000029</v>
      </c>
      <c r="C339">
        <f>(-68.1665571076029*(-PI()/180))*-1</f>
        <v>-1.1897308612764133</v>
      </c>
      <c r="D339" s="3">
        <v>-30.776600077410951</v>
      </c>
      <c r="E339">
        <v>4.4716321208784606</v>
      </c>
      <c r="F339">
        <v>6.3729530065157238</v>
      </c>
      <c r="G339">
        <f>399.999999999688*(-PI()/180)</f>
        <v>-6.9813170079718727</v>
      </c>
      <c r="H339">
        <f>256.000000000002*(-PI()/180)</f>
        <v>-4.4680428851055183</v>
      </c>
    </row>
    <row r="340" spans="1:8" x14ac:dyDescent="0.3">
      <c r="A340" s="1">
        <v>337</v>
      </c>
      <c r="B340" s="2">
        <v>4.3213799999999507</v>
      </c>
      <c r="C340">
        <f>(-67.6499510266658*(-PI()/180))*-1</f>
        <v>-1.1807143842282366</v>
      </c>
      <c r="D340" s="3">
        <v>-30.682889706626387</v>
      </c>
      <c r="E340">
        <v>4.4706271904402897</v>
      </c>
      <c r="F340">
        <v>6.3712513256316674</v>
      </c>
      <c r="G340">
        <f>400.000000055975*(-PI()/180)</f>
        <v>-6.9813170089542664</v>
      </c>
      <c r="H340">
        <f>257.104000047655*(-PI()/180)</f>
        <v>-4.4873113208792379</v>
      </c>
    </row>
    <row r="341" spans="1:8" x14ac:dyDescent="0.3">
      <c r="A341" s="1">
        <v>338</v>
      </c>
      <c r="B341" s="2">
        <v>4.3313899999995717</v>
      </c>
      <c r="C341">
        <f>(-63.8582236542628*(-PI()/180))*-1</f>
        <v>-1.1145362572418109</v>
      </c>
      <c r="D341" s="3">
        <v>-30.02463618510869</v>
      </c>
      <c r="E341">
        <v>4.4633341933044601</v>
      </c>
      <c r="F341">
        <v>6.3587573918339872</v>
      </c>
      <c r="G341">
        <f>399.999999874505*(-PI()/180)</f>
        <v>-6.9813170057870177</v>
      </c>
      <c r="H341">
        <f>265.111999944827*(-PI()/180)</f>
        <v>-4.6270772855842566</v>
      </c>
    </row>
    <row r="342" spans="1:8" x14ac:dyDescent="0.3">
      <c r="A342" s="1">
        <v>339</v>
      </c>
      <c r="B342" s="2">
        <v>4.3455999999990338</v>
      </c>
      <c r="C342">
        <f>(-58.4929491994414*(-PI()/180))*-1</f>
        <v>-1.0208945527320337</v>
      </c>
      <c r="D342" s="3">
        <v>-29.155382512564142</v>
      </c>
      <c r="E342">
        <v>4.4529740870535504</v>
      </c>
      <c r="F342">
        <v>6.3405904413519183</v>
      </c>
      <c r="G342">
        <f>399.99999999366*(-PI()/180)</f>
        <v>-6.9813170078666644</v>
      </c>
      <c r="H342">
        <f>276.479999890762*(-PI()/180)</f>
        <v>-4.8254863140073594</v>
      </c>
    </row>
    <row r="343" spans="1:8" x14ac:dyDescent="0.3">
      <c r="A343" s="1">
        <v>340</v>
      </c>
      <c r="B343" s="2">
        <v>4.3566199999986166</v>
      </c>
      <c r="C343">
        <f>(-54.3103679576332*(-PI()/180))*-1</f>
        <v>-0.94789473883032749</v>
      </c>
      <c r="D343" s="3">
        <v>-28.533891813554817</v>
      </c>
      <c r="E343">
        <v>4.4449996684526303</v>
      </c>
      <c r="F343">
        <v>6.3261731496476248</v>
      </c>
      <c r="G343">
        <f>400.000000000031*(-PI()/180)</f>
        <v>-6.981317007977859</v>
      </c>
      <c r="H343">
        <f>285.295999990245*(-PI()/180)</f>
        <v>-4.9793545425994852</v>
      </c>
    </row>
    <row r="344" spans="1:8" x14ac:dyDescent="0.3">
      <c r="A344" s="1">
        <v>341</v>
      </c>
      <c r="B344" s="2">
        <v>4.360000000000003</v>
      </c>
      <c r="C344">
        <f>(-53.0172620127051*(-PI()/180))*-1</f>
        <v>-0.92532578251421982</v>
      </c>
      <c r="D344" s="3">
        <v>-28.35248646226956</v>
      </c>
      <c r="E344">
        <v>4.4425712813556038</v>
      </c>
      <c r="F344">
        <v>6.321689785641496</v>
      </c>
      <c r="G344">
        <f>399.999999999378*(-PI()/180)</f>
        <v>-6.9813170079664628</v>
      </c>
      <c r="H344">
        <f>288.000000000002*(-PI()/180)</f>
        <v>-5.0265482457437036</v>
      </c>
    </row>
    <row r="345" spans="1:8" x14ac:dyDescent="0.3">
      <c r="A345" s="1">
        <v>342</v>
      </c>
      <c r="B345" s="2">
        <v>4.3680899999996967</v>
      </c>
      <c r="C345">
        <f>(-49.9644562012015*(-PI()/180))*-1</f>
        <v>-0.87204426967946458</v>
      </c>
      <c r="D345" s="3">
        <v>-27.935893664892276</v>
      </c>
      <c r="E345">
        <v>4.436799041569536</v>
      </c>
      <c r="F345">
        <v>6.310855800741372</v>
      </c>
      <c r="G345">
        <f>400.000000018425*(-PI()/180)</f>
        <v>-6.9813170082988947</v>
      </c>
      <c r="H345">
        <f>294.471999963605*(-PI()/180)</f>
        <v>-5.1395059542975297</v>
      </c>
    </row>
    <row r="346" spans="1:8" x14ac:dyDescent="0.3">
      <c r="A346" s="1">
        <v>343</v>
      </c>
      <c r="B346" s="2">
        <v>4.3822699999991599</v>
      </c>
      <c r="C346">
        <f>(-44.5889492153584*(-PI()/180))*-1</f>
        <v>-0.77822397381254615</v>
      </c>
      <c r="D346" s="3">
        <v>-27.26549081381928</v>
      </c>
      <c r="E346">
        <v>4.4267917694604604</v>
      </c>
      <c r="F346">
        <v>6.2915796614796795</v>
      </c>
      <c r="G346">
        <f>399.999999977543*(-PI()/180)</f>
        <v>-6.9813170075853694</v>
      </c>
      <c r="H346">
        <f>305.816000002855*(-PI()/180)</f>
        <v>-5.3374961053288077</v>
      </c>
    </row>
    <row r="347" spans="1:8" x14ac:dyDescent="0.3">
      <c r="A347" s="1">
        <v>344</v>
      </c>
      <c r="B347" s="2">
        <v>4.3922799999987809</v>
      </c>
      <c r="C347">
        <f>(-40.8075406457735*(-PI()/180))*-1</f>
        <v>-0.71222594391016059</v>
      </c>
      <c r="D347" s="3">
        <v>-26.838081444751598</v>
      </c>
      <c r="E347">
        <v>4.4197401157852791</v>
      </c>
      <c r="F347">
        <v>6.2777405017912864</v>
      </c>
      <c r="G347">
        <f>399.99999999011*(-PI()/180)</f>
        <v>-6.9813170078047051</v>
      </c>
      <c r="H347">
        <f>313.823999992516*(-PI()/180)</f>
        <v>-5.4772620716480649</v>
      </c>
    </row>
    <row r="348" spans="1:8" x14ac:dyDescent="0.3">
      <c r="A348" s="1">
        <v>345</v>
      </c>
      <c r="B348" s="2">
        <v>4.400000000000003</v>
      </c>
      <c r="C348">
        <f>(-37.8834515428996*(-PI()/180))*-1</f>
        <v>-0.6611909614433239</v>
      </c>
      <c r="D348" s="3">
        <v>-26.53436951976321</v>
      </c>
      <c r="E348">
        <v>4.4142906660909409</v>
      </c>
      <c r="F348">
        <v>6.266931613274739</v>
      </c>
      <c r="G348">
        <f>399.999999999067*(-PI()/180)</f>
        <v>-6.9813170079610334</v>
      </c>
      <c r="H348">
        <f>320.000000000002*(-PI()/180)</f>
        <v>-5.585053606381889</v>
      </c>
    </row>
    <row r="349" spans="1:8" x14ac:dyDescent="0.3">
      <c r="A349" s="1">
        <v>346</v>
      </c>
      <c r="B349" s="2">
        <v>4.4064599999997585</v>
      </c>
      <c r="C349">
        <f>(-35.4198892726491*(-PI()/180))*-1</f>
        <v>-0.61819368849954637</v>
      </c>
      <c r="D349" s="3">
        <v>-26.297591231204844</v>
      </c>
      <c r="E349">
        <v>4.409727488435494</v>
      </c>
      <c r="F349">
        <v>6.2577905064636035</v>
      </c>
      <c r="G349">
        <f>399.999999932579*(-PI()/180)</f>
        <v>-6.9813170068005999</v>
      </c>
      <c r="H349">
        <f>325.167999979325*(-PI()/180)</f>
        <v>-5.6752522217640742</v>
      </c>
    </row>
    <row r="350" spans="1:8" x14ac:dyDescent="0.3">
      <c r="A350" s="1">
        <v>347</v>
      </c>
      <c r="B350" s="2">
        <v>4.4181699999993151</v>
      </c>
      <c r="C350">
        <f>(-30.9957270055343*(-PI()/180))*-1</f>
        <v>-0.54097749029589615</v>
      </c>
      <c r="D350" s="3">
        <v>-25.908662130352027</v>
      </c>
      <c r="E350">
        <v>4.4014774543795321</v>
      </c>
      <c r="F350">
        <v>6.2409924150089058</v>
      </c>
      <c r="G350">
        <f>400.000000009683*(-PI()/180)</f>
        <v>-6.9813170081463181</v>
      </c>
      <c r="H350">
        <f>334.535999837157*(-PI()/180)</f>
        <v>-5.8387546636096044</v>
      </c>
    </row>
    <row r="351" spans="1:8" x14ac:dyDescent="0.3">
      <c r="A351" s="1">
        <v>348</v>
      </c>
      <c r="B351" s="2">
        <v>4.4281799999989362</v>
      </c>
      <c r="C351">
        <f>(-27.212170638864*(-PI()/180))*-1</f>
        <v>-0.47494197426270557</v>
      </c>
      <c r="D351" s="3">
        <v>-25.617349713059699</v>
      </c>
      <c r="E351">
        <v>4.3944542146530434</v>
      </c>
      <c r="F351">
        <v>6.2263862771367053</v>
      </c>
      <c r="G351">
        <f>400.000000005572*(-PI()/180)</f>
        <v>-6.9813170080745683</v>
      </c>
      <c r="H351">
        <f>342.543999980241*(-PI()/180)</f>
        <v>-5.9785206326065961</v>
      </c>
    </row>
    <row r="352" spans="1:8" x14ac:dyDescent="0.3">
      <c r="A352" s="1">
        <v>349</v>
      </c>
      <c r="B352" s="2">
        <v>4.4400000000000031</v>
      </c>
      <c r="C352">
        <f>(-22.7350088662826*(-PI()/180))*-1</f>
        <v>-0.39680076018673466</v>
      </c>
      <c r="D352" s="3">
        <v>-25.322245765688617</v>
      </c>
      <c r="E352">
        <v>4.3861676424579388</v>
      </c>
      <c r="F352">
        <v>6.2088773553618628</v>
      </c>
      <c r="G352">
        <f>399.999999998756*(-PI()/180)</f>
        <v>-6.9813170079556057</v>
      </c>
      <c r="H352">
        <f>352.000000000002*(-PI()/180)</f>
        <v>-6.1435589670200743</v>
      </c>
    </row>
    <row r="353" spans="1:8" x14ac:dyDescent="0.3">
      <c r="A353" s="1">
        <v>350</v>
      </c>
      <c r="B353" s="2">
        <v>4.446339999999763</v>
      </c>
      <c r="C353">
        <f>(-20.3249291753582*(-PI()/180))*-1</f>
        <v>-0.35473693434465653</v>
      </c>
      <c r="D353" s="3">
        <v>-25.185765089694062</v>
      </c>
      <c r="E353">
        <v>4.3817086408315298</v>
      </c>
      <c r="F353">
        <v>6.1993916700029006</v>
      </c>
      <c r="G353">
        <f>400.000000061643*(-PI()/180)</f>
        <v>-6.9813170090531917</v>
      </c>
      <c r="H353">
        <f>357.072000103508*(-PI()/180)</f>
        <v>-6.232082068487748</v>
      </c>
    </row>
    <row r="354" spans="1:8" x14ac:dyDescent="0.3">
      <c r="A354" s="1">
        <v>351</v>
      </c>
      <c r="B354" s="2">
        <v>4.4602999999992345</v>
      </c>
      <c r="C354">
        <f>(-15.028532996743*(-PI()/180))*-1</f>
        <v>-0.26229738253777557</v>
      </c>
      <c r="D354" s="3">
        <v>-24.938908472195774</v>
      </c>
      <c r="E354">
        <v>4.3718352519081396</v>
      </c>
      <c r="F354">
        <v>6.1783153433622786</v>
      </c>
      <c r="G354">
        <f>399.99999998608*(-PI()/180)</f>
        <v>-6.9813170077343685</v>
      </c>
      <c r="H354">
        <f>368.240000006521*(-PI()/180)</f>
        <v>-6.4270004376577319</v>
      </c>
    </row>
    <row r="355" spans="1:8" x14ac:dyDescent="0.3">
      <c r="A355" s="1">
        <v>352</v>
      </c>
      <c r="B355" s="2">
        <v>4.4703099999988556</v>
      </c>
      <c r="C355">
        <f>(-11.2615046122323*(-PI()/180))*-1</f>
        <v>-0.19655033421198093</v>
      </c>
      <c r="D355" s="3">
        <v>-24.807335751403528</v>
      </c>
      <c r="E355">
        <v>4.3647081387188527</v>
      </c>
      <c r="F355">
        <v>6.1629924263150997</v>
      </c>
      <c r="G355">
        <f>399.999999979265*(-PI()/180)</f>
        <v>-6.9813170076154245</v>
      </c>
      <c r="H355">
        <f>376.248000068227*(-PI()/180)</f>
        <v>-6.5667664052344108</v>
      </c>
    </row>
    <row r="356" spans="1:8" x14ac:dyDescent="0.3">
      <c r="A356" s="1">
        <v>353</v>
      </c>
      <c r="B356" s="2">
        <v>4.4800000000000031</v>
      </c>
      <c r="C356">
        <f>(-7.5717989374877*(-PI()/180))*-1</f>
        <v>-0.13215282175816867</v>
      </c>
      <c r="D356" s="3">
        <v>-24.716108522418686</v>
      </c>
      <c r="E356">
        <v>4.3577854447951276</v>
      </c>
      <c r="F356">
        <v>6.1479712345532986</v>
      </c>
      <c r="G356">
        <f>399.999999998446*(-PI()/180)</f>
        <v>-6.9813170079501958</v>
      </c>
      <c r="H356">
        <f>384.000000000003*(-PI()/180)</f>
        <v>-6.7020643276582783</v>
      </c>
    </row>
    <row r="357" spans="1:8" x14ac:dyDescent="0.3">
      <c r="A357" s="1">
        <v>354</v>
      </c>
      <c r="B357" s="2">
        <v>4.4848699999998187</v>
      </c>
      <c r="C357">
        <f>(-5.71939461430344*(-PI()/180))*-1</f>
        <v>-9.9822267240426213E-2</v>
      </c>
      <c r="D357" s="3">
        <v>-24.683705718963786</v>
      </c>
      <c r="E357">
        <v>4.354293973316806</v>
      </c>
      <c r="F357">
        <v>6.1403476378958981</v>
      </c>
      <c r="G357">
        <f>399.999999979181*(-PI()/180)</f>
        <v>-6.9813170076139581</v>
      </c>
      <c r="H357">
        <f>387.896000063509*(-PI()/180)</f>
        <v>-6.7700623564243658</v>
      </c>
    </row>
    <row r="358" spans="1:8" x14ac:dyDescent="0.3">
      <c r="A358" s="1">
        <v>355</v>
      </c>
      <c r="B358" s="2">
        <v>4.4985699999993001</v>
      </c>
      <c r="C358">
        <f>(-0.822920174345343*(-PI()/180))*-1</f>
        <v>-1.4362666523412008E-2</v>
      </c>
      <c r="D358" s="3">
        <v>-24.640265782858965</v>
      </c>
      <c r="E358">
        <v>4.34439304842045</v>
      </c>
      <c r="F358">
        <v>6.1186637423161274</v>
      </c>
      <c r="G358">
        <f>399.589624627348*(-PI()/180)</f>
        <v>-6.9741546065554418</v>
      </c>
      <c r="H358">
        <f>397.871099100924*(-PI()/180)</f>
        <v>-6.9441606778397746</v>
      </c>
    </row>
    <row r="359" spans="1:8" x14ac:dyDescent="0.3">
      <c r="A359" s="1">
        <v>356</v>
      </c>
      <c r="B359" s="2">
        <v>4.5200000000000031</v>
      </c>
      <c r="C359">
        <f>(-4.10659442194827*(-PI()/180))*-1</f>
        <v>-7.1673593707030608E-2</v>
      </c>
      <c r="D359" s="3">
        <v>-24.585031641379761</v>
      </c>
      <c r="E359">
        <v>4.328823361610203</v>
      </c>
      <c r="F359">
        <v>6.0848608212498529</v>
      </c>
      <c r="G359">
        <f>379.999999999997*(-PI()/180)</f>
        <v>-6.6322511575783993</v>
      </c>
      <c r="H359">
        <f>367.999999999995*(-PI()/180)</f>
        <v>-6.4228116473390457</v>
      </c>
    </row>
    <row r="360" spans="1:8" x14ac:dyDescent="0.3">
      <c r="A360" s="1">
        <v>357</v>
      </c>
      <c r="B360" s="2">
        <v>4.5223099999999157</v>
      </c>
      <c r="C360">
        <f>(-3.90056958124356*(-PI()/180))*-1</f>
        <v>-6.8077781895836575E-2</v>
      </c>
      <c r="D360" s="3">
        <v>-24.575784367225015</v>
      </c>
      <c r="E360">
        <v>4.3271942252740159</v>
      </c>
      <c r="F360">
        <v>6.0813429548383544</v>
      </c>
      <c r="G360">
        <f>377.689999962357*(-PI()/180)</f>
        <v>-6.591934051200389</v>
      </c>
      <c r="H360">
        <f>364.303999989106*(-PI()/180)</f>
        <v>-6.3583042779952859</v>
      </c>
    </row>
    <row r="361" spans="1:8" x14ac:dyDescent="0.3">
      <c r="A361" s="1">
        <v>358</v>
      </c>
      <c r="B361" s="2">
        <v>4.540739999999218</v>
      </c>
      <c r="C361">
        <f>(-2.09594531439438*(-PI()/180))*-1</f>
        <v>-3.6581146677929631E-2</v>
      </c>
      <c r="D361" s="3">
        <v>-24.518116245945464</v>
      </c>
      <c r="E361">
        <v>4.3146250663959167</v>
      </c>
      <c r="F361">
        <v>6.0541399681705297</v>
      </c>
      <c r="G361">
        <f>359.260000263507*(-PI()/180)</f>
        <v>-6.2702698753138923</v>
      </c>
      <c r="H361">
        <f>334.816000125198*(-PI()/180)</f>
        <v>-5.8436415905424521</v>
      </c>
    </row>
    <row r="362" spans="1:8" x14ac:dyDescent="0.3">
      <c r="A362" s="1">
        <v>359</v>
      </c>
      <c r="B362" s="2">
        <v>4.5580699999985619</v>
      </c>
      <c r="C362">
        <f>(-8.06759489664609*(-PI()/180))*-1</f>
        <v>-0.14080609366356592</v>
      </c>
      <c r="D362" s="3">
        <v>-24.453415058877706</v>
      </c>
      <c r="E362">
        <v>4.3034065713366516</v>
      </c>
      <c r="F362">
        <v>6.0295658941221255</v>
      </c>
      <c r="G362">
        <f>341.929999891738*(-PI()/180)</f>
        <v>-5.9678043094546833</v>
      </c>
      <c r="H362">
        <f>307.087999888821*(-PI()/180)</f>
        <v>-5.359696691423907</v>
      </c>
    </row>
    <row r="363" spans="1:8" x14ac:dyDescent="0.3">
      <c r="A363" s="1">
        <v>360</v>
      </c>
      <c r="B363" s="2">
        <v>4.5600000000000032</v>
      </c>
      <c r="C363">
        <f>(-8.28350858816134*(-PI()/180))*-1</f>
        <v>-0.14457449848064235</v>
      </c>
      <c r="D363" s="3">
        <v>-24.437554127803072</v>
      </c>
      <c r="E363">
        <v>4.302204378856656</v>
      </c>
      <c r="F363">
        <v>6.0269423533403499</v>
      </c>
      <c r="G363">
        <f>339.999999999996*(-PI()/180)</f>
        <v>-5.9341194567806514</v>
      </c>
      <c r="H363">
        <f>303.999999999994*(-PI()/180)</f>
        <v>-5.3058009260626564</v>
      </c>
    </row>
    <row r="364" spans="1:8" x14ac:dyDescent="0.3">
      <c r="A364" s="1">
        <v>361</v>
      </c>
      <c r="B364" s="2">
        <v>4.5688099999996696</v>
      </c>
      <c r="C364">
        <f>(-7.73254728062479*(-PI()/180))*-1</f>
        <v>-0.13495840961303651</v>
      </c>
      <c r="D364" s="3">
        <v>-24.367944705959751</v>
      </c>
      <c r="E364">
        <v>4.2968427614615265</v>
      </c>
      <c r="F364">
        <v>6.0152470232782722</v>
      </c>
      <c r="G364">
        <f>331.19000006712*(-PI()/180)</f>
        <v>-5.7803559508514857</v>
      </c>
      <c r="H364">
        <f>289.903999939271*(-PI()/180)</f>
        <v>-5.0597793136417195</v>
      </c>
    </row>
    <row r="365" spans="1:8" x14ac:dyDescent="0.3">
      <c r="A365" s="1">
        <v>362</v>
      </c>
      <c r="B365" s="2">
        <v>4.5788199999992907</v>
      </c>
      <c r="C365">
        <f>(-7.69916229275493*(-PI()/180))*-1</f>
        <v>-0.1343757316539691</v>
      </c>
      <c r="D365" s="3">
        <v>-24.290736319934993</v>
      </c>
      <c r="E365">
        <v>4.290852738056592</v>
      </c>
      <c r="F365">
        <v>6.0022022924775289</v>
      </c>
      <c r="G365">
        <f>321.180000164824*(-PI()/180)</f>
        <v>-5.605648494432109</v>
      </c>
      <c r="H365">
        <f>273.88800001801*(-PI()/180)</f>
        <v>-4.7802473820165634</v>
      </c>
    </row>
    <row r="366" spans="1:8" x14ac:dyDescent="0.3">
      <c r="A366" s="1">
        <v>363</v>
      </c>
      <c r="B366" s="2">
        <v>4.5980699999985619</v>
      </c>
      <c r="C366">
        <f>(-7.08007472263104*(-PI()/180))*-1</f>
        <v>-0.12357061519713594</v>
      </c>
      <c r="D366" s="3">
        <v>-24.169563940042906</v>
      </c>
      <c r="E366">
        <v>4.2797709366284309</v>
      </c>
      <c r="F366">
        <v>5.9777362173969468</v>
      </c>
      <c r="G366">
        <f>301.930000069561*(-PI()/180)</f>
        <v>-5.2696726117605479</v>
      </c>
      <c r="H366">
        <f>243.087999960509*(-PI()/180)</f>
        <v>-4.2426859713987275</v>
      </c>
    </row>
    <row r="367" spans="1:8" x14ac:dyDescent="0.3">
      <c r="A367" s="1">
        <v>364</v>
      </c>
      <c r="B367" s="2">
        <v>4.6000000000000032</v>
      </c>
      <c r="C367">
        <f>(-8.02000971761924*(-PI()/180))*-1</f>
        <v>-0.13997557561439644</v>
      </c>
      <c r="D367" s="3">
        <v>-24.154930857893241</v>
      </c>
      <c r="E367">
        <v>4.2787470809266948</v>
      </c>
      <c r="F367">
        <v>5.9754235889898437</v>
      </c>
      <c r="G367">
        <f>299.999999999996*(-PI()/180)</f>
        <v>-5.2359877559829195</v>
      </c>
      <c r="H367">
        <f>239.999999999994*(-PI()/180)</f>
        <v>-4.1887902047862866</v>
      </c>
    </row>
    <row r="368" spans="1:8" x14ac:dyDescent="0.3">
      <c r="A368" s="1">
        <v>365</v>
      </c>
      <c r="B368" s="2">
        <v>4.6084199999996844</v>
      </c>
      <c r="C368">
        <f>(-8.38959164077648*(-PI()/180))*-1</f>
        <v>-0.14642599702934295</v>
      </c>
      <c r="D368" s="3">
        <v>-24.083422143539572</v>
      </c>
      <c r="E368">
        <v>4.274426561020805</v>
      </c>
      <c r="F368">
        <v>5.9656641166916256</v>
      </c>
      <c r="G368">
        <f>291.580000183674*(-PI()/180)</f>
        <v>-5.0890310361707813</v>
      </c>
      <c r="H368">
        <f>226.528000192822*(-PI()/180)</f>
        <v>-3.9536594513230936</v>
      </c>
    </row>
    <row r="369" spans="1:8" x14ac:dyDescent="0.3">
      <c r="A369" s="1">
        <v>366</v>
      </c>
      <c r="B369" s="2">
        <v>4.6184299999993055</v>
      </c>
      <c r="C369">
        <f>(-8.35997694920737*(-PI()/180))*-1</f>
        <v>-0.14590912315449936</v>
      </c>
      <c r="D369" s="3">
        <v>-23.999681875685315</v>
      </c>
      <c r="E369">
        <v>4.2694003902315059</v>
      </c>
      <c r="F369">
        <v>5.9543244392681656</v>
      </c>
      <c r="G369">
        <f>281.570000089201*(-PI()/180)</f>
        <v>-4.914323576397285</v>
      </c>
      <c r="H369">
        <f>210.51199998051*(-PI()/180)</f>
        <v>-3.6741275146181387</v>
      </c>
    </row>
    <row r="370" spans="1:8" x14ac:dyDescent="0.3">
      <c r="A370" s="1">
        <v>367</v>
      </c>
      <c r="B370" s="2">
        <v>4.6400000000000032</v>
      </c>
      <c r="C370">
        <f>(-9.64477835399787*(-PI()/180))*-1</f>
        <v>-0.16833313790234203</v>
      </c>
      <c r="D370" s="3">
        <v>-23.816185692148814</v>
      </c>
      <c r="E370">
        <v>4.258764587002327</v>
      </c>
      <c r="F370">
        <v>5.930441209067804</v>
      </c>
      <c r="G370">
        <f>259.999999999996*(-PI()/180)</f>
        <v>-4.5378560551851876</v>
      </c>
      <c r="H370">
        <f>175.999999999994*(-PI()/180)</f>
        <v>-3.0717794835099155</v>
      </c>
    </row>
    <row r="371" spans="1:8" x14ac:dyDescent="0.3">
      <c r="A371" s="1">
        <v>368</v>
      </c>
      <c r="B371" s="2">
        <v>4.6407099999999764</v>
      </c>
      <c r="C371">
        <f>(-10.0923646592343*(-PI()/180))*-1</f>
        <v>-0.17614499261555408</v>
      </c>
      <c r="D371" s="3">
        <v>-23.809176989487206</v>
      </c>
      <c r="E371">
        <v>4.258436595039071</v>
      </c>
      <c r="F371">
        <v>5.9297162022424157</v>
      </c>
      <c r="G371">
        <f>259.289999921989*(-PI()/180)</f>
        <v>-4.5254642161345489</v>
      </c>
      <c r="H371">
        <f>174.864000091762*(-PI()/180)</f>
        <v>-3.0519525448089135</v>
      </c>
    </row>
    <row r="372" spans="1:8" x14ac:dyDescent="0.3">
      <c r="A372" s="1">
        <v>369</v>
      </c>
      <c r="B372" s="2">
        <v>4.6557599999994066</v>
      </c>
      <c r="C372">
        <f>(-10.3170293319848*(-PI()/180))*-1</f>
        <v>-0.18006613086796588</v>
      </c>
      <c r="D372" s="3">
        <v>-23.646703035384657</v>
      </c>
      <c r="E372">
        <v>4.2518985677192758</v>
      </c>
      <c r="F372">
        <v>5.9152312542514114</v>
      </c>
      <c r="G372">
        <f>244.239999872078*(-PI()/180)</f>
        <v>-4.2627921628382905</v>
      </c>
      <c r="H372">
        <f>150.783999825689*(-PI()/180)</f>
        <v>-2.6316772562848287</v>
      </c>
    </row>
    <row r="373" spans="1:8" x14ac:dyDescent="0.3">
      <c r="A373" s="1">
        <v>370</v>
      </c>
      <c r="B373" s="2">
        <v>4.6657699999990276</v>
      </c>
      <c r="C373">
        <f>(-10.3058285101003*(-PI()/180))*-1</f>
        <v>-0.17987063964715191</v>
      </c>
      <c r="D373" s="3">
        <v>-23.543465038245657</v>
      </c>
      <c r="E373">
        <v>4.2476688744258393</v>
      </c>
      <c r="F373">
        <v>5.9058300500818985</v>
      </c>
      <c r="G373">
        <f>234.230000059651*(-PI()/180)</f>
        <v>-4.0880847079874245</v>
      </c>
      <c r="H373">
        <f>134.768000037768*(-PI()/180)</f>
        <v>-2.3521453269868937</v>
      </c>
    </row>
    <row r="374" spans="1:8" x14ac:dyDescent="0.3">
      <c r="A374" s="1">
        <v>371</v>
      </c>
      <c r="B374" s="2">
        <v>4.6800000000000033</v>
      </c>
      <c r="C374">
        <f>(-6.50591558229469*(-PI()/180))*-1</f>
        <v>-0.11354964776784644</v>
      </c>
      <c r="D374" s="3">
        <v>-23.414739729351989</v>
      </c>
      <c r="E374">
        <v>4.2417903996998811</v>
      </c>
      <c r="F374">
        <v>5.8925938123298369</v>
      </c>
      <c r="G374">
        <f>219.999999999996*(-PI()/180)</f>
        <v>-3.8397243543874549</v>
      </c>
      <c r="H374">
        <f>111.999999999994*(-PI()/180)</f>
        <v>-1.9547687622335443</v>
      </c>
    </row>
    <row r="375" spans="1:8" x14ac:dyDescent="0.3">
      <c r="A375" s="1">
        <v>372</v>
      </c>
      <c r="B375" s="2">
        <v>4.6842699999998416</v>
      </c>
      <c r="C375">
        <f>(-8.184927280319*(-PI()/180))*-1</f>
        <v>-0.14285393007787142</v>
      </c>
      <c r="D375" s="3">
        <v>-23.384495064754184</v>
      </c>
      <c r="E375">
        <v>4.2402257765735536</v>
      </c>
      <c r="F375">
        <v>5.8888507969389137</v>
      </c>
      <c r="G375">
        <f>215.729999918695*(-PI()/180)</f>
        <v>-3.7651987939083273</v>
      </c>
      <c r="H375">
        <f>105.168000003643*(-PI()/180)</f>
        <v>-1.8355278678009788</v>
      </c>
    </row>
    <row r="376" spans="1:8" x14ac:dyDescent="0.3">
      <c r="A376" s="1">
        <v>373</v>
      </c>
      <c r="B376" s="2">
        <v>4.6987999999992915</v>
      </c>
      <c r="C376">
        <f>(-10.0045138177153*(-PI()/180))*-1</f>
        <v>-0.17461170618039978</v>
      </c>
      <c r="D376" s="3">
        <v>-23.241533996062653</v>
      </c>
      <c r="E376">
        <v>4.2354269232148773</v>
      </c>
      <c r="F376">
        <v>5.8772395687278216</v>
      </c>
      <c r="G376">
        <f>201.200000099344*(-PI()/180)</f>
        <v>-3.5116024567464712</v>
      </c>
      <c r="H376">
        <f>81.9200000653854*(-PI()/180)</f>
        <v>-1.4297737243749451</v>
      </c>
    </row>
    <row r="377" spans="1:8" x14ac:dyDescent="0.3">
      <c r="A377" s="1">
        <v>374</v>
      </c>
      <c r="B377" s="2">
        <v>4.7088099999989126</v>
      </c>
      <c r="C377">
        <f>(-10.0051471650983*(-PI()/180))*-1</f>
        <v>-0.17462276017754202</v>
      </c>
      <c r="D377" s="3">
        <v>-23.141401178748339</v>
      </c>
      <c r="E377">
        <v>4.2322212828916168</v>
      </c>
      <c r="F377">
        <v>5.8694952632248825</v>
      </c>
      <c r="G377">
        <f>191.190000136452*(-PI()/180)</f>
        <v>-3.3368949992694952</v>
      </c>
      <c r="H377">
        <f>65.904000019211*(-PI()/180)</f>
        <v>-1.150241790569638</v>
      </c>
    </row>
    <row r="378" spans="1:8" x14ac:dyDescent="0.3">
      <c r="A378" s="1">
        <v>375</v>
      </c>
      <c r="B378" s="2">
        <v>4.7200000000000033</v>
      </c>
      <c r="C378">
        <f>(-11.6093399718181*(-PI()/180))*-1</f>
        <v>-0.20262120649161156</v>
      </c>
      <c r="D378" s="3">
        <v>-23.025166920522313</v>
      </c>
      <c r="E378">
        <v>4.2286307516459987</v>
      </c>
      <c r="F378">
        <v>5.8608584965280848</v>
      </c>
      <c r="G378">
        <f>179.999999999997*(-PI()/180)</f>
        <v>-3.1415926535897407</v>
      </c>
      <c r="H378">
        <f>47.9999999999944*(-PI()/180)</f>
        <v>-0.83775804095718043</v>
      </c>
    </row>
    <row r="379" spans="1:8" x14ac:dyDescent="0.3">
      <c r="A379" s="1">
        <v>376</v>
      </c>
      <c r="B379" s="2">
        <v>4.7292999999996512</v>
      </c>
      <c r="C379">
        <f>(-15.5709295426765*(-PI()/180))*-1</f>
        <v>-0.27176398811575986</v>
      </c>
      <c r="D379" s="3">
        <v>-22.902211993200265</v>
      </c>
      <c r="E379">
        <v>4.225723699266708</v>
      </c>
      <c r="F379">
        <v>5.8542953002558891</v>
      </c>
      <c r="G379">
        <f>170.700000116118*(-PI()/180)</f>
        <v>-2.9792770351809619</v>
      </c>
      <c r="H379">
        <f>33.1199999157489*(-PI()/180)</f>
        <v>-0.57805304679006286</v>
      </c>
    </row>
    <row r="380" spans="1:8" x14ac:dyDescent="0.3">
      <c r="A380" s="1">
        <v>377</v>
      </c>
      <c r="B380" s="2">
        <v>4.7430399999991311</v>
      </c>
      <c r="C380">
        <f>(-13.5393231223853*(-PI()/180))*-1</f>
        <v>-0.23630576697702266</v>
      </c>
      <c r="D380" s="3">
        <v>-22.700348362637705</v>
      </c>
      <c r="E380">
        <v>4.2219452833856881</v>
      </c>
      <c r="F380">
        <v>5.8461781340676513</v>
      </c>
      <c r="G380">
        <f>156.96000016876*(-PI()/180)</f>
        <v>-2.739468796875717</v>
      </c>
      <c r="H380">
        <f>11.1360000024579*(-PI()/180)</f>
        <v>-0.19435986554498699</v>
      </c>
    </row>
    <row r="381" spans="1:8" x14ac:dyDescent="0.3">
      <c r="A381" s="1">
        <v>378</v>
      </c>
      <c r="B381" s="2">
        <v>4.7530499999987521</v>
      </c>
      <c r="C381">
        <f>(-13.5311581202611*(-PI()/180))*-1</f>
        <v>-0.23616326080652306</v>
      </c>
      <c r="D381" s="3">
        <v>-22.564794472946282</v>
      </c>
      <c r="E381">
        <v>4.219316229782164</v>
      </c>
      <c r="F381">
        <v>5.8405179196025294</v>
      </c>
      <c r="G381">
        <f>146.950000105634*(-PI()/180)</f>
        <v>-2.5647613376493283</v>
      </c>
      <c r="H381">
        <f>-4.87999991567528*(-PI()/180)</f>
        <v>8.5172066025579279E-2</v>
      </c>
    </row>
    <row r="382" spans="1:8" x14ac:dyDescent="0.3">
      <c r="A382" s="1">
        <v>379</v>
      </c>
      <c r="B382" s="2">
        <v>4.7600000000000033</v>
      </c>
      <c r="C382">
        <f>(-13.3917984335437*(-PI()/180))*-1</f>
        <v>-0.23373097542875659</v>
      </c>
      <c r="D382" s="3">
        <v>-22.470804172717298</v>
      </c>
      <c r="E382">
        <v>4.2174876787800812</v>
      </c>
      <c r="F382">
        <v>5.8365799469447941</v>
      </c>
      <c r="G382">
        <f>139.999999999997*(-PI()/180)</f>
        <v>-2.4434609527920088</v>
      </c>
      <c r="H382">
        <f>-16.0000000000052*(-PI()/180)</f>
        <v>0.27925268031918349</v>
      </c>
    </row>
    <row r="383" spans="1:8" x14ac:dyDescent="0.3">
      <c r="A383" s="1">
        <v>380</v>
      </c>
      <c r="B383" s="2">
        <v>4.7644499999998349</v>
      </c>
      <c r="C383">
        <f>(-11.6641584937474*(-PI()/180))*-1</f>
        <v>-0.20357797019035456</v>
      </c>
      <c r="D383" s="3">
        <v>-22.414263195410328</v>
      </c>
      <c r="E383">
        <v>4.2163325411308232</v>
      </c>
      <c r="F383">
        <v>5.8340636470049123</v>
      </c>
      <c r="G383">
        <f>135.550000045145*(-PI()/180)</f>
        <v>-2.3657938018662428</v>
      </c>
      <c r="H383">
        <f>-23.1200000032864*(-PI()/180)</f>
        <v>0.40352012311844748</v>
      </c>
    </row>
    <row r="384" spans="1:8" x14ac:dyDescent="0.3">
      <c r="A384" s="1">
        <v>381</v>
      </c>
      <c r="B384" s="2">
        <v>4.7762699999993874</v>
      </c>
      <c r="C384">
        <f>(-6.59763277081043*(-PI()/180))*-1</f>
        <v>-0.11515041468811843</v>
      </c>
      <c r="D384" s="3">
        <v>-22.317999597263857</v>
      </c>
      <c r="E384">
        <v>4.2138066963300762</v>
      </c>
      <c r="F384">
        <v>5.8276544487881603</v>
      </c>
      <c r="G384">
        <f>123.730000020598*(-PI()/180)</f>
        <v>-2.1594958838520868</v>
      </c>
      <c r="H384">
        <f>-42.0319998969614*(-PI()/180)</f>
        <v>0.73359678939989381</v>
      </c>
    </row>
    <row r="385" spans="1:8" x14ac:dyDescent="0.3">
      <c r="A385" s="1">
        <v>382</v>
      </c>
      <c r="B385" s="2">
        <v>4.7903499999988544</v>
      </c>
      <c r="C385">
        <f>(-8.37293872460996*(-PI()/180))*-1</f>
        <v>-0.14613534881217854</v>
      </c>
      <c r="D385" s="3">
        <v>-22.208954400314052</v>
      </c>
      <c r="E385">
        <v>4.2118873146122251</v>
      </c>
      <c r="F385">
        <v>5.8213964734381127</v>
      </c>
      <c r="G385">
        <f>109.650000137894*(-PI()/180)</f>
        <v>-1.9137535272184867</v>
      </c>
      <c r="H385">
        <f>-64.5599999922087*(-PI()/180)</f>
        <v>1.1267845649515553</v>
      </c>
    </row>
    <row r="386" spans="1:8" x14ac:dyDescent="0.3">
      <c r="A386" s="1">
        <v>383</v>
      </c>
      <c r="B386" s="2">
        <v>4.8000000000000034</v>
      </c>
      <c r="C386">
        <f>(-8.41642575040951*(-PI()/180))*-1</f>
        <v>-0.14689434059428044</v>
      </c>
      <c r="D386" s="3">
        <v>-22.128142039958405</v>
      </c>
      <c r="E386">
        <v>4.2106493073238687</v>
      </c>
      <c r="F386">
        <v>5.817392846007662</v>
      </c>
      <c r="G386">
        <f>99.9999999999973*(-PI()/180)</f>
        <v>-1.7453292519942825</v>
      </c>
      <c r="H386">
        <f>-80.0000000000048*(-PI()/180)</f>
        <v>1.3962634015955475</v>
      </c>
    </row>
    <row r="387" spans="1:8" x14ac:dyDescent="0.3">
      <c r="A387" s="1">
        <v>384</v>
      </c>
      <c r="B387" s="2">
        <v>4.8003499999999901</v>
      </c>
      <c r="C387">
        <f>(-8.43679025441877*(-PI()/180))*-1</f>
        <v>-0.14724976823977762</v>
      </c>
      <c r="D387" s="3">
        <v>-22.125195172806503</v>
      </c>
      <c r="E387">
        <v>4.21060429073093</v>
      </c>
      <c r="F387">
        <v>5.817247484101431</v>
      </c>
      <c r="G387">
        <f>99.6500000226546*(-PI()/180)</f>
        <v>-1.7392206000077466</v>
      </c>
      <c r="H387">
        <f>-80.5599999208502*(-PI()/180)</f>
        <v>1.4060372440252074</v>
      </c>
    </row>
    <row r="388" spans="1:8" x14ac:dyDescent="0.3">
      <c r="A388" s="1">
        <v>385</v>
      </c>
      <c r="B388" s="2">
        <v>4.8214599999991909</v>
      </c>
      <c r="C388">
        <f>(-12.1590862641269*(-PI()/180))*-1</f>
        <v>-0.21221608934303129</v>
      </c>
      <c r="D388" s="3">
        <v>-21.887347201750586</v>
      </c>
      <c r="E388">
        <v>4.2078039812095698</v>
      </c>
      <c r="F388">
        <v>5.8092414818809752</v>
      </c>
      <c r="G388">
        <f>78.5399999467169*(-PI()/180)</f>
        <v>-1.370781593586381</v>
      </c>
      <c r="H388">
        <f>-114.336000003542*(-PI()/180)</f>
        <v>1.9955396536220562</v>
      </c>
    </row>
    <row r="389" spans="1:8" x14ac:dyDescent="0.3">
      <c r="A389" s="1">
        <v>386</v>
      </c>
      <c r="B389" s="2">
        <v>4.8357599999986496</v>
      </c>
      <c r="C389">
        <f>(-6.01514645820577*(-PI()/180))*-1</f>
        <v>-0.10498411068536617</v>
      </c>
      <c r="D389" s="3">
        <v>-21.765527723544039</v>
      </c>
      <c r="E389">
        <v>4.2060851327655495</v>
      </c>
      <c r="F389">
        <v>5.8059946363047619</v>
      </c>
      <c r="G389">
        <f>64.2399999310634*(-PI()/180)</f>
        <v>-1.1211995102779866</v>
      </c>
      <c r="H389">
        <f>-137.216000111315*(-PI()/180)</f>
        <v>2.3948709883593526</v>
      </c>
    </row>
    <row r="390" spans="1:8" x14ac:dyDescent="0.3">
      <c r="A390" s="1">
        <v>387</v>
      </c>
      <c r="B390" s="2">
        <v>4.8400000000000034</v>
      </c>
      <c r="C390">
        <f>(-5.73772535180387*(-PI()/180))*-1</f>
        <v>-0.10014219896412749</v>
      </c>
      <c r="D390" s="3">
        <v>-21.740611804902549</v>
      </c>
      <c r="E390">
        <v>4.2056506002895997</v>
      </c>
      <c r="F390">
        <v>5.8051493403906091</v>
      </c>
      <c r="G390">
        <f>59.9999999999976*(-PI()/180)</f>
        <v>-1.0471975511965559</v>
      </c>
      <c r="H390">
        <f>-144.000000000004*(-PI()/180)</f>
        <v>2.5132741228719047</v>
      </c>
    </row>
    <row r="391" spans="1:8" x14ac:dyDescent="0.3">
      <c r="A391" s="1">
        <v>388</v>
      </c>
      <c r="B391" s="2">
        <v>4.8542399999994643</v>
      </c>
      <c r="C391">
        <f>(-2.77059937411924*(-PI()/180))*-1</f>
        <v>-4.8356081332074904E-2</v>
      </c>
      <c r="D391" s="3">
        <v>-21.676125603092203</v>
      </c>
      <c r="E391">
        <v>4.2043156507547064</v>
      </c>
      <c r="F391">
        <v>5.8023090628852154</v>
      </c>
      <c r="G391">
        <f>45.7599999752223*(-PI()/180)</f>
        <v>-0.79866266528015273</v>
      </c>
      <c r="H391">
        <f>-166.78399980383*(-PI()/180)</f>
        <v>2.9109299362224101</v>
      </c>
    </row>
    <row r="392" spans="1:8" x14ac:dyDescent="0.3">
      <c r="A392" s="1">
        <v>389</v>
      </c>
      <c r="B392" s="2">
        <v>4.8660499999990172</v>
      </c>
      <c r="C392">
        <f>(-8.60228671358746*(-PI()/180))*-1</f>
        <v>-0.15013822635266361</v>
      </c>
      <c r="D392" s="3">
        <v>-21.607489230877235</v>
      </c>
      <c r="E392">
        <v>4.2036426226959254</v>
      </c>
      <c r="F392">
        <v>5.8001455381624245</v>
      </c>
      <c r="G392">
        <f>33.949999994739*(-PI()/180)</f>
        <v>-0.5925392809602531</v>
      </c>
      <c r="H392">
        <f>-185.679999946069*(-PI()/180)</f>
        <v>3.2407273541617974</v>
      </c>
    </row>
    <row r="393" spans="1:8" x14ac:dyDescent="0.3">
      <c r="A393" s="1">
        <v>390</v>
      </c>
      <c r="B393" s="2">
        <v>4.8800000000000034</v>
      </c>
      <c r="C393">
        <f>(-5.53578514347682*(-PI()/180))*-1</f>
        <v>-9.6617677436657209E-2</v>
      </c>
      <c r="D393" s="3">
        <v>-21.510631964787503</v>
      </c>
      <c r="E393">
        <v>4.2031928048050666</v>
      </c>
      <c r="F393">
        <v>5.7987228935557198</v>
      </c>
      <c r="G393">
        <f>19.9999999999976*(-PI()/180)</f>
        <v>-0.34906585039882398</v>
      </c>
      <c r="H393">
        <f>-208.000000000004*(-PI()/180)</f>
        <v>3.6302848441482753</v>
      </c>
    </row>
    <row r="394" spans="1:8" x14ac:dyDescent="0.3">
      <c r="A394" s="1">
        <v>391</v>
      </c>
      <c r="B394" s="2">
        <v>4.8818999999999315</v>
      </c>
      <c r="C394">
        <f>(-5.514484593765*(-PI()/180))*-1</f>
        <v>-9.6245912711701215E-2</v>
      </c>
      <c r="D394" s="3">
        <v>-21.500144777740815</v>
      </c>
      <c r="E394">
        <v>4.2031386723156716</v>
      </c>
      <c r="F394">
        <v>5.7985725963018755</v>
      </c>
      <c r="G394">
        <f>18.1000000689191*(-PI()/180)</f>
        <v>-0.3159045958138389</v>
      </c>
      <c r="H394">
        <f>-211.04000006045*(-PI()/180)</f>
        <v>3.6833428544638847</v>
      </c>
    </row>
    <row r="395" spans="1:8" x14ac:dyDescent="0.3">
      <c r="A395" s="1">
        <v>392</v>
      </c>
      <c r="B395" s="2">
        <v>4.8976415779818714</v>
      </c>
      <c r="C395">
        <f>(-5.29223342404317*(-PI()/180))*-1</f>
        <v>-9.2366898033646547E-2</v>
      </c>
      <c r="D395" s="3">
        <v>-21.414152501978133</v>
      </c>
      <c r="E395">
        <v>4.202685533435174</v>
      </c>
      <c r="F395">
        <v>5.7973295110896839</v>
      </c>
      <c r="G395">
        <f>2.35842216256688*(-PI()/180)</f>
        <v>-4.1162231888797016E-2</v>
      </c>
      <c r="H395">
        <f>-236.226524622605*(-PI()/180)</f>
        <v>4.1229306352079131</v>
      </c>
    </row>
    <row r="396" spans="1:8" x14ac:dyDescent="0.3">
      <c r="A396" s="1">
        <v>393</v>
      </c>
      <c r="B396" s="2">
        <v>4.9076615779814921</v>
      </c>
      <c r="C396">
        <f>(-0.611893732989905*(-PI()/180))*-1</f>
        <v>-1.067956031299289E-2</v>
      </c>
      <c r="D396" s="3">
        <v>-21.374112022231945</v>
      </c>
      <c r="E396">
        <v>4.2024158273746108</v>
      </c>
      <c r="F396">
        <v>5.7970131421194973</v>
      </c>
      <c r="G396">
        <f>-7.66157791196213*(-PI()/180)</f>
        <v>0.13371976046181142</v>
      </c>
      <c r="H396">
        <f>-252.258524755138*(-PI()/180)</f>
        <v>4.4027418232007811</v>
      </c>
    </row>
    <row r="397" spans="1:8" x14ac:dyDescent="0.3">
      <c r="A397" s="1">
        <v>394</v>
      </c>
      <c r="B397" s="2">
        <v>4.919681577981037</v>
      </c>
      <c r="C397">
        <f>(0.917074748859413*(-PI()/180))*-1</f>
        <v>1.6005973854496869E-2</v>
      </c>
      <c r="D397" s="3">
        <v>-21.376118259574309</v>
      </c>
      <c r="E397">
        <v>4.2022413367331932</v>
      </c>
      <c r="F397">
        <v>5.7975845599527327</v>
      </c>
      <c r="G397">
        <f>-19.6815781221026*(-PI()/180)</f>
        <v>0.34350834021917293</v>
      </c>
      <c r="H397">
        <f>-271.490524738458*(-PI()/180)</f>
        <v>4.7384035446532096</v>
      </c>
    </row>
    <row r="398" spans="1:8" x14ac:dyDescent="0.3">
      <c r="A398" s="1">
        <v>395</v>
      </c>
      <c r="B398" s="2">
        <v>4.9200000000000035</v>
      </c>
      <c r="C398">
        <f>(1.0168210767687*(-PI()/180))*-1</f>
        <v>1.7746875693287839E-2</v>
      </c>
      <c r="D398" s="3">
        <v>-21.376424976803396</v>
      </c>
      <c r="E398">
        <v>4.2022399620842581</v>
      </c>
      <c r="F398">
        <v>5.797604695440099</v>
      </c>
      <c r="G398">
        <f>-20.0000000000025*(-PI()/180)</f>
        <v>0.34906585039890958</v>
      </c>
      <c r="H398">
        <f>-272.000000000005*(-PI()/180)</f>
        <v>4.7472955654246638</v>
      </c>
    </row>
    <row r="399" spans="1:8" x14ac:dyDescent="0.3">
      <c r="A399" s="1">
        <v>396</v>
      </c>
      <c r="B399" s="2">
        <v>4.9296899999996366</v>
      </c>
      <c r="C399">
        <f>(2.96370184227103*(-PI()/180))*-1</f>
        <v>5.1726355195051137E-2</v>
      </c>
      <c r="D399" s="3">
        <v>-21.397350974882741</v>
      </c>
      <c r="E399">
        <v>4.2022627053777146</v>
      </c>
      <c r="F399">
        <v>5.7982372542012985</v>
      </c>
      <c r="G399">
        <f>-29.6900002702186*(-PI()/180)</f>
        <v>0.51818825963332071</v>
      </c>
      <c r="H399">
        <f>-287.503999971289*(-PI()/180)</f>
        <v>5.0178914121526752</v>
      </c>
    </row>
    <row r="400" spans="1:8" x14ac:dyDescent="0.3">
      <c r="A400" s="1">
        <v>397</v>
      </c>
      <c r="B400" s="2">
        <v>4.9454299999990408</v>
      </c>
      <c r="C400">
        <f>(2.36148740965552*(-PI()/180))*-1</f>
        <v>4.1215730542880955E-2</v>
      </c>
      <c r="D400" s="3">
        <v>-21.452677544526072</v>
      </c>
      <c r="E400">
        <v>4.2025510421276344</v>
      </c>
      <c r="F400">
        <v>5.7993124375260301</v>
      </c>
      <c r="G400">
        <f>-45.4300002348183*(-PI()/180)</f>
        <v>0.79290308327937642</v>
      </c>
      <c r="H400">
        <f>-312.688000082064*(-PI()/180)</f>
        <v>5.4574351329083157</v>
      </c>
    </row>
    <row r="401" spans="1:8" x14ac:dyDescent="0.3">
      <c r="A401" s="1">
        <v>398</v>
      </c>
      <c r="B401" s="2">
        <v>4.9600000000000035</v>
      </c>
      <c r="C401">
        <f>(1.04141293849725*(-PI()/180))*-1</f>
        <v>1.8176084649646221E-2</v>
      </c>
      <c r="D401" s="3">
        <v>-21.472690104847239</v>
      </c>
      <c r="E401">
        <v>4.2032134568950559</v>
      </c>
      <c r="F401">
        <v>5.800801571909723</v>
      </c>
      <c r="G401">
        <f>-60.000000000003*(-PI()/180)</f>
        <v>1.04719755119665</v>
      </c>
      <c r="H401">
        <f>-336.000000000005*(-PI()/180)</f>
        <v>5.8643062867010345</v>
      </c>
    </row>
    <row r="402" spans="1:8" x14ac:dyDescent="0.3">
      <c r="A402" s="1">
        <v>399</v>
      </c>
      <c r="B402" s="2">
        <v>4.9608199999999725</v>
      </c>
      <c r="C402">
        <f>(1.02410815818963*(-PI()/180))*-1</f>
        <v>1.7874059256943974E-2</v>
      </c>
      <c r="D402" s="3">
        <v>-21.473537385600153</v>
      </c>
      <c r="E402">
        <v>4.2032579206259095</v>
      </c>
      <c r="F402">
        <v>5.8009037242917563</v>
      </c>
      <c r="G402">
        <f>-60.8200000720295*(-PI()/180)</f>
        <v>1.0615092523201031</v>
      </c>
      <c r="H402">
        <f>-337.312000127324*(-PI()/180)</f>
        <v>5.8872050087093353</v>
      </c>
    </row>
    <row r="403" spans="1:8" x14ac:dyDescent="0.3">
      <c r="A403" s="1">
        <v>400</v>
      </c>
      <c r="B403" s="2">
        <v>4.9754799999994175</v>
      </c>
      <c r="C403">
        <f>(0.987437604550128*(-PI()/180))*-1</f>
        <v>1.7234037357405474E-2</v>
      </c>
      <c r="D403" s="3">
        <v>-21.487188790511599</v>
      </c>
      <c r="E403">
        <v>4.204074174719616</v>
      </c>
      <c r="F403">
        <v>5.8028042501398662</v>
      </c>
      <c r="G403">
        <f>-75.4799997085748*(-PI()/180)</f>
        <v>1.3173745143189906</v>
      </c>
      <c r="H403">
        <f>-360.768000049031*(-PI()/180)</f>
        <v>6.2965894366906552</v>
      </c>
    </row>
    <row r="404" spans="1:8" x14ac:dyDescent="0.3">
      <c r="A404" s="1">
        <v>401</v>
      </c>
      <c r="B404" s="2">
        <v>4.9881099999989393</v>
      </c>
      <c r="C404">
        <f>(1.17264460890853*(-PI()/180))*-1</f>
        <v>2.0466509381215078E-2</v>
      </c>
      <c r="D404" s="3">
        <v>-21.501615316673316</v>
      </c>
      <c r="E404">
        <v>4.2048385456573385</v>
      </c>
      <c r="F404">
        <v>5.8046123491346959</v>
      </c>
      <c r="G404">
        <f>-88.1100000054372*(-PI()/180)</f>
        <v>1.5378096040271008</v>
      </c>
      <c r="H404">
        <f>-380.9759999098*(-PI()/180)</f>
        <v>6.6492855695036299</v>
      </c>
    </row>
    <row r="405" spans="1:8" ht="15" thickBot="1" x14ac:dyDescent="0.35">
      <c r="A405" s="4">
        <v>402</v>
      </c>
      <c r="B405" s="5">
        <v>5</v>
      </c>
      <c r="C405">
        <f>(1.12349119691285*(-PI()/180))*-1</f>
        <v>1.9608620503301186E-2</v>
      </c>
      <c r="D405" s="6">
        <v>-21.515300874739943</v>
      </c>
      <c r="E405">
        <v>4.2057387189985169</v>
      </c>
      <c r="F405">
        <v>5.8067580294719789</v>
      </c>
      <c r="G405">
        <f>-100*(-PI()/180)</f>
        <v>1.7453292519943295</v>
      </c>
      <c r="H405">
        <f>-400.000000000001*(-PI()/180)</f>
        <v>6.9813170079773359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x-dis</vt:lpstr>
      <vt:lpstr>right wheel(Wr)</vt:lpstr>
      <vt:lpstr>left wheel (WL)</vt:lpstr>
      <vt:lpstr>a</vt:lpstr>
      <vt:lpstr>theta-dis</vt:lpstr>
      <vt:lpstr>y-dis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</dc:creator>
  <cp:lastModifiedBy>Shahrul Kamil</cp:lastModifiedBy>
  <dcterms:created xsi:type="dcterms:W3CDTF">2021-02-01T09:00:08Z</dcterms:created>
  <dcterms:modified xsi:type="dcterms:W3CDTF">2021-02-05T00:02:25Z</dcterms:modified>
</cp:coreProperties>
</file>