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fiz\Downloads\"/>
    </mc:Choice>
  </mc:AlternateContent>
  <xr:revisionPtr revIDLastSave="0" documentId="13_ncr:1_{F38DC3DD-3B72-4C2E-BF9A-1F194B972CDB}" xr6:coauthVersionLast="47" xr6:coauthVersionMax="47" xr10:uidLastSave="{00000000-0000-0000-0000-000000000000}"/>
  <bookViews>
    <workbookView xWindow="-108" yWindow="-108" windowWidth="23256" windowHeight="12720" tabRatio="919" activeTab="1" xr2:uid="{00000000-000D-0000-FFFF-FFFF00000000}"/>
  </bookViews>
  <sheets>
    <sheet name="PC Version" sheetId="8" r:id="rId1"/>
    <sheet name="ASME PTC 22" sheetId="5" r:id="rId2"/>
  </sheets>
  <definedNames>
    <definedName name="caloric">'ASME PTC 22'!$C$38:$K$53</definedName>
    <definedName name="datalab">#REF!</definedName>
    <definedName name="gases">'ASME PTC 22'!$C$7:$H$28</definedName>
    <definedName name="RATIO">'ASME PTC 22'!$C$77:$D$81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8" i="5" l="1"/>
  <c r="E248" i="5"/>
  <c r="I213" i="5"/>
  <c r="G219" i="5"/>
  <c r="G213" i="5"/>
  <c r="F213" i="5"/>
  <c r="E213" i="5"/>
  <c r="E215" i="5"/>
  <c r="E214" i="5"/>
  <c r="F202" i="5"/>
  <c r="E202" i="5"/>
  <c r="E206" i="5"/>
  <c r="E205" i="5"/>
  <c r="E204" i="5"/>
  <c r="E203" i="5"/>
  <c r="F205" i="5"/>
  <c r="F193" i="5"/>
  <c r="F191" i="5"/>
  <c r="E193" i="5"/>
  <c r="G191" i="5"/>
  <c r="E191" i="5"/>
  <c r="F183" i="5"/>
  <c r="F182" i="5"/>
  <c r="F181" i="5"/>
  <c r="F175" i="5"/>
  <c r="F180" i="5"/>
  <c r="F177" i="5"/>
  <c r="G250" i="5"/>
  <c r="F250" i="5"/>
  <c r="E253" i="5"/>
  <c r="E251" i="5"/>
  <c r="E249" i="5"/>
  <c r="E396" i="5" s="1"/>
  <c r="G396" i="5" s="1"/>
  <c r="G114" i="5"/>
  <c r="G115" i="5"/>
  <c r="G119" i="5"/>
  <c r="F176" i="5"/>
  <c r="E329" i="5" a="1"/>
  <c r="E329" i="5" s="1"/>
  <c r="D141" i="5"/>
  <c r="E155" i="5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63" i="8"/>
  <c r="H63" i="8"/>
  <c r="H66" i="8" s="1"/>
  <c r="O67" i="8" s="1"/>
  <c r="J77" i="8"/>
  <c r="J81" i="8" s="1"/>
  <c r="H62" i="8"/>
  <c r="H65" i="8" s="1"/>
  <c r="F67" i="8"/>
  <c r="F71" i="8" s="1"/>
  <c r="F68" i="8"/>
  <c r="F72" i="8" s="1"/>
  <c r="D132" i="5"/>
  <c r="G193" i="5" l="1"/>
  <c r="M347" i="5"/>
  <c r="I338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25" i="5"/>
  <c r="G140" i="5"/>
  <c r="G139" i="5"/>
  <c r="G138" i="5"/>
  <c r="G137" i="5"/>
  <c r="G136" i="5"/>
  <c r="F160" i="5" s="1"/>
  <c r="G133" i="5"/>
  <c r="G132" i="5"/>
  <c r="D140" i="5"/>
  <c r="I364" i="5" s="1"/>
  <c r="D138" i="5"/>
  <c r="D137" i="5"/>
  <c r="D156" i="5" s="1"/>
  <c r="H43" i="8" s="1"/>
  <c r="D135" i="5"/>
  <c r="D134" i="5"/>
  <c r="D133" i="5"/>
  <c r="D128" i="5"/>
  <c r="D127" i="5"/>
  <c r="D126" i="5"/>
  <c r="D125" i="5"/>
  <c r="I40" i="8"/>
  <c r="R57" i="8"/>
  <c r="R58" i="8" l="1"/>
  <c r="R59" i="8" s="1"/>
  <c r="R60" i="8" s="1"/>
  <c r="R61" i="8" s="1"/>
  <c r="F161" i="5"/>
  <c r="J48" i="8" s="1"/>
  <c r="I42" i="8"/>
  <c r="J47" i="8" l="1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395" i="5"/>
  <c r="E255" i="5"/>
  <c r="E265" i="5"/>
  <c r="E250" i="5"/>
  <c r="E252" i="5"/>
  <c r="E254" i="5"/>
  <c r="E256" i="5"/>
  <c r="E257" i="5"/>
  <c r="E258" i="5"/>
  <c r="E259" i="5"/>
  <c r="E260" i="5"/>
  <c r="E261" i="5"/>
  <c r="E262" i="5"/>
  <c r="E263" i="5"/>
  <c r="E264" i="5"/>
  <c r="K143" i="5" l="1"/>
  <c r="D155" i="5" l="1"/>
  <c r="D231" i="5"/>
  <c r="D236" i="5"/>
  <c r="D225" i="5"/>
  <c r="D42" i="8" s="1"/>
  <c r="H391" i="5"/>
  <c r="D391" i="5"/>
  <c r="N59" i="5"/>
  <c r="N60" i="5"/>
  <c r="N61" i="5"/>
  <c r="N62" i="5"/>
  <c r="N63" i="5"/>
  <c r="N64" i="5"/>
  <c r="N65" i="5"/>
  <c r="N58" i="5"/>
  <c r="C69" i="5"/>
  <c r="N69" i="5" s="1"/>
  <c r="C67" i="5"/>
  <c r="N67" i="5" s="1"/>
  <c r="C68" i="5"/>
  <c r="N68" i="5" s="1"/>
  <c r="C70" i="5"/>
  <c r="N70" i="5" s="1"/>
  <c r="C71" i="5"/>
  <c r="N71" i="5" s="1"/>
  <c r="C72" i="5"/>
  <c r="N72" i="5" s="1"/>
  <c r="C73" i="5"/>
  <c r="N73" i="5" s="1"/>
  <c r="C74" i="5"/>
  <c r="N74" i="5" s="1"/>
  <c r="C66" i="5"/>
  <c r="N66" i="5" s="1"/>
  <c r="D53" i="8" l="1"/>
  <c r="F236" i="5"/>
  <c r="D48" i="8"/>
  <c r="F231" i="5"/>
  <c r="F155" i="5"/>
  <c r="J42" i="8" s="1"/>
  <c r="H42" i="8"/>
  <c r="I366" i="5"/>
  <c r="D364" i="5"/>
  <c r="D365" i="5" s="1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395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395" i="5"/>
  <c r="G395" i="5" l="1"/>
  <c r="G408" i="5"/>
  <c r="G400" i="5"/>
  <c r="F370" i="5"/>
  <c r="F378" i="5"/>
  <c r="F371" i="5"/>
  <c r="F379" i="5"/>
  <c r="F372" i="5"/>
  <c r="F381" i="5"/>
  <c r="F373" i="5"/>
  <c r="F382" i="5"/>
  <c r="F384" i="5"/>
  <c r="F374" i="5"/>
  <c r="F383" i="5"/>
  <c r="F375" i="5"/>
  <c r="F376" i="5"/>
  <c r="F385" i="5"/>
  <c r="F380" i="5"/>
  <c r="F377" i="5"/>
  <c r="F369" i="5"/>
  <c r="G404" i="5"/>
  <c r="G409" i="5"/>
  <c r="D366" i="5"/>
  <c r="G405" i="5"/>
  <c r="G397" i="5"/>
  <c r="I365" i="5"/>
  <c r="G401" i="5"/>
  <c r="G407" i="5"/>
  <c r="G399" i="5"/>
  <c r="G406" i="5"/>
  <c r="G398" i="5"/>
  <c r="G411" i="5"/>
  <c r="G403" i="5"/>
  <c r="G410" i="5"/>
  <c r="G402" i="5"/>
  <c r="K370" i="5" l="1"/>
  <c r="K378" i="5"/>
  <c r="K369" i="5"/>
  <c r="K371" i="5"/>
  <c r="K379" i="5"/>
  <c r="K372" i="5"/>
  <c r="K380" i="5"/>
  <c r="K373" i="5"/>
  <c r="K381" i="5"/>
  <c r="K374" i="5"/>
  <c r="K382" i="5"/>
  <c r="K375" i="5"/>
  <c r="K383" i="5"/>
  <c r="K376" i="5"/>
  <c r="K384" i="5"/>
  <c r="K377" i="5"/>
  <c r="K385" i="5"/>
  <c r="I164" i="5" l="1"/>
  <c r="R44" i="8" s="1"/>
  <c r="D273" i="5"/>
  <c r="F273" i="5" s="1"/>
  <c r="I339" i="5"/>
  <c r="D348" i="5"/>
  <c r="I309" i="5"/>
  <c r="N324" i="5"/>
  <c r="N325" i="5" s="1"/>
  <c r="I324" i="5"/>
  <c r="I325" i="5" s="1"/>
  <c r="D324" i="5"/>
  <c r="D325" i="5" s="1"/>
  <c r="D334" i="5"/>
  <c r="I334" i="5" s="1"/>
  <c r="D308" i="5"/>
  <c r="M355" i="5"/>
  <c r="M356" i="5"/>
  <c r="M357" i="5"/>
  <c r="M358" i="5"/>
  <c r="M354" i="5"/>
  <c r="J359" i="5"/>
  <c r="I359" i="5"/>
  <c r="H359" i="5"/>
  <c r="J357" i="5"/>
  <c r="I357" i="5"/>
  <c r="H357" i="5"/>
  <c r="J356" i="5"/>
  <c r="I356" i="5"/>
  <c r="H356" i="5"/>
  <c r="J355" i="5"/>
  <c r="I355" i="5"/>
  <c r="H355" i="5"/>
  <c r="J354" i="5"/>
  <c r="I354" i="5"/>
  <c r="H354" i="5"/>
  <c r="D109" i="5"/>
  <c r="D309" i="5" l="1"/>
  <c r="E317" i="5" s="1"/>
  <c r="D338" i="5"/>
  <c r="D339" i="5" s="1"/>
  <c r="J347" i="5"/>
  <c r="J346" i="5"/>
  <c r="J344" i="5"/>
  <c r="J345" i="5"/>
  <c r="E330" i="5"/>
  <c r="J343" i="5"/>
  <c r="J348" i="5"/>
  <c r="J330" i="5"/>
  <c r="E332" i="5"/>
  <c r="E331" i="5"/>
  <c r="O334" i="5"/>
  <c r="O333" i="5"/>
  <c r="J334" i="5"/>
  <c r="K334" i="5" s="1"/>
  <c r="N334" i="5"/>
  <c r="O332" i="5"/>
  <c r="J333" i="5"/>
  <c r="O331" i="5"/>
  <c r="J329" i="5"/>
  <c r="E334" i="5"/>
  <c r="F334" i="5" s="1"/>
  <c r="J332" i="5"/>
  <c r="O330" i="5"/>
  <c r="E333" i="5"/>
  <c r="J331" i="5"/>
  <c r="O329" i="5"/>
  <c r="J317" i="5"/>
  <c r="J318" i="5"/>
  <c r="I348" i="5" s="1"/>
  <c r="J313" i="5"/>
  <c r="J314" i="5"/>
  <c r="J316" i="5"/>
  <c r="J315" i="5"/>
  <c r="F261" i="5"/>
  <c r="G261" i="5" s="1"/>
  <c r="F262" i="5"/>
  <c r="G262" i="5" s="1"/>
  <c r="F263" i="5"/>
  <c r="G263" i="5" s="1"/>
  <c r="F264" i="5"/>
  <c r="G264" i="5" s="1"/>
  <c r="F257" i="5"/>
  <c r="G257" i="5" s="1"/>
  <c r="F249" i="5"/>
  <c r="F251" i="5"/>
  <c r="F252" i="5"/>
  <c r="F253" i="5"/>
  <c r="F254" i="5"/>
  <c r="F255" i="5"/>
  <c r="F256" i="5"/>
  <c r="G256" i="5" s="1"/>
  <c r="F258" i="5"/>
  <c r="G258" i="5" s="1"/>
  <c r="F259" i="5"/>
  <c r="G259" i="5" s="1"/>
  <c r="F260" i="5"/>
  <c r="G260" i="5" s="1"/>
  <c r="G248" i="5"/>
  <c r="D111" i="5"/>
  <c r="E316" i="5" l="1"/>
  <c r="E313" i="5"/>
  <c r="E314" i="5"/>
  <c r="E318" i="5"/>
  <c r="E315" i="5"/>
  <c r="K348" i="5"/>
  <c r="P334" i="5"/>
  <c r="E347" i="5"/>
  <c r="E348" i="5"/>
  <c r="F348" i="5" s="1"/>
  <c r="E343" i="5"/>
  <c r="E344" i="5"/>
  <c r="E345" i="5"/>
  <c r="E346" i="5"/>
  <c r="G118" i="5" l="1"/>
  <c r="G116" i="5"/>
  <c r="G113" i="5"/>
  <c r="G112" i="5"/>
  <c r="E118" i="5"/>
  <c r="E117" i="5"/>
  <c r="E116" i="5"/>
  <c r="E115" i="5"/>
  <c r="E114" i="5"/>
  <c r="E113" i="5"/>
  <c r="E112" i="5"/>
  <c r="H27" i="8" l="1"/>
  <c r="E216" i="5"/>
  <c r="E194" i="5"/>
  <c r="E192" i="5"/>
  <c r="G192" i="5" s="1"/>
  <c r="E217" i="5"/>
  <c r="E195" i="5"/>
  <c r="D227" i="5" l="1"/>
  <c r="D44" i="8" s="1"/>
  <c r="H28" i="8"/>
  <c r="J105" i="5"/>
  <c r="F102" i="5"/>
  <c r="H102" i="5" s="1"/>
  <c r="J102" i="5" l="1"/>
  <c r="J103" i="5"/>
  <c r="J106" i="5"/>
  <c r="J108" i="5"/>
  <c r="J107" i="5"/>
  <c r="J104" i="5"/>
  <c r="F104" i="5"/>
  <c r="I284" i="5" l="1"/>
  <c r="F194" i="5"/>
  <c r="F195" i="5"/>
  <c r="F192" i="5"/>
  <c r="F103" i="5"/>
  <c r="H103" i="5" s="1"/>
  <c r="F105" i="5"/>
  <c r="H105" i="5" s="1"/>
  <c r="F106" i="5"/>
  <c r="H106" i="5" s="1"/>
  <c r="H104" i="5"/>
  <c r="H108" i="5" l="1"/>
  <c r="F206" i="5"/>
  <c r="F216" i="5"/>
  <c r="I287" i="5" s="1"/>
  <c r="F287" i="5" s="1"/>
  <c r="F203" i="5"/>
  <c r="F215" i="5"/>
  <c r="I286" i="5" s="1"/>
  <c r="F204" i="5"/>
  <c r="F214" i="5"/>
  <c r="I285" i="5" s="1"/>
  <c r="K285" i="5" s="1"/>
  <c r="F217" i="5"/>
  <c r="I288" i="5" s="1"/>
  <c r="I290" i="5" l="1"/>
  <c r="F208" i="5"/>
  <c r="D224" i="5" l="1"/>
  <c r="D41" i="8" s="1"/>
  <c r="E119" i="5" l="1"/>
  <c r="G194" i="5" l="1"/>
  <c r="G195" i="5"/>
  <c r="G197" i="5" l="1"/>
  <c r="G215" i="5"/>
  <c r="G214" i="5"/>
  <c r="G216" i="5"/>
  <c r="G217" i="5"/>
  <c r="E412" i="5"/>
  <c r="G412" i="5" s="1"/>
  <c r="G413" i="5" l="1"/>
  <c r="H396" i="5" s="1"/>
  <c r="L396" i="5" s="1"/>
  <c r="I192" i="5"/>
  <c r="D330" i="5" s="1"/>
  <c r="I330" i="5" s="1"/>
  <c r="K330" i="5" s="1"/>
  <c r="I191" i="5"/>
  <c r="I194" i="5"/>
  <c r="I195" i="5"/>
  <c r="D333" i="5" s="1"/>
  <c r="I193" i="5"/>
  <c r="D331" i="5" s="1"/>
  <c r="G249" i="5"/>
  <c r="G251" i="5"/>
  <c r="G255" i="5"/>
  <c r="G265" i="5"/>
  <c r="G254" i="5"/>
  <c r="G252" i="5"/>
  <c r="G253" i="5"/>
  <c r="F330" i="5" l="1"/>
  <c r="H402" i="5"/>
  <c r="H401" i="5"/>
  <c r="H405" i="5"/>
  <c r="H408" i="5"/>
  <c r="H403" i="5"/>
  <c r="H407" i="5"/>
  <c r="H397" i="5"/>
  <c r="H398" i="5"/>
  <c r="H395" i="5"/>
  <c r="L395" i="5" s="1"/>
  <c r="H404" i="5"/>
  <c r="H400" i="5"/>
  <c r="H409" i="5"/>
  <c r="H406" i="5"/>
  <c r="H410" i="5"/>
  <c r="H399" i="5"/>
  <c r="H411" i="5"/>
  <c r="H412" i="5"/>
  <c r="N330" i="5"/>
  <c r="P330" i="5" s="1"/>
  <c r="F333" i="5"/>
  <c r="I333" i="5"/>
  <c r="K333" i="5" s="1"/>
  <c r="N333" i="5"/>
  <c r="P333" i="5" s="1"/>
  <c r="F331" i="5"/>
  <c r="I331" i="5"/>
  <c r="K331" i="5" s="1"/>
  <c r="N331" i="5"/>
  <c r="P331" i="5" s="1"/>
  <c r="D332" i="5"/>
  <c r="D329" i="5"/>
  <c r="I215" i="5"/>
  <c r="I217" i="5"/>
  <c r="G268" i="5"/>
  <c r="D244" i="5" s="1"/>
  <c r="I214" i="5"/>
  <c r="I216" i="5"/>
  <c r="I248" i="5" l="1"/>
  <c r="K248" i="5"/>
  <c r="L406" i="5"/>
  <c r="J406" i="5"/>
  <c r="J409" i="5"/>
  <c r="L409" i="5"/>
  <c r="J408" i="5"/>
  <c r="L408" i="5"/>
  <c r="L397" i="5"/>
  <c r="J397" i="5"/>
  <c r="L410" i="5"/>
  <c r="J410" i="5"/>
  <c r="J400" i="5"/>
  <c r="L400" i="5"/>
  <c r="L405" i="5"/>
  <c r="J405" i="5"/>
  <c r="L403" i="5"/>
  <c r="J403" i="5"/>
  <c r="L412" i="5"/>
  <c r="J412" i="5"/>
  <c r="L404" i="5"/>
  <c r="J404" i="5"/>
  <c r="J401" i="5"/>
  <c r="L401" i="5"/>
  <c r="L399" i="5"/>
  <c r="J399" i="5"/>
  <c r="L407" i="5"/>
  <c r="J407" i="5"/>
  <c r="L411" i="5"/>
  <c r="J411" i="5"/>
  <c r="L402" i="5"/>
  <c r="J402" i="5"/>
  <c r="J396" i="5"/>
  <c r="L398" i="5"/>
  <c r="J398" i="5"/>
  <c r="J373" i="5"/>
  <c r="L373" i="5" s="1"/>
  <c r="E373" i="5"/>
  <c r="G373" i="5" s="1"/>
  <c r="J381" i="5"/>
  <c r="L381" i="5" s="1"/>
  <c r="E381" i="5"/>
  <c r="G381" i="5" s="1"/>
  <c r="E372" i="5"/>
  <c r="G372" i="5" s="1"/>
  <c r="J372" i="5"/>
  <c r="L372" i="5" s="1"/>
  <c r="E380" i="5"/>
  <c r="G380" i="5" s="1"/>
  <c r="J380" i="5"/>
  <c r="L380" i="5" s="1"/>
  <c r="E377" i="5"/>
  <c r="G377" i="5" s="1"/>
  <c r="J377" i="5"/>
  <c r="L377" i="5" s="1"/>
  <c r="J384" i="5"/>
  <c r="L384" i="5" s="1"/>
  <c r="E384" i="5"/>
  <c r="G384" i="5" s="1"/>
  <c r="J383" i="5"/>
  <c r="L383" i="5" s="1"/>
  <c r="E383" i="5"/>
  <c r="G383" i="5" s="1"/>
  <c r="J370" i="5"/>
  <c r="L370" i="5" s="1"/>
  <c r="E370" i="5"/>
  <c r="G370" i="5" s="1"/>
  <c r="J379" i="5"/>
  <c r="L379" i="5" s="1"/>
  <c r="E379" i="5"/>
  <c r="G379" i="5" s="1"/>
  <c r="J371" i="5"/>
  <c r="L371" i="5" s="1"/>
  <c r="E371" i="5"/>
  <c r="G371" i="5" s="1"/>
  <c r="J374" i="5"/>
  <c r="L374" i="5" s="1"/>
  <c r="E374" i="5"/>
  <c r="G374" i="5" s="1"/>
  <c r="J378" i="5"/>
  <c r="L378" i="5" s="1"/>
  <c r="E378" i="5"/>
  <c r="G378" i="5" s="1"/>
  <c r="J375" i="5"/>
  <c r="L375" i="5" s="1"/>
  <c r="E375" i="5"/>
  <c r="G375" i="5" s="1"/>
  <c r="J382" i="5"/>
  <c r="L382" i="5" s="1"/>
  <c r="E382" i="5"/>
  <c r="G382" i="5" s="1"/>
  <c r="E385" i="5"/>
  <c r="G385" i="5" s="1"/>
  <c r="J385" i="5"/>
  <c r="L385" i="5" s="1"/>
  <c r="J395" i="5"/>
  <c r="E369" i="5"/>
  <c r="G369" i="5" s="1"/>
  <c r="J369" i="5"/>
  <c r="L369" i="5" s="1"/>
  <c r="J376" i="5"/>
  <c r="L376" i="5" s="1"/>
  <c r="E376" i="5"/>
  <c r="G376" i="5" s="1"/>
  <c r="F332" i="5"/>
  <c r="I332" i="5"/>
  <c r="K332" i="5" s="1"/>
  <c r="N332" i="5"/>
  <c r="P332" i="5" s="1"/>
  <c r="F329" i="5"/>
  <c r="N329" i="5"/>
  <c r="P329" i="5" s="1"/>
  <c r="I329" i="5"/>
  <c r="K329" i="5" s="1"/>
  <c r="G387" i="5" l="1"/>
  <c r="G417" i="5" s="1"/>
  <c r="L413" i="5"/>
  <c r="G416" i="5" s="1"/>
  <c r="J413" i="5"/>
  <c r="E416" i="5" s="1"/>
  <c r="L387" i="5"/>
  <c r="P335" i="5"/>
  <c r="K335" i="5"/>
  <c r="F335" i="5"/>
  <c r="E418" i="5" l="1"/>
  <c r="G418" i="5"/>
  <c r="G419" i="5" s="1"/>
  <c r="G420" i="5" s="1"/>
  <c r="E417" i="5"/>
  <c r="K336" i="5"/>
  <c r="E156" i="5" s="1"/>
  <c r="P336" i="5"/>
  <c r="E164" i="5" s="1"/>
  <c r="E419" i="5" l="1"/>
  <c r="F156" i="5"/>
  <c r="J43" i="8" s="1"/>
  <c r="I43" i="8"/>
  <c r="E420" i="5" l="1"/>
  <c r="G134" i="5"/>
  <c r="D154" i="5"/>
  <c r="H41" i="8" s="1"/>
  <c r="D235" i="5"/>
  <c r="D52" i="8" s="1"/>
  <c r="D243" i="5"/>
  <c r="D274" i="5" s="1"/>
  <c r="F274" i="5" s="1"/>
  <c r="J30" i="8" l="1"/>
  <c r="O68" i="8"/>
  <c r="O69" i="8" s="1"/>
  <c r="O70" i="8" s="1"/>
  <c r="O71" i="8" s="1"/>
  <c r="O72" i="8" s="1"/>
  <c r="O73" i="8" s="1"/>
  <c r="O75" i="8" s="1"/>
  <c r="E154" i="5"/>
  <c r="I41" i="8" s="1"/>
  <c r="H30" i="8"/>
  <c r="T29" i="8" s="1"/>
  <c r="D38" i="8"/>
  <c r="D81" i="8" s="1"/>
  <c r="D82" i="8" s="1"/>
  <c r="D83" i="8" s="1"/>
  <c r="I249" i="5"/>
  <c r="I255" i="5" l="1"/>
  <c r="K251" i="5"/>
  <c r="F154" i="5"/>
  <c r="J41" i="8" s="1"/>
  <c r="M264" i="5"/>
  <c r="Q264" i="5"/>
  <c r="S261" i="5"/>
  <c r="K254" i="5"/>
  <c r="O260" i="5"/>
  <c r="S255" i="5"/>
  <c r="O257" i="5"/>
  <c r="Q250" i="5"/>
  <c r="O264" i="5"/>
  <c r="O258" i="5"/>
  <c r="M248" i="5"/>
  <c r="O255" i="5"/>
  <c r="M250" i="5"/>
  <c r="I258" i="5"/>
  <c r="K252" i="5"/>
  <c r="Q252" i="5"/>
  <c r="K261" i="5"/>
  <c r="S257" i="5"/>
  <c r="Q255" i="5"/>
  <c r="Q256" i="5"/>
  <c r="M258" i="5"/>
  <c r="K255" i="5"/>
  <c r="M260" i="5"/>
  <c r="I259" i="5"/>
  <c r="I261" i="5"/>
  <c r="S259" i="5"/>
  <c r="M252" i="5"/>
  <c r="I256" i="5"/>
  <c r="I257" i="5"/>
  <c r="M249" i="5"/>
  <c r="O256" i="5"/>
  <c r="K258" i="5"/>
  <c r="K249" i="5"/>
  <c r="Q253" i="5"/>
  <c r="S253" i="5"/>
  <c r="S248" i="5"/>
  <c r="S258" i="5"/>
  <c r="K262" i="5"/>
  <c r="S263" i="5"/>
  <c r="S252" i="5"/>
  <c r="M255" i="5"/>
  <c r="O252" i="5"/>
  <c r="M263" i="5"/>
  <c r="S249" i="5"/>
  <c r="I264" i="5"/>
  <c r="S260" i="5"/>
  <c r="O251" i="5"/>
  <c r="Q259" i="5"/>
  <c r="I252" i="5"/>
  <c r="O259" i="5"/>
  <c r="S262" i="5"/>
  <c r="M257" i="5"/>
  <c r="M261" i="5"/>
  <c r="S256" i="5"/>
  <c r="I254" i="5"/>
  <c r="S250" i="5"/>
  <c r="Q254" i="5"/>
  <c r="M256" i="5"/>
  <c r="M253" i="5"/>
  <c r="K265" i="5"/>
  <c r="K253" i="5"/>
  <c r="Q251" i="5"/>
  <c r="M262" i="5"/>
  <c r="I250" i="5"/>
  <c r="Q262" i="5"/>
  <c r="S265" i="5"/>
  <c r="O249" i="5"/>
  <c r="S264" i="5"/>
  <c r="I260" i="5"/>
  <c r="K257" i="5"/>
  <c r="I251" i="5"/>
  <c r="O262" i="5"/>
  <c r="Q257" i="5"/>
  <c r="K256" i="5"/>
  <c r="I262" i="5"/>
  <c r="I253" i="5"/>
  <c r="Q263" i="5"/>
  <c r="S251" i="5"/>
  <c r="K264" i="5"/>
  <c r="Q258" i="5"/>
  <c r="O248" i="5"/>
  <c r="Q248" i="5"/>
  <c r="O261" i="5"/>
  <c r="K260" i="5"/>
  <c r="Q249" i="5"/>
  <c r="K259" i="5"/>
  <c r="S254" i="5"/>
  <c r="M251" i="5"/>
  <c r="O265" i="5"/>
  <c r="M254" i="5"/>
  <c r="I265" i="5"/>
  <c r="O253" i="5"/>
  <c r="Q265" i="5"/>
  <c r="Q261" i="5"/>
  <c r="K250" i="5"/>
  <c r="O250" i="5"/>
  <c r="I263" i="5"/>
  <c r="K263" i="5"/>
  <c r="O254" i="5"/>
  <c r="O263" i="5"/>
  <c r="M259" i="5"/>
  <c r="Q260" i="5"/>
  <c r="M265" i="5"/>
  <c r="K269" i="5" l="1"/>
  <c r="S269" i="5"/>
  <c r="Q269" i="5"/>
  <c r="I269" i="5"/>
  <c r="E284" i="5" s="1"/>
  <c r="M269" i="5"/>
  <c r="O269" i="5"/>
  <c r="F185" i="5" l="1" a="1"/>
  <c r="F185" i="5" s="1"/>
  <c r="H191" i="5" s="1"/>
  <c r="D284" i="5" s="1"/>
  <c r="G284" i="5" s="1"/>
  <c r="E289" i="5"/>
  <c r="G289" i="5" s="1"/>
  <c r="K289" i="5" s="1"/>
  <c r="E288" i="5"/>
  <c r="D226" i="5"/>
  <c r="D43" i="8" s="1"/>
  <c r="E285" i="5"/>
  <c r="D223" i="5"/>
  <c r="D40" i="8" s="1"/>
  <c r="E286" i="5"/>
  <c r="E287" i="5"/>
  <c r="H192" i="5" l="1"/>
  <c r="D285" i="5" s="1"/>
  <c r="D153" i="5"/>
  <c r="D158" i="5" s="1"/>
  <c r="G185" i="5"/>
  <c r="I185" i="5" s="1"/>
  <c r="E301" i="5"/>
  <c r="D228" i="5"/>
  <c r="D45" i="8" s="1"/>
  <c r="H195" i="5"/>
  <c r="D288" i="5" s="1"/>
  <c r="G288" i="5" s="1"/>
  <c r="K288" i="5" s="1"/>
  <c r="H194" i="5"/>
  <c r="D287" i="5" s="1"/>
  <c r="G287" i="5" s="1"/>
  <c r="K287" i="5" s="1"/>
  <c r="H193" i="5"/>
  <c r="D286" i="5" s="1"/>
  <c r="G286" i="5" s="1"/>
  <c r="K286" i="5" s="1"/>
  <c r="D233" i="5"/>
  <c r="D275" i="5"/>
  <c r="F275" i="5" s="1"/>
  <c r="K284" i="5"/>
  <c r="D50" i="8" l="1"/>
  <c r="F233" i="5"/>
  <c r="H45" i="8"/>
  <c r="F153" i="5"/>
  <c r="J40" i="8" s="1"/>
  <c r="H40" i="8"/>
  <c r="G290" i="5"/>
  <c r="H286" i="5" s="1"/>
  <c r="K290" i="5"/>
  <c r="D276" i="5" s="1"/>
  <c r="F276" i="5" s="1"/>
  <c r="D237" i="5" l="1"/>
  <c r="H285" i="5"/>
  <c r="H284" i="5"/>
  <c r="H289" i="5"/>
  <c r="H287" i="5"/>
  <c r="H288" i="5"/>
  <c r="J286" i="5"/>
  <c r="D315" i="5" s="1"/>
  <c r="J289" i="5"/>
  <c r="D318" i="5" s="1"/>
  <c r="J285" i="5"/>
  <c r="D314" i="5" s="1"/>
  <c r="J284" i="5"/>
  <c r="J287" i="5"/>
  <c r="D316" i="5" s="1"/>
  <c r="J288" i="5"/>
  <c r="D317" i="5" s="1"/>
  <c r="D54" i="8" l="1"/>
  <c r="F237" i="5"/>
  <c r="F316" i="5"/>
  <c r="I316" i="5"/>
  <c r="K316" i="5" s="1"/>
  <c r="F314" i="5"/>
  <c r="I314" i="5"/>
  <c r="K314" i="5" s="1"/>
  <c r="D313" i="5"/>
  <c r="J290" i="5"/>
  <c r="I317" i="5"/>
  <c r="K317" i="5" s="1"/>
  <c r="F317" i="5"/>
  <c r="F318" i="5"/>
  <c r="I318" i="5"/>
  <c r="K318" i="5" s="1"/>
  <c r="I315" i="5"/>
  <c r="K315" i="5" s="1"/>
  <c r="F315" i="5"/>
  <c r="F313" i="5" l="1"/>
  <c r="F319" i="5" s="1"/>
  <c r="I313" i="5"/>
  <c r="K313" i="5" s="1"/>
  <c r="K319" i="5" s="1"/>
  <c r="K320" i="5" l="1"/>
  <c r="E158" i="5" s="1"/>
  <c r="F158" i="5" s="1"/>
  <c r="F163" i="5" s="1"/>
  <c r="D165" i="5" s="1"/>
  <c r="F321" i="5"/>
  <c r="O319" i="5"/>
  <c r="I45" i="8" l="1"/>
  <c r="J45" i="8" l="1"/>
  <c r="J50" i="8" l="1"/>
  <c r="F186" i="5"/>
  <c r="E168" i="5"/>
  <c r="E169" i="5" s="1"/>
  <c r="I56" i="8" s="1"/>
  <c r="I51" i="8"/>
  <c r="H213" i="5" l="1"/>
  <c r="D171" i="5"/>
  <c r="D143" i="5" s="1"/>
  <c r="I55" i="8"/>
  <c r="D169" i="5"/>
  <c r="D151" i="5" s="1"/>
  <c r="D168" i="5"/>
  <c r="F168" i="5" s="1"/>
  <c r="J55" i="8" s="1"/>
  <c r="H52" i="8"/>
  <c r="D232" i="5"/>
  <c r="G204" i="5" l="1"/>
  <c r="G202" i="5"/>
  <c r="G208" i="5" s="1"/>
  <c r="G203" i="5"/>
  <c r="G186" i="5"/>
  <c r="I186" i="5" s="1"/>
  <c r="H214" i="5"/>
  <c r="D297" i="5" s="1"/>
  <c r="E297" i="5" s="1"/>
  <c r="H216" i="5"/>
  <c r="D299" i="5" s="1"/>
  <c r="E299" i="5" s="1"/>
  <c r="G206" i="5"/>
  <c r="D277" i="5"/>
  <c r="F277" i="5" s="1"/>
  <c r="H215" i="5"/>
  <c r="D298" i="5" s="1"/>
  <c r="E298" i="5" s="1"/>
  <c r="G205" i="5"/>
  <c r="H217" i="5"/>
  <c r="D300" i="5" s="1"/>
  <c r="E300" i="5" s="1"/>
  <c r="D296" i="5"/>
  <c r="E296" i="5" s="1"/>
  <c r="E303" i="5" s="1"/>
  <c r="H56" i="8"/>
  <c r="D49" i="8"/>
  <c r="F232" i="5"/>
  <c r="H38" i="8"/>
  <c r="D230" i="5"/>
  <c r="F230" i="5" s="1"/>
  <c r="D278" i="5"/>
  <c r="F278" i="5" s="1"/>
  <c r="H31" i="8"/>
  <c r="F169" i="5"/>
  <c r="J56" i="8" s="1"/>
  <c r="F143" i="5"/>
  <c r="J31" i="8" s="1"/>
  <c r="H55" i="8"/>
  <c r="D239" i="5"/>
  <c r="H58" i="8"/>
  <c r="J78" i="8" s="1"/>
  <c r="J82" i="8" s="1"/>
  <c r="F297" i="5" l="1"/>
  <c r="I153" i="5" s="1"/>
  <c r="O41" i="8" s="1"/>
  <c r="E304" i="5"/>
  <c r="G298" i="5" s="1"/>
  <c r="I162" i="5" s="1"/>
  <c r="R42" i="8" s="1"/>
  <c r="D302" i="5"/>
  <c r="D47" i="8"/>
  <c r="F69" i="8" s="1"/>
  <c r="F73" i="8" s="1"/>
  <c r="H300" i="5"/>
  <c r="D347" i="5" s="1"/>
  <c r="F347" i="5" s="1"/>
  <c r="H298" i="5"/>
  <c r="D345" i="5" s="1"/>
  <c r="F345" i="5" s="1"/>
  <c r="D56" i="8"/>
  <c r="F239" i="5"/>
  <c r="H299" i="5"/>
  <c r="D346" i="5" s="1"/>
  <c r="I346" i="5" s="1"/>
  <c r="K346" i="5" s="1"/>
  <c r="H297" i="5"/>
  <c r="D344" i="5" s="1"/>
  <c r="F344" i="5" s="1"/>
  <c r="H296" i="5"/>
  <c r="D343" i="5" s="1"/>
  <c r="I343" i="5" s="1"/>
  <c r="K343" i="5" s="1"/>
  <c r="R67" i="8"/>
  <c r="F301" i="5"/>
  <c r="I157" i="5" s="1"/>
  <c r="O45" i="8" s="1"/>
  <c r="F300" i="5"/>
  <c r="I156" i="5" s="1"/>
  <c r="O44" i="8" s="1"/>
  <c r="F296" i="5"/>
  <c r="F299" i="5"/>
  <c r="I155" i="5" s="1"/>
  <c r="O43" i="8" s="1"/>
  <c r="F298" i="5"/>
  <c r="I154" i="5" s="1"/>
  <c r="O42" i="8" s="1"/>
  <c r="G296" i="5" l="1"/>
  <c r="I160" i="5" s="1"/>
  <c r="R40" i="8" s="1"/>
  <c r="G300" i="5"/>
  <c r="I163" i="5" s="1"/>
  <c r="R43" i="8" s="1"/>
  <c r="G297" i="5"/>
  <c r="I161" i="5" s="1"/>
  <c r="R41" i="8" s="1"/>
  <c r="I347" i="5"/>
  <c r="K347" i="5" s="1"/>
  <c r="F346" i="5"/>
  <c r="I345" i="5"/>
  <c r="K345" i="5" s="1"/>
  <c r="H303" i="5"/>
  <c r="F343" i="5"/>
  <c r="I344" i="5"/>
  <c r="K344" i="5" s="1"/>
  <c r="F303" i="5"/>
  <c r="I152" i="5"/>
  <c r="O40" i="8" s="1"/>
  <c r="G303" i="5" l="1"/>
  <c r="F349" i="5"/>
  <c r="K349" i="5"/>
  <c r="M349" i="5" s="1"/>
  <c r="K350" i="5" l="1"/>
  <c r="E171" i="5" s="1"/>
  <c r="F144" i="5" s="1"/>
  <c r="H32" i="8" l="1"/>
  <c r="I58" i="8"/>
  <c r="J79" i="8" s="1"/>
  <c r="J83" i="8" s="1"/>
  <c r="F171" i="5"/>
  <c r="D144" i="5" s="1"/>
  <c r="R69" i="8"/>
  <c r="R70" i="8" s="1"/>
  <c r="J32" i="8"/>
  <c r="R71" i="8" l="1"/>
  <c r="R72" i="8" s="1"/>
  <c r="R73" i="8" s="1"/>
  <c r="R75" i="8" s="1"/>
  <c r="O78" i="8"/>
  <c r="J58" i="8"/>
  <c r="T30" i="8"/>
  <c r="T31" i="8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<sst xmlns="http://schemas.openxmlformats.org/spreadsheetml/2006/main" count="1175" uniqueCount="381">
  <si>
    <t>Ambient Pressure</t>
  </si>
  <si>
    <t>Ambient Humidity</t>
  </si>
  <si>
    <t>%</t>
  </si>
  <si>
    <t>Methane</t>
  </si>
  <si>
    <t>Ethane</t>
  </si>
  <si>
    <t>Propane</t>
  </si>
  <si>
    <t>I-Butane</t>
  </si>
  <si>
    <t>N-Butane</t>
  </si>
  <si>
    <t>I-Petane</t>
  </si>
  <si>
    <t>N-Petane</t>
  </si>
  <si>
    <t>Hexane</t>
  </si>
  <si>
    <t>Carbon Dioxide</t>
  </si>
  <si>
    <t>-</t>
  </si>
  <si>
    <t>Fuel Gas Temperature</t>
  </si>
  <si>
    <t>Description</t>
  </si>
  <si>
    <t>Symbol</t>
  </si>
  <si>
    <t>Mole Fraction</t>
  </si>
  <si>
    <t>Superior</t>
  </si>
  <si>
    <t>H</t>
  </si>
  <si>
    <t>Nitrogen</t>
  </si>
  <si>
    <t>Heptane</t>
  </si>
  <si>
    <t>CH4</t>
  </si>
  <si>
    <t>C2H6</t>
  </si>
  <si>
    <t>C3H8</t>
  </si>
  <si>
    <t>i-C4H10</t>
  </si>
  <si>
    <t>n-C4H10</t>
  </si>
  <si>
    <t>i-C5H12</t>
  </si>
  <si>
    <t>n-C5H12</t>
  </si>
  <si>
    <t>C6H14</t>
  </si>
  <si>
    <t>C7H16</t>
  </si>
  <si>
    <t>N2</t>
  </si>
  <si>
    <t>CO2</t>
  </si>
  <si>
    <t>C</t>
  </si>
  <si>
    <t>kg/mol</t>
  </si>
  <si>
    <t>kJ/kg</t>
  </si>
  <si>
    <t>K</t>
  </si>
  <si>
    <t>n-Octane</t>
  </si>
  <si>
    <t>n-nonane</t>
  </si>
  <si>
    <t>n-decane</t>
  </si>
  <si>
    <t>Carbone Monoxide</t>
  </si>
  <si>
    <t>Hydrogen Sulfide</t>
  </si>
  <si>
    <t>Air</t>
  </si>
  <si>
    <t xml:space="preserve">Hydrogen </t>
  </si>
  <si>
    <t>Oxygen</t>
  </si>
  <si>
    <t>Water</t>
  </si>
  <si>
    <t>Helium</t>
  </si>
  <si>
    <t>Argon</t>
  </si>
  <si>
    <t>C8H18</t>
  </si>
  <si>
    <t>C9H20</t>
  </si>
  <si>
    <t>C10H22</t>
  </si>
  <si>
    <t>H2S</t>
  </si>
  <si>
    <t>H2</t>
  </si>
  <si>
    <t>O2</t>
  </si>
  <si>
    <t>H2O</t>
  </si>
  <si>
    <t>He</t>
  </si>
  <si>
    <t>Ar</t>
  </si>
  <si>
    <t>Component</t>
  </si>
  <si>
    <t>Formula</t>
  </si>
  <si>
    <t>Molecular Weight
lb/lbmol</t>
  </si>
  <si>
    <t>Standard Density
lb/1000ft3</t>
  </si>
  <si>
    <t>Heating Value (Dry),Btu/lb</t>
  </si>
  <si>
    <t>High</t>
  </si>
  <si>
    <t>Low</t>
  </si>
  <si>
    <t>CO</t>
  </si>
  <si>
    <t>kg/s</t>
  </si>
  <si>
    <t>Ambient Temperature</t>
  </si>
  <si>
    <t>Vapor Pressure</t>
  </si>
  <si>
    <t>Partial Pressuure</t>
  </si>
  <si>
    <t>Fraction of dry air</t>
  </si>
  <si>
    <t>Humidity ratio</t>
  </si>
  <si>
    <t>Gas Properties Molar Mass for Component of Natural Gases at 60 F and 14.696 psia</t>
  </si>
  <si>
    <t>ASME PTC 22-2005 Table 4-4.5 (ISO 6976:1995 table 1)</t>
  </si>
  <si>
    <t>(ISO 6976:1995 table 3)</t>
  </si>
  <si>
    <t>Calorific Value for component of natural gases for Natural Gases on a molar basis</t>
  </si>
  <si>
    <t>inferior</t>
  </si>
  <si>
    <t>25 °C</t>
  </si>
  <si>
    <t>20 °C</t>
  </si>
  <si>
    <t>15 °C</t>
  </si>
  <si>
    <t>0 °C</t>
  </si>
  <si>
    <t>Ideal Calorific value on a molar basis (kJ-mol)</t>
  </si>
  <si>
    <t>O</t>
  </si>
  <si>
    <t>N</t>
  </si>
  <si>
    <t>S</t>
  </si>
  <si>
    <t>Carbon</t>
  </si>
  <si>
    <t>Hydrogen</t>
  </si>
  <si>
    <t>Sulfur</t>
  </si>
  <si>
    <t>Carbon dioxide</t>
  </si>
  <si>
    <t>pH2O</t>
  </si>
  <si>
    <t>FDA</t>
  </si>
  <si>
    <t>Species</t>
  </si>
  <si>
    <t>Molar Fraction</t>
  </si>
  <si>
    <t xml:space="preserve">Nitrogen </t>
  </si>
  <si>
    <t>Neon</t>
  </si>
  <si>
    <t>Krypton</t>
  </si>
  <si>
    <t>Dinitrogen Monoxide</t>
  </si>
  <si>
    <t>Carbon Monoxide</t>
  </si>
  <si>
    <t>Xenon</t>
  </si>
  <si>
    <t>Table B.2 - Molar Composition of dry air ISO 6976 ( ASME PTC 22-2005 A-3.2.1.3</t>
  </si>
  <si>
    <t>Table A-1 Element Molecular Weights ASME PTC22 2005</t>
  </si>
  <si>
    <t>A3</t>
  </si>
  <si>
    <t>A2</t>
  </si>
  <si>
    <t>A4</t>
  </si>
  <si>
    <t>A1</t>
  </si>
  <si>
    <t>A5</t>
  </si>
  <si>
    <t>A6</t>
  </si>
  <si>
    <t>A7</t>
  </si>
  <si>
    <t>A8</t>
  </si>
  <si>
    <t>A9</t>
  </si>
  <si>
    <t>A10</t>
  </si>
  <si>
    <t>Compound</t>
  </si>
  <si>
    <t>air mole fraction</t>
  </si>
  <si>
    <t>molecular weight</t>
  </si>
  <si>
    <t>formula</t>
  </si>
  <si>
    <t>Moisture Air to Combustor</t>
  </si>
  <si>
    <t>(A8) x (A9)</t>
  </si>
  <si>
    <t>Dry Air to Combustor</t>
  </si>
  <si>
    <t>Humidity Calculation</t>
  </si>
  <si>
    <t>Ambient Condition</t>
  </si>
  <si>
    <t>Excess Air</t>
  </si>
  <si>
    <t>A11</t>
  </si>
  <si>
    <t>A12</t>
  </si>
  <si>
    <t>A13</t>
  </si>
  <si>
    <t>A14</t>
  </si>
  <si>
    <t>A15</t>
  </si>
  <si>
    <t>A16</t>
  </si>
  <si>
    <t>0.209476 x FDA</t>
  </si>
  <si>
    <t>0.000319 x FDA</t>
  </si>
  <si>
    <t>1-FDA</t>
  </si>
  <si>
    <t>0.009365 x FDA</t>
  </si>
  <si>
    <t>A12 x A13</t>
  </si>
  <si>
    <t>excess moist air molar flow
lb/h x (A12)/sum(14) = mol/h</t>
  </si>
  <si>
    <t>air mole fraction
dry</t>
  </si>
  <si>
    <t>air mole fraction
wet
[ MFi ]</t>
  </si>
  <si>
    <t>molecular weight
[ MWi ]</t>
  </si>
  <si>
    <t>moist air molar flow to comb 
lb/h x (A3)/sum(A5)
=mol/h [ Mi ]</t>
  </si>
  <si>
    <t>Air weight fraction
(A5)/sum(A5)
[ mFi ]</t>
  </si>
  <si>
    <t xml:space="preserve">A3 X A4
</t>
  </si>
  <si>
    <t>Molecular weight</t>
  </si>
  <si>
    <t>Molar flow
A2 x A3</t>
  </si>
  <si>
    <t>C2</t>
  </si>
  <si>
    <t>C3</t>
  </si>
  <si>
    <t>N2 ratio</t>
  </si>
  <si>
    <t>N2 mole change 
mol/h x C2 x C5</t>
  </si>
  <si>
    <t>C4</t>
  </si>
  <si>
    <t>C5</t>
  </si>
  <si>
    <t>C6</t>
  </si>
  <si>
    <t>Fuel Gas Mass Flow</t>
  </si>
  <si>
    <t>Fuel Gas Molar Flow</t>
  </si>
  <si>
    <t>kg/h</t>
  </si>
  <si>
    <t>mol/h</t>
  </si>
  <si>
    <t>O2 ratio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</si>
  <si>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</si>
  <si>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</si>
  <si>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</si>
  <si>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</si>
  <si>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</si>
  <si>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</si>
  <si>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</si>
  <si>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</si>
  <si>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</si>
  <si>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CO2 ratio</t>
  </si>
  <si>
    <t>O2 mole change 
mol/h x C2 x C7</t>
  </si>
  <si>
    <t>CO2 mole change 
mol/h x C2 x C9</t>
  </si>
  <si>
    <t>H2O ratio</t>
  </si>
  <si>
    <t>average molar weight</t>
  </si>
  <si>
    <t>Molar flow change</t>
  </si>
  <si>
    <t>SO2</t>
  </si>
  <si>
    <t>ΔfH°</t>
  </si>
  <si>
    <t>MW</t>
  </si>
  <si>
    <t>Constituent</t>
  </si>
  <si>
    <t>F1</t>
  </si>
  <si>
    <t>F2</t>
  </si>
  <si>
    <t>F3</t>
  </si>
  <si>
    <t>F4</t>
  </si>
  <si>
    <t>Exh Enthalpy</t>
  </si>
  <si>
    <t>C1</t>
  </si>
  <si>
    <t>SUM</t>
  </si>
  <si>
    <t>Patm</t>
  </si>
  <si>
    <t>Vapor Press</t>
  </si>
  <si>
    <t>e=</t>
  </si>
  <si>
    <t>rankine</t>
  </si>
  <si>
    <t>T &lt; 32 F</t>
  </si>
  <si>
    <t>T &gt; 32 F</t>
  </si>
  <si>
    <t>average molecular weight [ MW wet air]</t>
  </si>
  <si>
    <t>average molecular weight [ MW dry air]</t>
  </si>
  <si>
    <t>Excess air</t>
  </si>
  <si>
    <t>Moist air flow</t>
  </si>
  <si>
    <t>lb/h</t>
  </si>
  <si>
    <t>Ar ratio</t>
  </si>
  <si>
    <t>H2O mole change 
mol/h x C2 x C11</t>
  </si>
  <si>
    <t>Ar mole change 
mol/h x C2 x C13</t>
  </si>
  <si>
    <t>Ar mole change 
mol/h x C2 x C15</t>
  </si>
  <si>
    <t>SO2 ratio</t>
  </si>
  <si>
    <t>GT Fuel Flow</t>
  </si>
  <si>
    <t>Moist Air to Comb</t>
  </si>
  <si>
    <t>Total Comb flow</t>
  </si>
  <si>
    <t>Excess Air flow</t>
  </si>
  <si>
    <t>Turbine Exhaust flow</t>
  </si>
  <si>
    <t>water or steam injec flow</t>
  </si>
  <si>
    <t>E1</t>
  </si>
  <si>
    <t>E2</t>
  </si>
  <si>
    <t>E3</t>
  </si>
  <si>
    <t>E4</t>
  </si>
  <si>
    <t>E5</t>
  </si>
  <si>
    <t>E6</t>
  </si>
  <si>
    <t>E7</t>
  </si>
  <si>
    <t>E9</t>
  </si>
  <si>
    <t>Combustion Product</t>
  </si>
  <si>
    <t>Turbine Exhaust</t>
  </si>
  <si>
    <t>psia</t>
  </si>
  <si>
    <t>°F</t>
  </si>
  <si>
    <r>
      <t>lb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O/lb dry air</t>
    </r>
  </si>
  <si>
    <t>0.780840 x FDA</t>
  </si>
  <si>
    <t>MASS FLOW CALCULATIONS</t>
  </si>
  <si>
    <t>molar flow change of 02</t>
  </si>
  <si>
    <t>molecular weight of dry air</t>
  </si>
  <si>
    <t>O2 mole fraction of dry air</t>
  </si>
  <si>
    <t>spesific humidity</t>
  </si>
  <si>
    <t>moist air to combustor</t>
  </si>
  <si>
    <t>total inlet air</t>
  </si>
  <si>
    <t>compressor bleed air</t>
  </si>
  <si>
    <t>wet excess air</t>
  </si>
  <si>
    <t>wet combustion air</t>
  </si>
  <si>
    <t>fuel flow</t>
  </si>
  <si>
    <t>injection flow</t>
  </si>
  <si>
    <t>total combustor flow</t>
  </si>
  <si>
    <t>turbine exhaust flo</t>
  </si>
  <si>
    <t>FUEL GAS COMBUSTION CALCULATION</t>
  </si>
  <si>
    <t>Hydrogen sulfide</t>
  </si>
  <si>
    <t>sum =</t>
  </si>
  <si>
    <t>E10</t>
  </si>
  <si>
    <t>E11</t>
  </si>
  <si>
    <t>E12</t>
  </si>
  <si>
    <t>E13</t>
  </si>
  <si>
    <t>E14</t>
  </si>
  <si>
    <t>wet sum</t>
  </si>
  <si>
    <t>dry sum</t>
  </si>
  <si>
    <t>E8</t>
  </si>
  <si>
    <t>Barometric Pressure</t>
  </si>
  <si>
    <t>Inlet Dry Bulb Temperature</t>
  </si>
  <si>
    <t>Inlet Wet Bulb Temperature</t>
  </si>
  <si>
    <t>Inlet Relative Humidity</t>
  </si>
  <si>
    <t>GAS TURBINE COMPOSITION</t>
  </si>
  <si>
    <t>Injection Steam Flow</t>
  </si>
  <si>
    <t>(Zero Standart) Temperature</t>
  </si>
  <si>
    <t>Pressure</t>
  </si>
  <si>
    <t>Phasa 0-water / 1-Steam</t>
  </si>
  <si>
    <t>Comprresor Extraction Air</t>
  </si>
  <si>
    <t>Extraction Air Temperature</t>
  </si>
  <si>
    <t>Ref Temperature for Enthalpy</t>
  </si>
  <si>
    <t>Exhaust Outlet Temperature</t>
  </si>
  <si>
    <t>Psia</t>
  </si>
  <si>
    <t>F</t>
  </si>
  <si>
    <t>lb/hr</t>
  </si>
  <si>
    <t>Psig</t>
  </si>
  <si>
    <t>Fuel Temperature</t>
  </si>
  <si>
    <t>GT Power Output</t>
  </si>
  <si>
    <t>Generator Loss</t>
  </si>
  <si>
    <t>Gearbox Loss</t>
  </si>
  <si>
    <t>Fixed Head Loss</t>
  </si>
  <si>
    <t>Variable Heat Loss</t>
  </si>
  <si>
    <t>GT EXHAUST FLOW</t>
  </si>
  <si>
    <t>GT EXHAUST ENERGY</t>
  </si>
  <si>
    <t>MMBtu/h</t>
  </si>
  <si>
    <t>Btu/lb</t>
  </si>
  <si>
    <t>SUMMARY</t>
  </si>
  <si>
    <t>Excess Air at Comp Inlet</t>
  </si>
  <si>
    <t>Combustion Air + Extr Fuel</t>
  </si>
  <si>
    <t>Steam / Water Injection*</t>
  </si>
  <si>
    <t>Compressor Extraction</t>
  </si>
  <si>
    <t>Comb Prod at Turbine Exit</t>
  </si>
  <si>
    <t>Power (MW*3.4121412)</t>
  </si>
  <si>
    <t>Total Heat Losss</t>
  </si>
  <si>
    <t>Change in Excess Air</t>
  </si>
  <si>
    <t>Excess Air at Turbine Exit</t>
  </si>
  <si>
    <t>Flow
lb/h</t>
  </si>
  <si>
    <t>Enthalpy 
Btu/lb</t>
  </si>
  <si>
    <t>Duty
MMBtu/h</t>
  </si>
  <si>
    <t>Wet Exh Mole Fraction</t>
  </si>
  <si>
    <t>Dry Exh Mole Fraction</t>
  </si>
  <si>
    <t>INPUT SHEET</t>
  </si>
  <si>
    <t>Total Balance of Moist Air Heat</t>
  </si>
  <si>
    <t>Change in Bal of Air Enthalpy</t>
  </si>
  <si>
    <t>Balance of AirFlow</t>
  </si>
  <si>
    <t>C16</t>
  </si>
  <si>
    <t>Reff Temperature</t>
  </si>
  <si>
    <t>Inlet Air Temp</t>
  </si>
  <si>
    <t>G1</t>
  </si>
  <si>
    <t>G2</t>
  </si>
  <si>
    <t>G3</t>
  </si>
  <si>
    <t>G4</t>
  </si>
  <si>
    <t>MAX = 1000 K</t>
  </si>
  <si>
    <t>Enthalpy at Process Temp</t>
  </si>
  <si>
    <t>Extraction Air Temp</t>
  </si>
  <si>
    <t>Exhaust Gas Temp</t>
  </si>
  <si>
    <t>Fuel Gas</t>
  </si>
  <si>
    <t xml:space="preserve">Enthalpy </t>
  </si>
  <si>
    <t>TURBINE EXHAUST EXCESS AIR</t>
  </si>
  <si>
    <t>MOISTURE AIR ENTHALPY</t>
  </si>
  <si>
    <t>COMBUSTION PRODUCT AT TURBINE EXIT ENTHALPY</t>
  </si>
  <si>
    <t>EXHAUST TEMPERATURE</t>
  </si>
  <si>
    <t>Air Weight
Fraction
[A14/Sum[A14]</t>
  </si>
  <si>
    <t>Air Molar Flow
[A6]</t>
  </si>
  <si>
    <t>Combustion 
Mole Change</t>
  </si>
  <si>
    <t>Wt or stm inj
Molar Flow
lb/h [E7]</t>
  </si>
  <si>
    <t>Comb Exh 
Molar Flow
[E2]+[E3]+[E4]</t>
  </si>
  <si>
    <t>Molecular 
Weight</t>
  </si>
  <si>
    <t>Comb Exh Mole
Fraction
[E5]/Sum[E5]</t>
  </si>
  <si>
    <t>Comb Exhaust
Mass Fraction
[E5] x [E7]/Comb Flow</t>
  </si>
  <si>
    <t>Excess Air 
Molar Flow
[A15]</t>
  </si>
  <si>
    <t>Turbine Exhaust
Molar Flow
[E5]+[E10]</t>
  </si>
  <si>
    <t>Wet Exhaust
mole fraction 
[E11]/wetsum[E11]</t>
  </si>
  <si>
    <t>Dry Exhaust
mole fraction 
[E11]/wetsum[E11]</t>
  </si>
  <si>
    <t>wet Turbine Exh
mole fraction 
[E11]x[E7]/TEF</t>
  </si>
  <si>
    <t>lb/lbmol</t>
  </si>
  <si>
    <t>lbwater/lbdryair</t>
  </si>
  <si>
    <t>CALCULATION OF FUEL LHV</t>
  </si>
  <si>
    <t>Fuel Mole Fraction</t>
  </si>
  <si>
    <t>Mol.wt</t>
  </si>
  <si>
    <t>[J2]x[J3]</t>
  </si>
  <si>
    <t>Fuel Wt.Fraction
[J4]/Sum[J4]</t>
  </si>
  <si>
    <t>Heat of Comb
Btu/lb</t>
  </si>
  <si>
    <t>[J5] x [J6]</t>
  </si>
  <si>
    <t>CALCULATION OF GAS SENSIBLE HEAT</t>
  </si>
  <si>
    <t>Stream mass
Fraction</t>
  </si>
  <si>
    <t>Compound
Enthalpy</t>
  </si>
  <si>
    <t>[H2] x [H3]</t>
  </si>
  <si>
    <t>Fuel Gas enthalpy</t>
  </si>
  <si>
    <t>R</t>
  </si>
  <si>
    <t>Fuel Gas LHV</t>
  </si>
  <si>
    <t>Spesific Enthalpy of Fuel at Proses Temp</t>
  </si>
  <si>
    <t>Spesific Enthalpy of Fuel at Reff Temp</t>
  </si>
  <si>
    <r>
      <t>HV gas= LHV + SH</t>
    </r>
    <r>
      <rPr>
        <vertAlign val="subscript"/>
        <sz val="10"/>
        <color theme="1"/>
        <rFont val="Calibri"/>
        <family val="2"/>
        <scheme val="minor"/>
      </rPr>
      <t xml:space="preserve"> Tfue</t>
    </r>
    <r>
      <rPr>
        <sz val="10"/>
        <color theme="1"/>
        <rFont val="Calibri"/>
        <family val="2"/>
        <scheme val="minor"/>
      </rPr>
      <t xml:space="preserve">l - SH </t>
    </r>
    <r>
      <rPr>
        <vertAlign val="subscript"/>
        <sz val="10"/>
        <color theme="1"/>
        <rFont val="Calibri"/>
        <family val="2"/>
        <scheme val="minor"/>
      </rPr>
      <t>Tref</t>
    </r>
  </si>
  <si>
    <t>Refference Temperature</t>
  </si>
  <si>
    <t>dry air to  combustion</t>
  </si>
  <si>
    <t>LABORATORIUM</t>
  </si>
  <si>
    <t>Kcal/kg</t>
  </si>
  <si>
    <t>HHV</t>
  </si>
  <si>
    <t>LHV</t>
  </si>
  <si>
    <t>INPUT DATA</t>
  </si>
  <si>
    <t>Gas Composition</t>
  </si>
  <si>
    <t>Temperature</t>
  </si>
  <si>
    <t>Gas Turbine</t>
  </si>
  <si>
    <t>Generator</t>
  </si>
  <si>
    <t>RESULT</t>
  </si>
  <si>
    <t>turbine exhaust flow</t>
  </si>
  <si>
    <t>BTU/lb</t>
  </si>
  <si>
    <t>SUMARRY</t>
  </si>
  <si>
    <t>in</t>
  </si>
  <si>
    <t>out</t>
  </si>
  <si>
    <t>eff</t>
  </si>
  <si>
    <t>Fraction of Dry air</t>
  </si>
  <si>
    <t>Humidity Ratio</t>
  </si>
  <si>
    <t>lb h2O/lb dry air</t>
  </si>
  <si>
    <t>GT Exhaust Flow</t>
  </si>
  <si>
    <t>Fuel LHV</t>
  </si>
  <si>
    <t>FUEL LHV</t>
  </si>
  <si>
    <t>TURBINE EXHAUST</t>
  </si>
  <si>
    <t>Total Balance of Moist Air heat</t>
  </si>
  <si>
    <t>GAS TURBINE
 EXHAUST 
CALCULATION</t>
  </si>
  <si>
    <t>Mjoule/h</t>
  </si>
  <si>
    <t>MJ/s</t>
  </si>
  <si>
    <t>bar</t>
  </si>
  <si>
    <t>kJ/h</t>
  </si>
  <si>
    <r>
      <rPr>
        <sz val="14"/>
        <color rgb="FF0070C0"/>
        <rFont val="Bodoni MT Black"/>
        <family val="1"/>
      </rPr>
      <t>U</t>
    </r>
    <r>
      <rPr>
        <sz val="14"/>
        <color rgb="FFFF0000"/>
        <rFont val="Bodoni MT Black"/>
        <family val="1"/>
      </rPr>
      <t>Ti</t>
    </r>
    <r>
      <rPr>
        <b/>
        <vertAlign val="subscript"/>
        <sz val="14"/>
        <color rgb="FFFF0000"/>
        <rFont val="Bodoni MT Black"/>
        <family val="1"/>
      </rPr>
      <t>s</t>
    </r>
  </si>
  <si>
    <t>KJ/kg</t>
  </si>
  <si>
    <t>MJ/h</t>
  </si>
  <si>
    <t>GT Exhaust Enthalpy</t>
  </si>
  <si>
    <t>Ton/h</t>
  </si>
  <si>
    <t>kcal/kg</t>
  </si>
  <si>
    <t>`</t>
  </si>
  <si>
    <t>klb/h</t>
  </si>
  <si>
    <t>Turbine</t>
  </si>
  <si>
    <t>Gas</t>
  </si>
  <si>
    <t>mBar</t>
  </si>
  <si>
    <t>input</t>
  </si>
  <si>
    <t>output</t>
  </si>
  <si>
    <t>inputan</t>
  </si>
  <si>
    <t>variable</t>
  </si>
  <si>
    <t>anakan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</si>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</sst>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"/>
    <numFmt numFmtId="165" formatCode="0.000000"/>
    <numFmt numFmtId="166" formatCode="0.0000"/>
    <numFmt numFmtId="167" formatCode="#,##0.000"/>
    <numFmt numFmtId="168" formatCode="#,##0.0000"/>
    <numFmt numFmtId="169" formatCode="0.00000"/>
    <numFmt numFmtId="170" formatCode="0.000E+00"/>
    <numFmt numFmtId="171" formatCode="0.00000E+00"/>
    <numFmt numFmtId="172" formatCode="0.00000000"/>
    <numFmt numFmtId="173" formatCode="0.0000000E+00"/>
    <numFmt numFmtId="174" formatCode="#,##0.00000"/>
    <numFmt numFmtId="175" formatCode="#,##0.00000000"/>
    <numFmt numFmtId="176" formatCode="#,##0.000000000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202124"/>
      <name val="Arial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Bodoni MT Black"/>
      <family val="1"/>
    </font>
    <font>
      <sz val="14"/>
      <color rgb="FF0070C0"/>
      <name val="Bodoni MT Black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Britannic Bold"/>
      <family val="2"/>
    </font>
    <font>
      <sz val="12"/>
      <color theme="1"/>
      <name val="Bodoni MT Black"/>
      <family val="1"/>
    </font>
    <font>
      <b/>
      <sz val="10"/>
      <color rgb="FFC0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4"/>
      <color rgb="FFFF0000"/>
      <name val="Bodoni MT Black"/>
      <family val="1"/>
    </font>
    <font>
      <sz val="11"/>
      <color rgb="FF00B0F0"/>
      <name val="Calibri"/>
      <family val="2"/>
      <scheme val="minor"/>
    </font>
    <font>
      <b/>
      <sz val="10"/>
      <color rgb="FF55F828"/>
      <name val="Calibri"/>
      <family val="2"/>
      <scheme val="minor"/>
    </font>
    <font>
      <sz val="11"/>
      <color rgb="FF55F828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AB7F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55F82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1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70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4" fontId="1" fillId="0" borderId="1" xfId="0" applyNumberFormat="1" applyFont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8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horizontal="left" vertical="center" indent="1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3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right" vertical="center" indent="1"/>
    </xf>
    <xf numFmtId="170" fontId="1" fillId="0" borderId="0" xfId="0" applyNumberFormat="1" applyFont="1" applyAlignment="1">
      <alignment horizontal="right" vertical="center" indent="1"/>
    </xf>
    <xf numFmtId="4" fontId="1" fillId="6" borderId="0" xfId="0" applyNumberFormat="1" applyFont="1" applyFill="1" applyAlignment="1">
      <alignment horizontal="right" vertical="center" indent="2"/>
    </xf>
    <xf numFmtId="168" fontId="1" fillId="0" borderId="0" xfId="0" applyNumberFormat="1" applyFont="1" applyAlignment="1">
      <alignment horizontal="right" vertical="center" inden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 indent="1"/>
    </xf>
    <xf numFmtId="4" fontId="12" fillId="6" borderId="0" xfId="0" applyNumberFormat="1" applyFont="1" applyFill="1" applyAlignment="1">
      <alignment horizontal="right" vertical="center" indent="2"/>
    </xf>
    <xf numFmtId="4" fontId="12" fillId="6" borderId="0" xfId="0" applyNumberFormat="1" applyFont="1" applyFill="1" applyAlignment="1">
      <alignment horizontal="right" vertical="center" indent="1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4" fontId="1" fillId="7" borderId="0" xfId="0" applyNumberFormat="1" applyFont="1" applyFill="1" applyAlignment="1">
      <alignment horizontal="right" vertical="center" indent="1"/>
    </xf>
    <xf numFmtId="0" fontId="11" fillId="7" borderId="0" xfId="0" applyFont="1" applyFill="1" applyAlignment="1">
      <alignment vertical="center"/>
    </xf>
    <xf numFmtId="0" fontId="11" fillId="6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4" fontId="2" fillId="7" borderId="0" xfId="0" applyNumberFormat="1" applyFont="1" applyFill="1" applyAlignment="1">
      <alignment horizontal="right" vertical="center" indent="1"/>
    </xf>
    <xf numFmtId="174" fontId="1" fillId="0" borderId="0" xfId="0" applyNumberFormat="1" applyFont="1" applyAlignment="1">
      <alignment horizontal="right" vertical="center" indent="1"/>
    </xf>
    <xf numFmtId="171" fontId="1" fillId="0" borderId="0" xfId="0" applyNumberFormat="1" applyFont="1" applyAlignment="1">
      <alignment horizontal="right" vertical="center" inden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 wrapText="1" indent="1"/>
    </xf>
    <xf numFmtId="2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166" fontId="1" fillId="2" borderId="0" xfId="0" applyNumberFormat="1" applyFont="1" applyFill="1" applyAlignment="1">
      <alignment horizontal="right" vertical="center" inden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174" fontId="5" fillId="2" borderId="0" xfId="0" applyNumberFormat="1" applyFont="1" applyFill="1" applyAlignment="1">
      <alignment horizontal="right" vertical="center" indent="1"/>
    </xf>
    <xf numFmtId="174" fontId="1" fillId="2" borderId="0" xfId="0" applyNumberFormat="1" applyFont="1" applyFill="1" applyAlignment="1">
      <alignment horizontal="right" vertical="center" indent="1"/>
    </xf>
    <xf numFmtId="2" fontId="1" fillId="2" borderId="0" xfId="0" applyNumberFormat="1" applyFont="1" applyFill="1" applyAlignment="1">
      <alignment vertical="center"/>
    </xf>
    <xf numFmtId="167" fontId="6" fillId="2" borderId="0" xfId="0" applyNumberFormat="1" applyFont="1" applyFill="1" applyAlignment="1">
      <alignment horizontal="right" vertical="center" indent="1"/>
    </xf>
    <xf numFmtId="165" fontId="1" fillId="2" borderId="0" xfId="0" applyNumberFormat="1" applyFont="1" applyFill="1" applyAlignment="1">
      <alignment vertical="center"/>
    </xf>
    <xf numFmtId="168" fontId="1" fillId="2" borderId="0" xfId="0" applyNumberFormat="1" applyFont="1" applyFill="1" applyAlignment="1">
      <alignment horizontal="right" vertical="center" indent="1"/>
    </xf>
    <xf numFmtId="166" fontId="1" fillId="2" borderId="0" xfId="0" applyNumberFormat="1" applyFont="1" applyFill="1" applyAlignment="1">
      <alignment vertical="center"/>
    </xf>
    <xf numFmtId="4" fontId="1" fillId="2" borderId="0" xfId="0" applyNumberFormat="1" applyFont="1" applyFill="1" applyAlignment="1">
      <alignment vertical="center"/>
    </xf>
    <xf numFmtId="4" fontId="1" fillId="2" borderId="0" xfId="0" applyNumberFormat="1" applyFont="1" applyFill="1" applyAlignment="1">
      <alignment horizontal="right" vertical="center" indent="2"/>
    </xf>
    <xf numFmtId="0" fontId="1" fillId="2" borderId="0" xfId="0" applyFont="1" applyFill="1" applyAlignment="1">
      <alignment horizontal="right" vertical="center"/>
    </xf>
    <xf numFmtId="169" fontId="1" fillId="2" borderId="0" xfId="0" applyNumberFormat="1" applyFont="1" applyFill="1" applyAlignment="1">
      <alignment vertical="center"/>
    </xf>
    <xf numFmtId="4" fontId="10" fillId="2" borderId="0" xfId="0" applyNumberFormat="1" applyFont="1" applyFill="1" applyAlignment="1">
      <alignment horizontal="right" vertical="center" indent="1"/>
    </xf>
    <xf numFmtId="4" fontId="7" fillId="2" borderId="0" xfId="0" applyNumberFormat="1" applyFont="1" applyFill="1" applyAlignment="1">
      <alignment horizontal="right" vertical="center" indent="1"/>
    </xf>
    <xf numFmtId="167" fontId="1" fillId="2" borderId="0" xfId="0" applyNumberFormat="1" applyFont="1" applyFill="1" applyAlignment="1">
      <alignment horizontal="right" vertical="center" indent="1"/>
    </xf>
    <xf numFmtId="174" fontId="1" fillId="2" borderId="0" xfId="0" applyNumberFormat="1" applyFont="1" applyFill="1" applyAlignment="1">
      <alignment horizontal="left" vertical="center" indent="1"/>
    </xf>
    <xf numFmtId="0" fontId="2" fillId="2" borderId="0" xfId="0" applyFont="1" applyFill="1" applyAlignment="1">
      <alignment horizontal="right" vertical="center"/>
    </xf>
    <xf numFmtId="0" fontId="13" fillId="2" borderId="0" xfId="0" applyFont="1" applyFill="1"/>
    <xf numFmtId="167" fontId="1" fillId="2" borderId="0" xfId="0" applyNumberFormat="1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indent="1"/>
    </xf>
    <xf numFmtId="166" fontId="7" fillId="2" borderId="0" xfId="0" applyNumberFormat="1" applyFont="1" applyFill="1" applyAlignment="1">
      <alignment horizontal="right" vertical="center" indent="1"/>
    </xf>
    <xf numFmtId="4" fontId="14" fillId="2" borderId="0" xfId="0" applyNumberFormat="1" applyFont="1" applyFill="1" applyAlignment="1">
      <alignment horizontal="right" vertical="center" indent="1"/>
    </xf>
    <xf numFmtId="4" fontId="14" fillId="7" borderId="0" xfId="0" applyNumberFormat="1" applyFont="1" applyFill="1" applyAlignment="1">
      <alignment horizontal="right" vertical="center" indent="1"/>
    </xf>
    <xf numFmtId="0" fontId="2" fillId="6" borderId="0" xfId="0" applyFont="1" applyFill="1" applyAlignment="1">
      <alignment horizontal="left" vertical="center" indent="1"/>
    </xf>
    <xf numFmtId="4" fontId="6" fillId="6" borderId="6" xfId="0" applyNumberFormat="1" applyFont="1" applyFill="1" applyBorder="1" applyAlignment="1">
      <alignment horizontal="right" vertical="center" indent="2"/>
    </xf>
    <xf numFmtId="0" fontId="2" fillId="6" borderId="7" xfId="0" applyFont="1" applyFill="1" applyBorder="1" applyAlignment="1">
      <alignment horizontal="left" vertical="center" indent="1"/>
    </xf>
    <xf numFmtId="4" fontId="6" fillId="6" borderId="8" xfId="0" applyNumberFormat="1" applyFont="1" applyFill="1" applyBorder="1" applyAlignment="1">
      <alignment horizontal="right" vertical="center" indent="2"/>
    </xf>
    <xf numFmtId="174" fontId="14" fillId="2" borderId="0" xfId="0" applyNumberFormat="1" applyFont="1" applyFill="1" applyAlignment="1">
      <alignment horizontal="right" vertical="center" indent="1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right" vertical="center" indent="1"/>
    </xf>
    <xf numFmtId="171" fontId="1" fillId="7" borderId="0" xfId="0" applyNumberFormat="1" applyFont="1" applyFill="1" applyAlignment="1">
      <alignment horizontal="right" vertical="center" indent="1"/>
    </xf>
    <xf numFmtId="172" fontId="1" fillId="7" borderId="0" xfId="0" applyNumberFormat="1" applyFont="1" applyFill="1" applyAlignment="1">
      <alignment horizontal="right" vertical="center" indent="1"/>
    </xf>
    <xf numFmtId="0" fontId="1" fillId="2" borderId="0" xfId="0" applyFont="1" applyFill="1" applyBorder="1" applyAlignment="1">
      <alignment horizontal="center" vertical="center" wrapText="1"/>
    </xf>
    <xf numFmtId="3" fontId="12" fillId="6" borderId="0" xfId="0" applyNumberFormat="1" applyFont="1" applyFill="1" applyAlignment="1">
      <alignment horizontal="right" vertical="center" indent="2"/>
    </xf>
    <xf numFmtId="0" fontId="1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5" fontId="1" fillId="0" borderId="0" xfId="0" applyNumberFormat="1" applyFont="1" applyAlignment="1">
      <alignment horizontal="right" vertical="center" indent="1"/>
    </xf>
    <xf numFmtId="176" fontId="1" fillId="0" borderId="0" xfId="0" applyNumberFormat="1" applyFont="1" applyAlignment="1">
      <alignment horizontal="right" vertical="center" indent="1"/>
    </xf>
    <xf numFmtId="3" fontId="1" fillId="0" borderId="0" xfId="0" applyNumberFormat="1" applyFont="1" applyAlignment="1">
      <alignment horizontal="right" vertical="center" indent="1"/>
    </xf>
    <xf numFmtId="168" fontId="1" fillId="2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vertical="center"/>
    </xf>
    <xf numFmtId="4" fontId="6" fillId="7" borderId="0" xfId="0" applyNumberFormat="1" applyFont="1" applyFill="1" applyAlignment="1">
      <alignment horizontal="right" vertical="center" inden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center" indent="1"/>
    </xf>
    <xf numFmtId="0" fontId="1" fillId="6" borderId="0" xfId="0" applyFont="1" applyFill="1" applyBorder="1" applyAlignment="1">
      <alignment horizontal="left" vertical="center" indent="2"/>
    </xf>
    <xf numFmtId="0" fontId="2" fillId="6" borderId="0" xfId="0" applyFont="1" applyFill="1" applyAlignment="1">
      <alignment vertical="center"/>
    </xf>
    <xf numFmtId="164" fontId="1" fillId="6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4" fontId="2" fillId="2" borderId="9" xfId="0" applyNumberFormat="1" applyFont="1" applyFill="1" applyBorder="1" applyAlignment="1">
      <alignment horizontal="right" vertical="center" indent="1"/>
    </xf>
    <xf numFmtId="0" fontId="2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right" vertical="center"/>
    </xf>
    <xf numFmtId="4" fontId="10" fillId="6" borderId="0" xfId="0" applyNumberFormat="1" applyFont="1" applyFill="1" applyAlignment="1">
      <alignment horizontal="right" vertical="center" indent="1"/>
    </xf>
    <xf numFmtId="4" fontId="6" fillId="6" borderId="1" xfId="0" applyNumberFormat="1" applyFont="1" applyFill="1" applyBorder="1" applyAlignment="1">
      <alignment horizontal="right" vertical="center" indent="1"/>
    </xf>
    <xf numFmtId="164" fontId="1" fillId="7" borderId="0" xfId="0" applyNumberFormat="1" applyFont="1" applyFill="1" applyAlignment="1">
      <alignment horizontal="right" vertical="center" indent="1"/>
    </xf>
    <xf numFmtId="164" fontId="1" fillId="7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4" fontId="1" fillId="2" borderId="10" xfId="0" applyNumberFormat="1" applyFont="1" applyFill="1" applyBorder="1" applyAlignment="1">
      <alignment horizontal="right" vertical="center" indent="2"/>
    </xf>
    <xf numFmtId="4" fontId="1" fillId="2" borderId="10" xfId="0" applyNumberFormat="1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left" vertical="center" indent="2"/>
    </xf>
    <xf numFmtId="0" fontId="5" fillId="6" borderId="0" xfId="0" applyFont="1" applyFill="1" applyAlignment="1">
      <alignment horizontal="left" vertical="center" indent="1"/>
    </xf>
    <xf numFmtId="167" fontId="6" fillId="3" borderId="0" xfId="0" applyNumberFormat="1" applyFont="1" applyFill="1" applyAlignment="1">
      <alignment horizontal="right" vertical="center" indent="1"/>
    </xf>
    <xf numFmtId="166" fontId="5" fillId="3" borderId="0" xfId="0" applyNumberFormat="1" applyFont="1" applyFill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4" fontId="1" fillId="2" borderId="8" xfId="0" applyNumberFormat="1" applyFont="1" applyFill="1" applyBorder="1" applyAlignment="1">
      <alignment horizontal="right" vertical="center" indent="1"/>
    </xf>
    <xf numFmtId="0" fontId="2" fillId="2" borderId="0" xfId="0" applyFont="1" applyFill="1" applyAlignment="1">
      <alignment horizontal="left" vertical="center" indent="1"/>
    </xf>
    <xf numFmtId="4" fontId="0" fillId="2" borderId="0" xfId="0" applyNumberForma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4" borderId="0" xfId="0" applyFont="1" applyFill="1" applyBorder="1" applyAlignment="1">
      <alignment horizontal="left" vertical="center" indent="1"/>
    </xf>
    <xf numFmtId="0" fontId="1" fillId="4" borderId="0" xfId="0" applyFont="1" applyFill="1" applyBorder="1" applyAlignment="1">
      <alignment horizontal="left" vertical="center" indent="2"/>
    </xf>
    <xf numFmtId="0" fontId="0" fillId="8" borderId="11" xfId="0" applyFill="1" applyBorder="1" applyAlignment="1">
      <alignment vertical="center"/>
    </xf>
    <xf numFmtId="0" fontId="1" fillId="8" borderId="12" xfId="0" applyFont="1" applyFill="1" applyBorder="1" applyAlignment="1">
      <alignment horizontal="left" vertical="center" indent="1"/>
    </xf>
    <xf numFmtId="0" fontId="1" fillId="8" borderId="0" xfId="0" applyFont="1" applyFill="1" applyBorder="1" applyAlignment="1">
      <alignment horizontal="right" vertical="center" indent="1"/>
    </xf>
    <xf numFmtId="0" fontId="1" fillId="8" borderId="8" xfId="0" applyFont="1" applyFill="1" applyBorder="1" applyAlignment="1">
      <alignment horizontal="right" vertical="center" indent="1"/>
    </xf>
    <xf numFmtId="0" fontId="1" fillId="8" borderId="14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4" fontId="2" fillId="3" borderId="8" xfId="0" applyNumberFormat="1" applyFont="1" applyFill="1" applyBorder="1" applyAlignment="1">
      <alignment horizontal="right" vertical="center" indent="1"/>
    </xf>
    <xf numFmtId="2" fontId="1" fillId="2" borderId="10" xfId="0" applyNumberFormat="1" applyFont="1" applyFill="1" applyBorder="1" applyAlignment="1">
      <alignment horizontal="right" vertical="center" indent="1"/>
    </xf>
    <xf numFmtId="168" fontId="2" fillId="3" borderId="8" xfId="0" applyNumberFormat="1" applyFont="1" applyFill="1" applyBorder="1" applyAlignment="1">
      <alignment horizontal="right" vertical="center" indent="1"/>
    </xf>
    <xf numFmtId="4" fontId="1" fillId="3" borderId="13" xfId="0" applyNumberFormat="1" applyFont="1" applyFill="1" applyBorder="1" applyAlignment="1">
      <alignment horizontal="right" vertical="center" indent="1"/>
    </xf>
    <xf numFmtId="168" fontId="1" fillId="3" borderId="13" xfId="0" applyNumberFormat="1" applyFont="1" applyFill="1" applyBorder="1" applyAlignment="1">
      <alignment horizontal="right" vertical="center" indent="1"/>
    </xf>
    <xf numFmtId="174" fontId="1" fillId="3" borderId="13" xfId="0" applyNumberFormat="1" applyFont="1" applyFill="1" applyBorder="1" applyAlignment="1">
      <alignment horizontal="right" vertical="center" indent="1"/>
    </xf>
    <xf numFmtId="4" fontId="1" fillId="3" borderId="15" xfId="0" applyNumberFormat="1" applyFont="1" applyFill="1" applyBorder="1" applyAlignment="1">
      <alignment horizontal="right" vertical="center" indent="1"/>
    </xf>
    <xf numFmtId="4" fontId="1" fillId="3" borderId="8" xfId="0" applyNumberFormat="1" applyFont="1" applyFill="1" applyBorder="1" applyAlignment="1">
      <alignment horizontal="right" vertical="center" indent="1"/>
    </xf>
    <xf numFmtId="0" fontId="0" fillId="4" borderId="18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0" xfId="0" applyFill="1" applyBorder="1" applyAlignment="1">
      <alignment horizontal="left" vertical="center" indent="1"/>
    </xf>
    <xf numFmtId="4" fontId="0" fillId="4" borderId="0" xfId="0" applyNumberFormat="1" applyFill="1" applyBorder="1" applyAlignment="1">
      <alignment horizontal="right" vertical="center" indent="1"/>
    </xf>
    <xf numFmtId="4" fontId="1" fillId="4" borderId="0" xfId="0" applyNumberFormat="1" applyFont="1" applyFill="1" applyBorder="1" applyAlignment="1">
      <alignment horizontal="right" vertical="center" indent="1"/>
    </xf>
    <xf numFmtId="4" fontId="1" fillId="4" borderId="0" xfId="0" applyNumberFormat="1" applyFont="1" applyFill="1" applyBorder="1" applyAlignment="1">
      <alignment horizontal="right" vertical="center" indent="2"/>
    </xf>
    <xf numFmtId="0" fontId="0" fillId="6" borderId="0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2" fillId="8" borderId="0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left" vertical="center" indent="1"/>
    </xf>
    <xf numFmtId="0" fontId="1" fillId="8" borderId="0" xfId="0" applyFont="1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11" fillId="8" borderId="19" xfId="0" applyFon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2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vertical="center"/>
    </xf>
    <xf numFmtId="0" fontId="0" fillId="6" borderId="0" xfId="0" applyFill="1" applyBorder="1" applyAlignment="1">
      <alignment horizontal="left" vertical="center" indent="2"/>
    </xf>
    <xf numFmtId="4" fontId="1" fillId="9" borderId="0" xfId="0" applyNumberFormat="1" applyFont="1" applyFill="1" applyAlignment="1">
      <alignment horizontal="right" vertical="center" indent="1"/>
    </xf>
    <xf numFmtId="0" fontId="18" fillId="6" borderId="0" xfId="0" applyFont="1" applyFill="1" applyBorder="1" applyAlignment="1">
      <alignment horizontal="left" vertical="center" indent="1"/>
    </xf>
    <xf numFmtId="0" fontId="6" fillId="6" borderId="0" xfId="0" applyFont="1" applyFill="1" applyBorder="1" applyAlignment="1">
      <alignment horizontal="left" vertical="center" indent="3"/>
    </xf>
    <xf numFmtId="0" fontId="15" fillId="6" borderId="0" xfId="0" applyFont="1" applyFill="1" applyBorder="1" applyAlignment="1">
      <alignment horizontal="left" vertical="center" indent="2"/>
    </xf>
    <xf numFmtId="0" fontId="6" fillId="6" borderId="0" xfId="0" applyFont="1" applyFill="1" applyBorder="1" applyAlignment="1">
      <alignment horizontal="left" vertical="center" indent="1"/>
    </xf>
    <xf numFmtId="0" fontId="15" fillId="6" borderId="0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vertical="center" wrapText="1" readingOrder="1"/>
    </xf>
    <xf numFmtId="0" fontId="21" fillId="4" borderId="0" xfId="0" applyFont="1" applyFill="1" applyBorder="1" applyAlignment="1">
      <alignment horizontal="left" vertical="center" indent="1"/>
    </xf>
    <xf numFmtId="2" fontId="0" fillId="2" borderId="0" xfId="0" applyNumberFormat="1" applyFill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4" fontId="5" fillId="2" borderId="10" xfId="0" applyNumberFormat="1" applyFont="1" applyFill="1" applyBorder="1" applyAlignment="1">
      <alignment horizontal="right" vertical="center" indent="2"/>
    </xf>
    <xf numFmtId="2" fontId="5" fillId="2" borderId="10" xfId="0" applyNumberFormat="1" applyFont="1" applyFill="1" applyBorder="1" applyAlignment="1">
      <alignment horizontal="right" vertical="center" indent="1"/>
    </xf>
    <xf numFmtId="4" fontId="22" fillId="2" borderId="10" xfId="0" applyNumberFormat="1" applyFont="1" applyFill="1" applyBorder="1" applyAlignment="1">
      <alignment horizontal="right" vertical="center" indent="2"/>
    </xf>
    <xf numFmtId="0" fontId="1" fillId="2" borderId="0" xfId="0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right" vertical="center" indent="1"/>
    </xf>
    <xf numFmtId="168" fontId="6" fillId="2" borderId="0" xfId="0" applyNumberFormat="1" applyFont="1" applyFill="1" applyAlignment="1">
      <alignment horizontal="right" vertical="center" indent="1"/>
    </xf>
    <xf numFmtId="0" fontId="1" fillId="8" borderId="19" xfId="0" applyFont="1" applyFill="1" applyBorder="1" applyAlignment="1">
      <alignment vertical="center"/>
    </xf>
    <xf numFmtId="4" fontId="5" fillId="4" borderId="0" xfId="0" applyNumberFormat="1" applyFont="1" applyFill="1" applyBorder="1" applyAlignment="1">
      <alignment vertical="center"/>
    </xf>
    <xf numFmtId="0" fontId="14" fillId="4" borderId="0" xfId="0" applyFont="1" applyFill="1" applyBorder="1" applyAlignment="1">
      <alignment vertical="center"/>
    </xf>
    <xf numFmtId="4" fontId="5" fillId="5" borderId="0" xfId="0" applyNumberFormat="1" applyFont="1" applyFill="1" applyAlignment="1">
      <alignment horizontal="right" vertical="center" indent="1"/>
    </xf>
    <xf numFmtId="167" fontId="1" fillId="2" borderId="10" xfId="0" applyNumberFormat="1" applyFont="1" applyFill="1" applyBorder="1" applyAlignment="1">
      <alignment horizontal="right" vertical="center" indent="3"/>
    </xf>
    <xf numFmtId="0" fontId="0" fillId="10" borderId="0" xfId="0" applyFill="1" applyAlignment="1">
      <alignment vertical="center"/>
    </xf>
    <xf numFmtId="0" fontId="26" fillId="10" borderId="0" xfId="0" applyFont="1" applyFill="1" applyAlignment="1">
      <alignment vertical="center"/>
    </xf>
    <xf numFmtId="4" fontId="26" fillId="2" borderId="0" xfId="0" applyNumberFormat="1" applyFont="1" applyFill="1" applyAlignment="1">
      <alignment vertical="center"/>
    </xf>
    <xf numFmtId="0" fontId="0" fillId="10" borderId="0" xfId="0" applyFill="1" applyBorder="1" applyAlignment="1">
      <alignment vertical="center"/>
    </xf>
    <xf numFmtId="4" fontId="27" fillId="10" borderId="0" xfId="0" applyNumberFormat="1" applyFont="1" applyFill="1" applyBorder="1" applyAlignment="1">
      <alignment horizontal="right" vertical="center" indent="4"/>
    </xf>
    <xf numFmtId="0" fontId="27" fillId="10" borderId="0" xfId="0" applyFont="1" applyFill="1" applyBorder="1" applyAlignment="1">
      <alignment vertical="center"/>
    </xf>
    <xf numFmtId="0" fontId="29" fillId="10" borderId="0" xfId="0" applyFont="1" applyFill="1" applyBorder="1" applyAlignment="1">
      <alignment horizontal="left" vertical="center" indent="5"/>
    </xf>
    <xf numFmtId="2" fontId="29" fillId="10" borderId="0" xfId="0" applyNumberFormat="1" applyFont="1" applyFill="1" applyBorder="1" applyAlignment="1">
      <alignment horizontal="right" vertical="center" indent="3"/>
    </xf>
    <xf numFmtId="0" fontId="29" fillId="10" borderId="0" xfId="0" applyFont="1" applyFill="1" applyBorder="1" applyAlignment="1">
      <alignment vertical="center"/>
    </xf>
    <xf numFmtId="4" fontId="27" fillId="10" borderId="0" xfId="0" applyNumberFormat="1" applyFont="1" applyFill="1" applyBorder="1" applyAlignment="1">
      <alignment vertical="center"/>
    </xf>
    <xf numFmtId="0" fontId="24" fillId="10" borderId="0" xfId="0" applyFont="1" applyFill="1" applyBorder="1" applyAlignment="1">
      <alignment vertical="center"/>
    </xf>
    <xf numFmtId="0" fontId="24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 indent="1"/>
    </xf>
    <xf numFmtId="0" fontId="28" fillId="10" borderId="0" xfId="0" applyFont="1" applyFill="1" applyBorder="1" applyAlignment="1">
      <alignment vertical="center"/>
    </xf>
    <xf numFmtId="0" fontId="0" fillId="10" borderId="18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28" fillId="10" borderId="12" xfId="0" applyFont="1" applyFill="1" applyBorder="1" applyAlignment="1">
      <alignment vertical="center"/>
    </xf>
    <xf numFmtId="0" fontId="0" fillId="10" borderId="17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4" fontId="22" fillId="10" borderId="0" xfId="0" applyNumberFormat="1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22" fillId="10" borderId="0" xfId="0" applyFont="1" applyFill="1" applyBorder="1" applyAlignment="1">
      <alignment horizontal="left" vertical="center"/>
    </xf>
    <xf numFmtId="4" fontId="22" fillId="10" borderId="0" xfId="0" applyNumberFormat="1" applyFont="1" applyFill="1" applyBorder="1" applyAlignment="1">
      <alignment horizontal="right" vertical="center" indent="4"/>
    </xf>
    <xf numFmtId="0" fontId="22" fillId="10" borderId="0" xfId="0" applyFont="1" applyFill="1" applyBorder="1" applyAlignment="1">
      <alignment vertical="center"/>
    </xf>
    <xf numFmtId="4" fontId="22" fillId="10" borderId="0" xfId="0" applyNumberFormat="1" applyFont="1" applyFill="1" applyBorder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9" fontId="0" fillId="2" borderId="0" xfId="1" applyFont="1" applyFill="1" applyAlignment="1">
      <alignment vertical="center"/>
    </xf>
    <xf numFmtId="4" fontId="29" fillId="10" borderId="0" xfId="0" applyNumberFormat="1" applyFont="1" applyFill="1" applyBorder="1" applyAlignment="1">
      <alignment horizontal="right" vertical="center" indent="3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 wrapText="1" indent="1"/>
    </xf>
    <xf numFmtId="166" fontId="1" fillId="11" borderId="0" xfId="0" applyNumberFormat="1" applyFont="1" applyFill="1" applyAlignment="1">
      <alignment horizontal="right" vertical="center" indent="1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 indent="1"/>
    </xf>
    <xf numFmtId="0" fontId="1" fillId="11" borderId="0" xfId="0" applyFont="1" applyFill="1" applyAlignment="1">
      <alignment horizontal="right" vertical="center" indent="1"/>
    </xf>
    <xf numFmtId="174" fontId="14" fillId="11" borderId="0" xfId="0" applyNumberFormat="1" applyFont="1" applyFill="1" applyAlignment="1">
      <alignment horizontal="right" vertical="center" indent="1"/>
    </xf>
    <xf numFmtId="174" fontId="1" fillId="11" borderId="0" xfId="0" applyNumberFormat="1" applyFont="1" applyFill="1" applyAlignment="1">
      <alignment horizontal="right" vertical="center" indent="1"/>
    </xf>
    <xf numFmtId="0" fontId="16" fillId="9" borderId="23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20" fillId="5" borderId="23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 wrapText="1"/>
    </xf>
    <xf numFmtId="0" fontId="20" fillId="5" borderId="2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8" fontId="14" fillId="11" borderId="0" xfId="0" applyNumberFormat="1" applyFont="1" applyFill="1" applyAlignment="1">
      <alignment horizontal="right" vertical="center" indent="1"/>
    </xf>
    <xf numFmtId="4" fontId="1" fillId="11" borderId="0" xfId="0" applyNumberFormat="1" applyFont="1" applyFill="1" applyAlignment="1">
      <alignment horizontal="right" vertical="center" indent="1"/>
    </xf>
    <xf numFmtId="168" fontId="1" fillId="11" borderId="0" xfId="0" applyNumberFormat="1" applyFont="1" applyFill="1" applyAlignment="1">
      <alignment horizontal="right" vertical="center" indent="1"/>
    </xf>
    <xf numFmtId="0" fontId="1" fillId="11" borderId="0" xfId="0" applyFont="1" applyFill="1" applyAlignment="1">
      <alignment horizontal="right" vertical="center"/>
    </xf>
    <xf numFmtId="167" fontId="5" fillId="11" borderId="0" xfId="0" applyNumberFormat="1" applyFont="1" applyFill="1" applyAlignment="1">
      <alignment horizontal="righ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5F828"/>
      <color rgb="FFFFFF00"/>
      <color rgb="FFF52BCA"/>
      <color rgb="FFFF3300"/>
      <color rgb="FFBAB7FB"/>
      <color rgb="FFCCFF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829234</xdr:colOff>
      <xdr:row>71</xdr:row>
      <xdr:rowOff>57157</xdr:rowOff>
    </xdr:from>
    <xdr:to>
      <xdr:col>7</xdr:col>
      <xdr:colOff>124384</xdr:colOff>
      <xdr:row>79</xdr:row>
      <xdr:rowOff>56034</xdr:rowOff>
    </xdr:to>
    <xdr:sp macro="" textlink="">
      <xdr:nvSpPr>
        <xdr:cNvPr id="17" name="Trapesium 16">
          <a:extLst>
            <a:ext uri="{FF2B5EF4-FFF2-40B4-BE49-F238E27FC236}">
              <a16:creationId xmlns:a16="http://schemas.microsoft.com/office/drawing/2014/main" id="{021ED086-6BA5-4D20-8CE5-CB2D2EF1430A}"/>
            </a:ext>
          </a:extLst>
        </xdr:cNvPr>
        <xdr:cNvSpPr/>
      </xdr:nvSpPr>
      <xdr:spPr>
        <a:xfrm rot="5400000">
          <a:off x="5480797" y="13166917"/>
          <a:ext cx="1522877" cy="1144121"/>
        </a:xfrm>
        <a:prstGeom prst="trapezoid">
          <a:avLst/>
        </a:prstGeom>
        <a:solidFill>
          <a:srgbClr val="00B0F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405513</xdr:colOff>
      <xdr:row>9</xdr:row>
      <xdr:rowOff>3504</xdr:rowOff>
    </xdr:from>
    <xdr:to>
      <xdr:col>25</xdr:col>
      <xdr:colOff>511608</xdr:colOff>
      <xdr:row>28</xdr:row>
      <xdr:rowOff>148428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21F6EDA7-C10E-4285-8322-CF457AD2A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4984" y="1493886"/>
          <a:ext cx="6235713" cy="3764424"/>
        </a:xfrm>
        <a:prstGeom prst="rect">
          <a:avLst/>
        </a:prstGeom>
      </xdr:spPr>
    </xdr:pic>
    <xdr:clientData/>
  </xdr:twoCellAnchor>
  <xdr:twoCellAnchor editAs="oneCell">
    <xdr:from>
      <xdr:col>7</xdr:col>
      <xdr:colOff>143575</xdr:colOff>
      <xdr:row>85</xdr:row>
      <xdr:rowOff>100152</xdr:rowOff>
    </xdr:from>
    <xdr:to>
      <xdr:col>10</xdr:col>
      <xdr:colOff>213099</xdr:colOff>
      <xdr:row>103</xdr:row>
      <xdr:rowOff>90200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69A2365E-2E34-486C-A53B-65BA6CB9D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3487" y="15497034"/>
          <a:ext cx="4092436" cy="3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488157</xdr:colOff>
      <xdr:row>84</xdr:row>
      <xdr:rowOff>166687</xdr:rowOff>
    </xdr:from>
    <xdr:to>
      <xdr:col>7</xdr:col>
      <xdr:colOff>165938</xdr:colOff>
      <xdr:row>102</xdr:row>
      <xdr:rowOff>156735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09F6C7BD-BE77-408D-9951-9B6EB732B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1" y="11513343"/>
          <a:ext cx="6000000" cy="34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35719</xdr:colOff>
      <xdr:row>49</xdr:row>
      <xdr:rowOff>11906</xdr:rowOff>
    </xdr:from>
    <xdr:to>
      <xdr:col>18</xdr:col>
      <xdr:colOff>227046</xdr:colOff>
      <xdr:row>52</xdr:row>
      <xdr:rowOff>78501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94F9906C-5F8B-4731-BD0F-54FD26CA9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46907" y="9263062"/>
          <a:ext cx="1228571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114</xdr:row>
      <xdr:rowOff>154782</xdr:rowOff>
    </xdr:from>
    <xdr:to>
      <xdr:col>9</xdr:col>
      <xdr:colOff>859198</xdr:colOff>
      <xdr:row>132</xdr:row>
      <xdr:rowOff>173401</xdr:rowOff>
    </xdr:to>
    <xdr:pic>
      <xdr:nvPicPr>
        <xdr:cNvPr id="11" name="Gambar 10">
          <a:extLst>
            <a:ext uri="{FF2B5EF4-FFF2-40B4-BE49-F238E27FC236}">
              <a16:creationId xmlns:a16="http://schemas.microsoft.com/office/drawing/2014/main" id="{149BEF64-569F-4D96-A5F5-1C89CCDCB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3219" y="17466470"/>
          <a:ext cx="3466667" cy="3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833437</xdr:colOff>
      <xdr:row>116</xdr:row>
      <xdr:rowOff>166688</xdr:rowOff>
    </xdr:from>
    <xdr:to>
      <xdr:col>6</xdr:col>
      <xdr:colOff>1232877</xdr:colOff>
      <xdr:row>124</xdr:row>
      <xdr:rowOff>61736</xdr:rowOff>
    </xdr:to>
    <xdr:pic>
      <xdr:nvPicPr>
        <xdr:cNvPr id="12" name="Gambar 11">
          <a:extLst>
            <a:ext uri="{FF2B5EF4-FFF2-40B4-BE49-F238E27FC236}">
              <a16:creationId xmlns:a16="http://schemas.microsoft.com/office/drawing/2014/main" id="{4BFC5DBA-563B-48B5-A858-7270377C5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2531" y="17859376"/>
          <a:ext cx="4876190" cy="1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690562</xdr:colOff>
      <xdr:row>104</xdr:row>
      <xdr:rowOff>119060</xdr:rowOff>
    </xdr:from>
    <xdr:to>
      <xdr:col>6</xdr:col>
      <xdr:colOff>1242383</xdr:colOff>
      <xdr:row>116</xdr:row>
      <xdr:rowOff>33060</xdr:rowOff>
    </xdr:to>
    <xdr:pic>
      <xdr:nvPicPr>
        <xdr:cNvPr id="13" name="Gambar 12">
          <a:extLst>
            <a:ext uri="{FF2B5EF4-FFF2-40B4-BE49-F238E27FC236}">
              <a16:creationId xmlns:a16="http://schemas.microsoft.com/office/drawing/2014/main" id="{E7BD06A3-AFE8-4769-B713-124687F3C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656" y="15525748"/>
          <a:ext cx="5028571" cy="2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404812</xdr:colOff>
      <xdr:row>127</xdr:row>
      <xdr:rowOff>130971</xdr:rowOff>
    </xdr:from>
    <xdr:to>
      <xdr:col>6</xdr:col>
      <xdr:colOff>813776</xdr:colOff>
      <xdr:row>134</xdr:row>
      <xdr:rowOff>83185</xdr:rowOff>
    </xdr:to>
    <xdr:pic>
      <xdr:nvPicPr>
        <xdr:cNvPr id="14" name="Gambar 13">
          <a:extLst>
            <a:ext uri="{FF2B5EF4-FFF2-40B4-BE49-F238E27FC236}">
              <a16:creationId xmlns:a16="http://schemas.microsoft.com/office/drawing/2014/main" id="{FD9854AA-9982-4EB7-9820-F580D7EF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3906" y="19919159"/>
          <a:ext cx="4885714" cy="1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8</xdr:col>
      <xdr:colOff>242694</xdr:colOff>
      <xdr:row>110</xdr:row>
      <xdr:rowOff>95167</xdr:rowOff>
    </xdr:to>
    <xdr:pic>
      <xdr:nvPicPr>
        <xdr:cNvPr id="15" name="Gambar 14">
          <a:extLst>
            <a:ext uri="{FF2B5EF4-FFF2-40B4-BE49-F238E27FC236}">
              <a16:creationId xmlns:a16="http://schemas.microsoft.com/office/drawing/2014/main" id="{0B1381EC-C89B-4692-8C0D-3A4EA5CD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91313" y="15978188"/>
          <a:ext cx="1552381" cy="666667"/>
        </a:xfrm>
        <a:prstGeom prst="rect">
          <a:avLst/>
        </a:prstGeom>
      </xdr:spPr>
    </xdr:pic>
    <xdr:clientData/>
  </xdr:twoCellAnchor>
  <xdr:twoCellAnchor>
    <xdr:from>
      <xdr:col>8</xdr:col>
      <xdr:colOff>745197</xdr:colOff>
      <xdr:row>71</xdr:row>
      <xdr:rowOff>78444</xdr:rowOff>
    </xdr:from>
    <xdr:to>
      <xdr:col>9</xdr:col>
      <xdr:colOff>571500</xdr:colOff>
      <xdr:row>78</xdr:row>
      <xdr:rowOff>140076</xdr:rowOff>
    </xdr:to>
    <xdr:sp macro="" textlink="">
      <xdr:nvSpPr>
        <xdr:cNvPr id="4" name="Trapesium 3">
          <a:extLst>
            <a:ext uri="{FF2B5EF4-FFF2-40B4-BE49-F238E27FC236}">
              <a16:creationId xmlns:a16="http://schemas.microsoft.com/office/drawing/2014/main" id="{5CC01BB1-9922-4B07-BF9C-BF585F4A0614}"/>
            </a:ext>
          </a:extLst>
        </xdr:cNvPr>
        <xdr:cNvSpPr/>
      </xdr:nvSpPr>
      <xdr:spPr>
        <a:xfrm rot="16200000">
          <a:off x="8617327" y="13127696"/>
          <a:ext cx="1395132" cy="1137391"/>
        </a:xfrm>
        <a:prstGeom prst="trapezoid">
          <a:avLst/>
        </a:prstGeom>
        <a:solidFill>
          <a:srgbClr val="FFC0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134474</xdr:colOff>
      <xdr:row>74</xdr:row>
      <xdr:rowOff>78444</xdr:rowOff>
    </xdr:from>
    <xdr:to>
      <xdr:col>8</xdr:col>
      <xdr:colOff>743626</xdr:colOff>
      <xdr:row>75</xdr:row>
      <xdr:rowOff>179297</xdr:rowOff>
    </xdr:to>
    <xdr:sp macro="" textlink="">
      <xdr:nvSpPr>
        <xdr:cNvPr id="5" name="Persegi Panjang 4">
          <a:extLst>
            <a:ext uri="{FF2B5EF4-FFF2-40B4-BE49-F238E27FC236}">
              <a16:creationId xmlns:a16="http://schemas.microsoft.com/office/drawing/2014/main" id="{3BBAE199-93BE-4137-898C-600D6C53EC5E}"/>
            </a:ext>
          </a:extLst>
        </xdr:cNvPr>
        <xdr:cNvSpPr/>
      </xdr:nvSpPr>
      <xdr:spPr>
        <a:xfrm>
          <a:off x="6824386" y="13570326"/>
          <a:ext cx="1920240" cy="291353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683564</xdr:colOff>
      <xdr:row>67</xdr:row>
      <xdr:rowOff>100857</xdr:rowOff>
    </xdr:from>
    <xdr:to>
      <xdr:col>8</xdr:col>
      <xdr:colOff>286876</xdr:colOff>
      <xdr:row>70</xdr:row>
      <xdr:rowOff>77997</xdr:rowOff>
    </xdr:to>
    <xdr:sp macro="" textlink="">
      <xdr:nvSpPr>
        <xdr:cNvPr id="18" name="Persegi Panjang 17">
          <a:extLst>
            <a:ext uri="{FF2B5EF4-FFF2-40B4-BE49-F238E27FC236}">
              <a16:creationId xmlns:a16="http://schemas.microsoft.com/office/drawing/2014/main" id="{C5685B3E-5D3A-4C1E-AC24-A505C6D3A3D6}"/>
            </a:ext>
          </a:extLst>
        </xdr:cNvPr>
        <xdr:cNvSpPr/>
      </xdr:nvSpPr>
      <xdr:spPr>
        <a:xfrm>
          <a:off x="7373476" y="12259239"/>
          <a:ext cx="914400" cy="548640"/>
        </a:xfrm>
        <a:prstGeom prst="rect">
          <a:avLst/>
        </a:prstGeom>
        <a:solidFill>
          <a:srgbClr val="FFFF0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1736914</xdr:colOff>
      <xdr:row>68</xdr:row>
      <xdr:rowOff>156889</xdr:rowOff>
    </xdr:from>
    <xdr:to>
      <xdr:col>6</xdr:col>
      <xdr:colOff>1736914</xdr:colOff>
      <xdr:row>72</xdr:row>
      <xdr:rowOff>34969</xdr:rowOff>
    </xdr:to>
    <xdr:cxnSp macro="">
      <xdr:nvCxnSpPr>
        <xdr:cNvPr id="19" name="Konektor Panah Lurus 18">
          <a:extLst>
            <a:ext uri="{FF2B5EF4-FFF2-40B4-BE49-F238E27FC236}">
              <a16:creationId xmlns:a16="http://schemas.microsoft.com/office/drawing/2014/main" id="{C85B1B7B-5292-460A-8259-364623DBC005}"/>
            </a:ext>
          </a:extLst>
        </xdr:cNvPr>
        <xdr:cNvCxnSpPr/>
      </xdr:nvCxnSpPr>
      <xdr:spPr>
        <a:xfrm flipV="1">
          <a:off x="6577855" y="13077271"/>
          <a:ext cx="0" cy="640080"/>
        </a:xfrm>
        <a:prstGeom prst="straightConnector1">
          <a:avLst/>
        </a:prstGeom>
        <a:ln w="38100">
          <a:solidFill>
            <a:srgbClr val="00B0F0"/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1721229</xdr:colOff>
      <xdr:row>68</xdr:row>
      <xdr:rowOff>145682</xdr:rowOff>
    </xdr:from>
    <xdr:to>
      <xdr:col>7</xdr:col>
      <xdr:colOff>695218</xdr:colOff>
      <xdr:row>68</xdr:row>
      <xdr:rowOff>145682</xdr:rowOff>
    </xdr:to>
    <xdr:cxnSp macro="">
      <xdr:nvCxnSpPr>
        <xdr:cNvPr id="20" name="Konektor Panah Lurus 19">
          <a:extLst>
            <a:ext uri="{FF2B5EF4-FFF2-40B4-BE49-F238E27FC236}">
              <a16:creationId xmlns:a16="http://schemas.microsoft.com/office/drawing/2014/main" id="{E3C4FFB7-2AF6-4750-8277-C5986DE5CD35}"/>
            </a:ext>
          </a:extLst>
        </xdr:cNvPr>
        <xdr:cNvCxnSpPr/>
      </xdr:nvCxnSpPr>
      <xdr:spPr>
        <a:xfrm flipV="1">
          <a:off x="6562170" y="13066064"/>
          <a:ext cx="822960" cy="0"/>
        </a:xfrm>
        <a:prstGeom prst="straightConnector1">
          <a:avLst/>
        </a:prstGeom>
        <a:ln w="38100">
          <a:solidFill>
            <a:srgbClr val="00B0F0"/>
          </a:solidFill>
          <a:prstDash val="sysDot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992846</xdr:colOff>
      <xdr:row>68</xdr:row>
      <xdr:rowOff>163608</xdr:rowOff>
    </xdr:from>
    <xdr:to>
      <xdr:col>8</xdr:col>
      <xdr:colOff>992846</xdr:colOff>
      <xdr:row>72</xdr:row>
      <xdr:rowOff>133128</xdr:rowOff>
    </xdr:to>
    <xdr:cxnSp macro="">
      <xdr:nvCxnSpPr>
        <xdr:cNvPr id="22" name="Konektor Panah Lurus 21">
          <a:extLst>
            <a:ext uri="{FF2B5EF4-FFF2-40B4-BE49-F238E27FC236}">
              <a16:creationId xmlns:a16="http://schemas.microsoft.com/office/drawing/2014/main" id="{B0EC804E-88BB-4E58-AEE3-8B8B5AB1EA21}"/>
            </a:ext>
          </a:extLst>
        </xdr:cNvPr>
        <xdr:cNvCxnSpPr/>
      </xdr:nvCxnSpPr>
      <xdr:spPr>
        <a:xfrm flipV="1">
          <a:off x="8993846" y="12512490"/>
          <a:ext cx="0" cy="731520"/>
        </a:xfrm>
        <a:prstGeom prst="straightConnector1">
          <a:avLst/>
        </a:prstGeom>
        <a:ln w="38100">
          <a:solidFill>
            <a:srgbClr val="FF3300"/>
          </a:solidFill>
          <a:prstDash val="sysDot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293603</xdr:colOff>
      <xdr:row>68</xdr:row>
      <xdr:rowOff>163608</xdr:rowOff>
    </xdr:from>
    <xdr:to>
      <xdr:col>8</xdr:col>
      <xdr:colOff>1025123</xdr:colOff>
      <xdr:row>68</xdr:row>
      <xdr:rowOff>163608</xdr:rowOff>
    </xdr:to>
    <xdr:cxnSp macro="">
      <xdr:nvCxnSpPr>
        <xdr:cNvPr id="23" name="Konektor Panah Lurus 22">
          <a:extLst>
            <a:ext uri="{FF2B5EF4-FFF2-40B4-BE49-F238E27FC236}">
              <a16:creationId xmlns:a16="http://schemas.microsoft.com/office/drawing/2014/main" id="{4899EDD9-0C74-4A9A-A925-710495C6133D}"/>
            </a:ext>
          </a:extLst>
        </xdr:cNvPr>
        <xdr:cNvCxnSpPr/>
      </xdr:nvCxnSpPr>
      <xdr:spPr>
        <a:xfrm flipV="1">
          <a:off x="8294603" y="12512490"/>
          <a:ext cx="731520" cy="0"/>
        </a:xfrm>
        <a:prstGeom prst="straightConnector1">
          <a:avLst/>
        </a:prstGeom>
        <a:ln w="38100">
          <a:solidFill>
            <a:srgbClr val="FF3300"/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1176063</xdr:colOff>
      <xdr:row>61</xdr:row>
      <xdr:rowOff>13450</xdr:rowOff>
    </xdr:from>
    <xdr:to>
      <xdr:col>7</xdr:col>
      <xdr:colOff>1176063</xdr:colOff>
      <xdr:row>67</xdr:row>
      <xdr:rowOff>82030</xdr:rowOff>
    </xdr:to>
    <xdr:cxnSp macro="">
      <xdr:nvCxnSpPr>
        <xdr:cNvPr id="24" name="Konektor Panah Lurus 23">
          <a:extLst>
            <a:ext uri="{FF2B5EF4-FFF2-40B4-BE49-F238E27FC236}">
              <a16:creationId xmlns:a16="http://schemas.microsoft.com/office/drawing/2014/main" id="{327C8C80-88B1-4538-B70D-25D57619EF87}"/>
            </a:ext>
          </a:extLst>
        </xdr:cNvPr>
        <xdr:cNvCxnSpPr/>
      </xdr:nvCxnSpPr>
      <xdr:spPr>
        <a:xfrm flipV="1">
          <a:off x="7865975" y="11600332"/>
          <a:ext cx="0" cy="640080"/>
        </a:xfrm>
        <a:prstGeom prst="straightConnector1">
          <a:avLst/>
        </a:prstGeom>
        <a:ln w="38100">
          <a:solidFill>
            <a:srgbClr val="FFFF00"/>
          </a:solidFill>
          <a:prstDash val="sysDot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907677</xdr:colOff>
      <xdr:row>73</xdr:row>
      <xdr:rowOff>112061</xdr:rowOff>
    </xdr:from>
    <xdr:to>
      <xdr:col>6</xdr:col>
      <xdr:colOff>1837765</xdr:colOff>
      <xdr:row>75</xdr:row>
      <xdr:rowOff>179296</xdr:rowOff>
    </xdr:to>
    <xdr:sp macro="" textlink="">
      <xdr:nvSpPr>
        <xdr:cNvPr id="25" name="Kotak Teks 24">
          <a:extLst>
            <a:ext uri="{FF2B5EF4-FFF2-40B4-BE49-F238E27FC236}">
              <a16:creationId xmlns:a16="http://schemas.microsoft.com/office/drawing/2014/main" id="{0A1F1CE9-1C5E-4A0E-887A-4EEF2DCACA74}"/>
            </a:ext>
          </a:extLst>
        </xdr:cNvPr>
        <xdr:cNvSpPr txBox="1"/>
      </xdr:nvSpPr>
      <xdr:spPr>
        <a:xfrm>
          <a:off x="5748618" y="13984943"/>
          <a:ext cx="930088" cy="44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Air Compressor</a:t>
          </a:r>
        </a:p>
      </xdr:txBody>
    </xdr:sp>
    <xdr:clientData/>
  </xdr:twoCellAnchor>
  <xdr:twoCellAnchor>
    <xdr:from>
      <xdr:col>8</xdr:col>
      <xdr:colOff>936812</xdr:colOff>
      <xdr:row>73</xdr:row>
      <xdr:rowOff>174813</xdr:rowOff>
    </xdr:from>
    <xdr:to>
      <xdr:col>9</xdr:col>
      <xdr:colOff>555812</xdr:colOff>
      <xdr:row>76</xdr:row>
      <xdr:rowOff>51548</xdr:rowOff>
    </xdr:to>
    <xdr:sp macro="" textlink="">
      <xdr:nvSpPr>
        <xdr:cNvPr id="26" name="Kotak Teks 25">
          <a:extLst>
            <a:ext uri="{FF2B5EF4-FFF2-40B4-BE49-F238E27FC236}">
              <a16:creationId xmlns:a16="http://schemas.microsoft.com/office/drawing/2014/main" id="{1D015999-2D72-46A7-AD11-BFE4F1BE9AB9}"/>
            </a:ext>
          </a:extLst>
        </xdr:cNvPr>
        <xdr:cNvSpPr txBox="1"/>
      </xdr:nvSpPr>
      <xdr:spPr>
        <a:xfrm>
          <a:off x="8937812" y="13476195"/>
          <a:ext cx="930088" cy="448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Gas</a:t>
          </a:r>
        </a:p>
        <a:p>
          <a:r>
            <a:rPr lang="en-US" sz="1100" b="1">
              <a:solidFill>
                <a:sysClr val="windowText" lastClr="000000"/>
              </a:solidFill>
            </a:rPr>
            <a:t>Turbine</a:t>
          </a:r>
        </a:p>
      </xdr:txBody>
    </xdr:sp>
    <xdr:clientData/>
  </xdr:twoCellAnchor>
  <xdr:twoCellAnchor>
    <xdr:from>
      <xdr:col>6</xdr:col>
      <xdr:colOff>880785</xdr:colOff>
      <xdr:row>68</xdr:row>
      <xdr:rowOff>152408</xdr:rowOff>
    </xdr:from>
    <xdr:to>
      <xdr:col>6</xdr:col>
      <xdr:colOff>880785</xdr:colOff>
      <xdr:row>71</xdr:row>
      <xdr:rowOff>38108</xdr:rowOff>
    </xdr:to>
    <xdr:cxnSp macro="">
      <xdr:nvCxnSpPr>
        <xdr:cNvPr id="27" name="Konektor Panah Lurus 26">
          <a:extLst>
            <a:ext uri="{FF2B5EF4-FFF2-40B4-BE49-F238E27FC236}">
              <a16:creationId xmlns:a16="http://schemas.microsoft.com/office/drawing/2014/main" id="{4F9334DE-E41C-4C2F-88D7-90738935DF6D}"/>
            </a:ext>
          </a:extLst>
        </xdr:cNvPr>
        <xdr:cNvCxnSpPr/>
      </xdr:nvCxnSpPr>
      <xdr:spPr>
        <a:xfrm flipV="1">
          <a:off x="5721726" y="13072790"/>
          <a:ext cx="0" cy="457200"/>
        </a:xfrm>
        <a:prstGeom prst="straightConnector1">
          <a:avLst/>
        </a:prstGeom>
        <a:ln w="38100">
          <a:solidFill>
            <a:schemeClr val="bg1"/>
          </a:solidFill>
          <a:prstDash val="sysDot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450482</xdr:colOff>
      <xdr:row>68</xdr:row>
      <xdr:rowOff>174818</xdr:rowOff>
    </xdr:from>
    <xdr:to>
      <xdr:col>6</xdr:col>
      <xdr:colOff>907682</xdr:colOff>
      <xdr:row>68</xdr:row>
      <xdr:rowOff>174818</xdr:rowOff>
    </xdr:to>
    <xdr:cxnSp macro="">
      <xdr:nvCxnSpPr>
        <xdr:cNvPr id="28" name="Konektor Panah Lurus 27">
          <a:extLst>
            <a:ext uri="{FF2B5EF4-FFF2-40B4-BE49-F238E27FC236}">
              <a16:creationId xmlns:a16="http://schemas.microsoft.com/office/drawing/2014/main" id="{43EDCC95-D698-4668-9BC6-AB11DAEE18AA}"/>
            </a:ext>
          </a:extLst>
        </xdr:cNvPr>
        <xdr:cNvCxnSpPr/>
      </xdr:nvCxnSpPr>
      <xdr:spPr>
        <a:xfrm flipV="1">
          <a:off x="5291423" y="13095200"/>
          <a:ext cx="457200" cy="0"/>
        </a:xfrm>
        <a:prstGeom prst="straightConnector1">
          <a:avLst/>
        </a:prstGeom>
        <a:ln w="38100">
          <a:solidFill>
            <a:schemeClr val="bg1"/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517714</xdr:colOff>
      <xdr:row>78</xdr:row>
      <xdr:rowOff>125511</xdr:rowOff>
    </xdr:from>
    <xdr:to>
      <xdr:col>9</xdr:col>
      <xdr:colOff>517714</xdr:colOff>
      <xdr:row>79</xdr:row>
      <xdr:rowOff>117891</xdr:rowOff>
    </xdr:to>
    <xdr:cxnSp macro="">
      <xdr:nvCxnSpPr>
        <xdr:cNvPr id="29" name="Konektor Panah Lurus 28">
          <a:extLst>
            <a:ext uri="{FF2B5EF4-FFF2-40B4-BE49-F238E27FC236}">
              <a16:creationId xmlns:a16="http://schemas.microsoft.com/office/drawing/2014/main" id="{FA5766C6-EE0F-4B68-B0D5-DF6ED516479F}"/>
            </a:ext>
          </a:extLst>
        </xdr:cNvPr>
        <xdr:cNvCxnSpPr/>
      </xdr:nvCxnSpPr>
      <xdr:spPr>
        <a:xfrm flipV="1">
          <a:off x="9829802" y="14950893"/>
          <a:ext cx="0" cy="182880"/>
        </a:xfrm>
        <a:prstGeom prst="straightConnector1">
          <a:avLst/>
        </a:prstGeom>
        <a:ln w="38100">
          <a:solidFill>
            <a:schemeClr val="bg1"/>
          </a:solidFill>
          <a:prstDash val="sysDot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502027</xdr:colOff>
      <xdr:row>79</xdr:row>
      <xdr:rowOff>125506</xdr:rowOff>
    </xdr:from>
    <xdr:to>
      <xdr:col>9</xdr:col>
      <xdr:colOff>959227</xdr:colOff>
      <xdr:row>79</xdr:row>
      <xdr:rowOff>125506</xdr:rowOff>
    </xdr:to>
    <xdr:cxnSp macro="">
      <xdr:nvCxnSpPr>
        <xdr:cNvPr id="30" name="Konektor Panah Lurus 29">
          <a:extLst>
            <a:ext uri="{FF2B5EF4-FFF2-40B4-BE49-F238E27FC236}">
              <a16:creationId xmlns:a16="http://schemas.microsoft.com/office/drawing/2014/main" id="{617B7D7E-1457-47F8-A910-9FF37DFA2469}"/>
            </a:ext>
          </a:extLst>
        </xdr:cNvPr>
        <xdr:cNvCxnSpPr/>
      </xdr:nvCxnSpPr>
      <xdr:spPr>
        <a:xfrm flipV="1">
          <a:off x="9814115" y="15141388"/>
          <a:ext cx="457200" cy="0"/>
        </a:xfrm>
        <a:prstGeom prst="straightConnector1">
          <a:avLst/>
        </a:prstGeom>
        <a:ln w="38100">
          <a:solidFill>
            <a:schemeClr val="bg1"/>
          </a:solidFill>
          <a:prstDash val="sysDot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694763</xdr:colOff>
      <xdr:row>68</xdr:row>
      <xdr:rowOff>56032</xdr:rowOff>
    </xdr:from>
    <xdr:to>
      <xdr:col>8</xdr:col>
      <xdr:colOff>291352</xdr:colOff>
      <xdr:row>69</xdr:row>
      <xdr:rowOff>134471</xdr:rowOff>
    </xdr:to>
    <xdr:sp macro="" textlink="">
      <xdr:nvSpPr>
        <xdr:cNvPr id="31" name="Kotak Teks 30">
          <a:extLst>
            <a:ext uri="{FF2B5EF4-FFF2-40B4-BE49-F238E27FC236}">
              <a16:creationId xmlns:a16="http://schemas.microsoft.com/office/drawing/2014/main" id="{77CC7148-5C35-4D54-B1FB-6FC76D707D81}"/>
            </a:ext>
          </a:extLst>
        </xdr:cNvPr>
        <xdr:cNvSpPr txBox="1"/>
      </xdr:nvSpPr>
      <xdr:spPr>
        <a:xfrm>
          <a:off x="7384675" y="12976414"/>
          <a:ext cx="907677" cy="268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Combustion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238124</xdr:colOff>
      <xdr:row>109</xdr:row>
      <xdr:rowOff>47626</xdr:rowOff>
    </xdr:from>
    <xdr:to>
      <xdr:col>12</xdr:col>
      <xdr:colOff>373411</xdr:colOff>
      <xdr:row>118</xdr:row>
      <xdr:rowOff>42677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3812" y="15132845"/>
          <a:ext cx="3552381" cy="1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95247</xdr:colOff>
      <xdr:row>144</xdr:row>
      <xdr:rowOff>95250</xdr:rowOff>
    </xdr:from>
    <xdr:to>
      <xdr:col>20</xdr:col>
      <xdr:colOff>34930</xdr:colOff>
      <xdr:row>169</xdr:row>
      <xdr:rowOff>63742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1A6A980-F1CF-42FC-9152-8C6F2316A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63622" y="24824531"/>
          <a:ext cx="6285714" cy="44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261938</xdr:colOff>
      <xdr:row>218</xdr:row>
      <xdr:rowOff>11913</xdr:rowOff>
    </xdr:from>
    <xdr:to>
      <xdr:col>10</xdr:col>
      <xdr:colOff>928176</xdr:colOff>
      <xdr:row>238</xdr:row>
      <xdr:rowOff>97211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4E9DA942-414E-4014-8C07-6353C3DA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58063" y="40147882"/>
          <a:ext cx="4095238" cy="3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158</xdr:row>
      <xdr:rowOff>2</xdr:rowOff>
    </xdr:from>
    <xdr:to>
      <xdr:col>3</xdr:col>
      <xdr:colOff>1237858</xdr:colOff>
      <xdr:row>158</xdr:row>
      <xdr:rowOff>161907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25D7C9EE-33AB-4538-A280-AE489B11B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532" y="27336752"/>
          <a:ext cx="3142857" cy="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041A-83E6-42A0-85D8-131EB729FFE6}">
  <dimension ref="B2:AH84"/>
  <sheetViews>
    <sheetView topLeftCell="A73" zoomScale="85" zoomScaleNormal="85" workbookViewId="0">
      <selection activeCell="D14" sqref="D14"/>
    </sheetView>
  </sheetViews>
  <sheetFormatPr defaultColWidth="9.109375" defaultRowHeight="14.4" x14ac:dyDescent="0.3"/>
  <cols>
    <col min="1" max="1" width="1.88671875" style="124" customWidth="1"/>
    <col min="2" max="2" width="3.6640625" style="124" customWidth="1"/>
    <col min="3" max="3" width="27.6640625" style="124" bestFit="1" customWidth="1"/>
    <col min="4" max="4" width="17.6640625" style="124" customWidth="1"/>
    <col min="5" max="5" width="10.33203125" style="124" bestFit="1" customWidth="1"/>
    <col min="6" max="6" width="11.44140625" style="124" customWidth="1"/>
    <col min="7" max="7" width="27.6640625" style="124" bestFit="1" customWidth="1"/>
    <col min="8" max="9" width="19.6640625" style="124" customWidth="1"/>
    <col min="10" max="10" width="21" style="124" customWidth="1"/>
    <col min="11" max="12" width="4.5546875" style="124" customWidth="1"/>
    <col min="13" max="13" width="2.88671875" style="124" customWidth="1"/>
    <col min="14" max="14" width="6.5546875" style="124" customWidth="1"/>
    <col min="15" max="15" width="16.44140625" style="124" bestFit="1" customWidth="1"/>
    <col min="16" max="16" width="4" style="124" customWidth="1"/>
    <col min="17" max="17" width="9.5546875" style="131" customWidth="1"/>
    <col min="18" max="18" width="15.44140625" style="124" bestFit="1" customWidth="1"/>
    <col min="19" max="19" width="3.88671875" style="124" bestFit="1" customWidth="1"/>
    <col min="20" max="20" width="17.6640625" style="124" customWidth="1"/>
    <col min="21" max="16384" width="9.109375" style="124"/>
  </cols>
  <sheetData>
    <row r="2" spans="2:34" x14ac:dyDescent="0.3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34" x14ac:dyDescent="0.3">
      <c r="B3" s="155"/>
      <c r="C3" s="156" t="s">
        <v>339</v>
      </c>
      <c r="D3" s="157"/>
      <c r="E3" s="157"/>
      <c r="F3" s="157"/>
      <c r="G3" s="157"/>
      <c r="H3" s="157"/>
      <c r="I3" s="157"/>
      <c r="J3" s="157"/>
      <c r="K3" s="157"/>
      <c r="L3" s="158"/>
    </row>
    <row r="4" spans="2:34" ht="3.75" customHeight="1" x14ac:dyDescent="0.3">
      <c r="B4" s="155"/>
      <c r="C4" s="157"/>
      <c r="D4" s="157"/>
      <c r="E4" s="157"/>
      <c r="F4" s="157"/>
      <c r="G4" s="157"/>
      <c r="H4" s="157"/>
      <c r="I4" s="157"/>
      <c r="J4" s="157"/>
      <c r="K4" s="157"/>
      <c r="L4" s="158"/>
    </row>
    <row r="5" spans="2:34" x14ac:dyDescent="0.3">
      <c r="B5" s="155"/>
      <c r="C5" s="156" t="s">
        <v>117</v>
      </c>
      <c r="D5" s="157"/>
      <c r="E5" s="157"/>
      <c r="F5" s="156" t="s">
        <v>340</v>
      </c>
      <c r="G5" s="157"/>
      <c r="H5" s="157"/>
      <c r="I5" s="157"/>
      <c r="J5" s="157"/>
      <c r="K5" s="157"/>
      <c r="L5" s="158"/>
    </row>
    <row r="6" spans="2:34" ht="9" customHeight="1" x14ac:dyDescent="0.3">
      <c r="B6" s="155"/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34" x14ac:dyDescent="0.3">
      <c r="B7" s="155"/>
      <c r="C7" s="136" t="s">
        <v>238</v>
      </c>
      <c r="D7" s="125">
        <v>14.663029999999999</v>
      </c>
      <c r="E7" s="136" t="s">
        <v>251</v>
      </c>
      <c r="F7" s="189" t="s">
        <v>21</v>
      </c>
      <c r="G7" s="137" t="s">
        <v>3</v>
      </c>
      <c r="H7" s="202">
        <v>91.025999999999996</v>
      </c>
      <c r="I7" s="159" t="s">
        <v>2</v>
      </c>
      <c r="J7" s="246" t="s">
        <v>364</v>
      </c>
      <c r="K7" s="157"/>
      <c r="L7" s="158"/>
      <c r="P7" s="18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2:34" x14ac:dyDescent="0.3">
      <c r="B8" s="155"/>
      <c r="C8" s="136" t="s">
        <v>239</v>
      </c>
      <c r="D8" s="125">
        <v>88.682000000000002</v>
      </c>
      <c r="E8" s="136" t="s">
        <v>252</v>
      </c>
      <c r="F8" s="189" t="s">
        <v>22</v>
      </c>
      <c r="G8" s="137" t="s">
        <v>4</v>
      </c>
      <c r="H8" s="202">
        <v>6.5330000000000004</v>
      </c>
      <c r="I8" s="159" t="s">
        <v>2</v>
      </c>
      <c r="J8" s="247"/>
      <c r="K8" s="157"/>
      <c r="L8" s="158"/>
      <c r="P8" s="18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2:34" x14ac:dyDescent="0.3">
      <c r="B9" s="155"/>
      <c r="C9" s="136" t="s">
        <v>240</v>
      </c>
      <c r="D9" s="125">
        <v>0</v>
      </c>
      <c r="E9" s="136" t="s">
        <v>252</v>
      </c>
      <c r="F9" s="189" t="s">
        <v>23</v>
      </c>
      <c r="G9" s="137" t="s">
        <v>5</v>
      </c>
      <c r="H9" s="202">
        <v>1.1000000000000001</v>
      </c>
      <c r="I9" s="159" t="s">
        <v>2</v>
      </c>
      <c r="J9" s="248"/>
      <c r="K9" s="157"/>
      <c r="L9" s="158"/>
      <c r="P9" s="18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2:34" ht="15" customHeight="1" x14ac:dyDescent="0.3">
      <c r="B10" s="155"/>
      <c r="C10" s="136" t="s">
        <v>241</v>
      </c>
      <c r="D10" s="125">
        <v>88.83</v>
      </c>
      <c r="E10" s="136" t="s">
        <v>2</v>
      </c>
      <c r="F10" s="189" t="s">
        <v>24</v>
      </c>
      <c r="G10" s="137" t="s">
        <v>6</v>
      </c>
      <c r="H10" s="202">
        <v>8.1000000000000003E-2</v>
      </c>
      <c r="I10" s="159" t="s">
        <v>2</v>
      </c>
      <c r="J10" s="188"/>
      <c r="K10" s="157"/>
      <c r="L10" s="158"/>
      <c r="P10" s="18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customHeight="1" x14ac:dyDescent="0.3">
      <c r="B11" s="155"/>
      <c r="C11" s="157"/>
      <c r="D11" s="160"/>
      <c r="E11" s="157"/>
      <c r="F11" s="189" t="s">
        <v>25</v>
      </c>
      <c r="G11" s="137" t="s">
        <v>7</v>
      </c>
      <c r="H11" s="202">
        <v>0.08</v>
      </c>
      <c r="I11" s="159" t="s">
        <v>2</v>
      </c>
      <c r="J11" s="249" t="s">
        <v>359</v>
      </c>
      <c r="K11" s="157"/>
      <c r="L11" s="158"/>
      <c r="P11" s="18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2:34" ht="15" customHeight="1" x14ac:dyDescent="0.3">
      <c r="B12" s="155"/>
      <c r="C12" s="156" t="s">
        <v>342</v>
      </c>
      <c r="D12" s="161"/>
      <c r="E12" s="157"/>
      <c r="F12" s="189" t="s">
        <v>26</v>
      </c>
      <c r="G12" s="137" t="s">
        <v>8</v>
      </c>
      <c r="H12" s="202">
        <v>2.7E-2</v>
      </c>
      <c r="I12" s="159" t="s">
        <v>2</v>
      </c>
      <c r="J12" s="250"/>
      <c r="K12" s="157"/>
      <c r="L12" s="158"/>
      <c r="P12" s="18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2:34" ht="15" customHeight="1" x14ac:dyDescent="0.3">
      <c r="B13" s="155"/>
      <c r="C13" s="136" t="s">
        <v>193</v>
      </c>
      <c r="D13" s="126">
        <v>77382.25</v>
      </c>
      <c r="E13" s="136" t="s">
        <v>253</v>
      </c>
      <c r="F13" s="189" t="s">
        <v>27</v>
      </c>
      <c r="G13" s="137" t="s">
        <v>9</v>
      </c>
      <c r="H13" s="202">
        <v>2.1999999999999999E-2</v>
      </c>
      <c r="I13" s="159" t="s">
        <v>2</v>
      </c>
      <c r="J13" s="250"/>
      <c r="K13" s="157"/>
      <c r="L13" s="158"/>
      <c r="P13" s="18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2:34" ht="15" customHeight="1" x14ac:dyDescent="0.3">
      <c r="B14" s="155"/>
      <c r="C14" s="136" t="s">
        <v>255</v>
      </c>
      <c r="D14" s="126">
        <v>80.599999999999994</v>
      </c>
      <c r="E14" s="136" t="s">
        <v>252</v>
      </c>
      <c r="F14" s="189" t="s">
        <v>28</v>
      </c>
      <c r="G14" s="137" t="s">
        <v>10</v>
      </c>
      <c r="H14" s="202">
        <v>0</v>
      </c>
      <c r="I14" s="159" t="s">
        <v>2</v>
      </c>
      <c r="J14" s="250"/>
      <c r="K14" s="157"/>
      <c r="L14" s="158"/>
      <c r="P14" s="18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2:34" ht="15" customHeight="1" x14ac:dyDescent="0.3">
      <c r="B15" s="155"/>
      <c r="C15" s="157"/>
      <c r="D15" s="161"/>
      <c r="E15" s="157"/>
      <c r="F15" s="189" t="s">
        <v>30</v>
      </c>
      <c r="G15" s="137" t="s">
        <v>19</v>
      </c>
      <c r="H15" s="202">
        <v>0.499</v>
      </c>
      <c r="I15" s="159" t="s">
        <v>2</v>
      </c>
      <c r="J15" s="250"/>
      <c r="K15" s="157"/>
      <c r="L15" s="158"/>
      <c r="P15" s="18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customHeight="1" x14ac:dyDescent="0.3">
      <c r="B16" s="155"/>
      <c r="C16" s="136" t="s">
        <v>243</v>
      </c>
      <c r="D16" s="125">
        <v>0</v>
      </c>
      <c r="E16" s="136" t="s">
        <v>253</v>
      </c>
      <c r="F16" s="189" t="s">
        <v>63</v>
      </c>
      <c r="G16" s="137" t="s">
        <v>39</v>
      </c>
      <c r="H16" s="202">
        <v>0</v>
      </c>
      <c r="I16" s="159" t="s">
        <v>2</v>
      </c>
      <c r="J16" s="250"/>
      <c r="K16" s="157"/>
      <c r="L16" s="158"/>
      <c r="P16" s="18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customHeight="1" x14ac:dyDescent="0.3">
      <c r="B17" s="155"/>
      <c r="C17" s="136" t="s">
        <v>341</v>
      </c>
      <c r="D17" s="125">
        <v>200</v>
      </c>
      <c r="E17" s="136" t="s">
        <v>252</v>
      </c>
      <c r="F17" s="189" t="s">
        <v>31</v>
      </c>
      <c r="G17" s="137" t="s">
        <v>11</v>
      </c>
      <c r="H17" s="202">
        <v>0.63200000000000001</v>
      </c>
      <c r="I17" s="159" t="s">
        <v>2</v>
      </c>
      <c r="J17" s="250"/>
      <c r="K17" s="157"/>
      <c r="L17" s="158"/>
      <c r="P17" s="18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customHeight="1" x14ac:dyDescent="0.3">
      <c r="B18" s="155"/>
      <c r="C18" s="136" t="s">
        <v>245</v>
      </c>
      <c r="D18" s="125">
        <v>150</v>
      </c>
      <c r="E18" s="136" t="s">
        <v>254</v>
      </c>
      <c r="F18" s="189" t="s">
        <v>53</v>
      </c>
      <c r="G18" s="137" t="s">
        <v>44</v>
      </c>
      <c r="H18" s="202">
        <v>0</v>
      </c>
      <c r="I18" s="159" t="s">
        <v>2</v>
      </c>
      <c r="J18" s="250"/>
      <c r="K18" s="157"/>
      <c r="L18" s="158"/>
      <c r="P18" s="18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customHeight="1" x14ac:dyDescent="0.3">
      <c r="B19" s="155"/>
      <c r="C19" s="136" t="s">
        <v>246</v>
      </c>
      <c r="D19" s="125">
        <v>0</v>
      </c>
      <c r="E19" s="136"/>
      <c r="F19" s="189" t="s">
        <v>50</v>
      </c>
      <c r="G19" s="137" t="s">
        <v>228</v>
      </c>
      <c r="H19" s="202">
        <v>0</v>
      </c>
      <c r="I19" s="159" t="s">
        <v>2</v>
      </c>
      <c r="J19" s="250"/>
      <c r="K19" s="157"/>
      <c r="L19" s="158"/>
      <c r="P19" s="18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customHeight="1" x14ac:dyDescent="0.3">
      <c r="B20" s="155"/>
      <c r="C20" s="157"/>
      <c r="D20" s="162"/>
      <c r="E20" s="136"/>
      <c r="F20" s="189" t="s">
        <v>51</v>
      </c>
      <c r="G20" s="137" t="s">
        <v>42</v>
      </c>
      <c r="H20" s="202">
        <v>0</v>
      </c>
      <c r="I20" s="159" t="s">
        <v>2</v>
      </c>
      <c r="J20" s="250"/>
      <c r="K20" s="157"/>
      <c r="L20" s="158"/>
      <c r="P20" s="18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customHeight="1" x14ac:dyDescent="0.3">
      <c r="B21" s="155"/>
      <c r="C21" s="191" t="s">
        <v>247</v>
      </c>
      <c r="D21" s="192">
        <v>0</v>
      </c>
      <c r="E21" s="136" t="s">
        <v>253</v>
      </c>
      <c r="F21" s="189" t="s">
        <v>54</v>
      </c>
      <c r="G21" s="137" t="s">
        <v>45</v>
      </c>
      <c r="H21" s="202">
        <v>0</v>
      </c>
      <c r="I21" s="159" t="s">
        <v>2</v>
      </c>
      <c r="J21" s="250"/>
      <c r="K21" s="157"/>
      <c r="L21" s="158"/>
      <c r="P21" s="18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customHeight="1" x14ac:dyDescent="0.3">
      <c r="B22" s="155"/>
      <c r="C22" s="191" t="s">
        <v>248</v>
      </c>
      <c r="D22" s="192">
        <v>600</v>
      </c>
      <c r="E22" s="136" t="s">
        <v>252</v>
      </c>
      <c r="F22" s="189" t="s">
        <v>52</v>
      </c>
      <c r="G22" s="137" t="s">
        <v>43</v>
      </c>
      <c r="H22" s="202">
        <v>0</v>
      </c>
      <c r="I22" s="159" t="s">
        <v>2</v>
      </c>
      <c r="J22" s="250"/>
      <c r="K22" s="157"/>
      <c r="L22" s="158"/>
      <c r="P22" s="18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customHeight="1" x14ac:dyDescent="0.3">
      <c r="B23" s="155"/>
      <c r="C23" s="157"/>
      <c r="D23" s="162"/>
      <c r="E23" s="136"/>
      <c r="F23" s="189" t="s">
        <v>55</v>
      </c>
      <c r="G23" s="137" t="s">
        <v>46</v>
      </c>
      <c r="H23" s="202">
        <v>0</v>
      </c>
      <c r="I23" s="159" t="s">
        <v>2</v>
      </c>
      <c r="J23" s="251"/>
      <c r="K23" s="157"/>
      <c r="L23" s="158"/>
      <c r="P23" s="18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2:34" x14ac:dyDescent="0.3">
      <c r="B24" s="155"/>
      <c r="C24" s="136" t="s">
        <v>249</v>
      </c>
      <c r="D24" s="194">
        <v>80</v>
      </c>
      <c r="E24" s="136" t="s">
        <v>252</v>
      </c>
      <c r="F24" s="157"/>
      <c r="G24" s="157"/>
      <c r="H24" s="157"/>
      <c r="I24" s="157"/>
      <c r="J24" s="157"/>
      <c r="K24" s="157"/>
      <c r="L24" s="158"/>
      <c r="P24" s="18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x14ac:dyDescent="0.3">
      <c r="B25" s="155"/>
      <c r="C25" s="136" t="s">
        <v>250</v>
      </c>
      <c r="D25" s="125">
        <v>1058</v>
      </c>
      <c r="E25" s="136" t="s">
        <v>252</v>
      </c>
      <c r="F25" s="157"/>
      <c r="G25" s="181" t="s">
        <v>344</v>
      </c>
      <c r="H25" s="163"/>
      <c r="I25" s="163"/>
      <c r="J25" s="157"/>
      <c r="K25" s="157"/>
      <c r="L25" s="158"/>
      <c r="P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x14ac:dyDescent="0.3">
      <c r="B26" s="155"/>
      <c r="C26" s="157"/>
      <c r="D26" s="164"/>
      <c r="E26" s="157"/>
      <c r="F26" s="157"/>
      <c r="G26" s="163"/>
      <c r="H26" s="163"/>
      <c r="I26" s="163"/>
      <c r="J26" s="157"/>
      <c r="K26" s="164"/>
      <c r="L26" s="165"/>
      <c r="M26" s="11"/>
      <c r="N26" s="11"/>
      <c r="O26" s="11"/>
      <c r="P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2:34" x14ac:dyDescent="0.3">
      <c r="B27" s="155"/>
      <c r="C27" s="156" t="s">
        <v>343</v>
      </c>
      <c r="D27" s="164"/>
      <c r="E27" s="157"/>
      <c r="F27" s="157"/>
      <c r="G27" s="182" t="s">
        <v>351</v>
      </c>
      <c r="H27" s="146">
        <f>'ASME PTC 22'!F182</f>
        <v>0.95937997858312785</v>
      </c>
      <c r="I27" s="163"/>
      <c r="J27" s="157"/>
      <c r="K27" s="164"/>
      <c r="L27" s="165"/>
      <c r="M27" s="11"/>
      <c r="N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x14ac:dyDescent="0.3">
      <c r="B28" s="155"/>
      <c r="C28" s="136" t="s">
        <v>256</v>
      </c>
      <c r="D28" s="145">
        <v>158.637</v>
      </c>
      <c r="E28" s="136" t="s">
        <v>168</v>
      </c>
      <c r="F28" s="157"/>
      <c r="G28" s="182" t="s">
        <v>352</v>
      </c>
      <c r="H28" s="146">
        <f>'ASME PTC 22'!F183</f>
        <v>2.6333903697947268E-2</v>
      </c>
      <c r="I28" s="184" t="s">
        <v>353</v>
      </c>
      <c r="J28" s="157"/>
      <c r="K28" s="164"/>
      <c r="L28" s="165"/>
      <c r="M28" s="11"/>
      <c r="N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x14ac:dyDescent="0.3">
      <c r="B29" s="155"/>
      <c r="C29" s="136" t="s">
        <v>257</v>
      </c>
      <c r="D29" s="145">
        <v>0</v>
      </c>
      <c r="E29" s="136" t="s">
        <v>168</v>
      </c>
      <c r="F29" s="157"/>
      <c r="G29" s="183"/>
      <c r="H29" s="163"/>
      <c r="I29" s="185"/>
      <c r="J29" s="157"/>
      <c r="K29" s="164"/>
      <c r="L29" s="165"/>
      <c r="M29" s="11"/>
      <c r="S29" s="11" t="s">
        <v>348</v>
      </c>
      <c r="T29" s="66">
        <f>H30*D13/1000000</f>
        <v>1611.2967893101861</v>
      </c>
      <c r="U29" s="131" t="s">
        <v>263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x14ac:dyDescent="0.3">
      <c r="B30" s="155"/>
      <c r="C30" s="191" t="s">
        <v>258</v>
      </c>
      <c r="D30" s="193">
        <v>0</v>
      </c>
      <c r="E30" s="136" t="s">
        <v>168</v>
      </c>
      <c r="F30" s="157"/>
      <c r="G30" s="182" t="s">
        <v>355</v>
      </c>
      <c r="H30" s="144">
        <f>'ASME PTC 22'!$G$134</f>
        <v>20822.563175795305</v>
      </c>
      <c r="I30" s="184" t="s">
        <v>346</v>
      </c>
      <c r="J30" s="199">
        <f>'ASME PTC 22'!E420</f>
        <v>11575.825078630356</v>
      </c>
      <c r="K30" s="200" t="s">
        <v>369</v>
      </c>
      <c r="L30" s="165"/>
      <c r="M30" s="11"/>
      <c r="S30" s="11" t="s">
        <v>349</v>
      </c>
      <c r="T30" s="71" t="e">
        <f ca="1">H32</f>
        <v>#NAME?</v>
      </c>
      <c r="U30" s="18" t="s">
        <v>263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x14ac:dyDescent="0.3">
      <c r="B31" s="155"/>
      <c r="C31" s="191" t="s">
        <v>259</v>
      </c>
      <c r="D31" s="193">
        <v>0</v>
      </c>
      <c r="E31" s="136" t="s">
        <v>263</v>
      </c>
      <c r="F31" s="157"/>
      <c r="G31" s="182" t="s">
        <v>354</v>
      </c>
      <c r="H31" s="144" t="e">
        <f ca="1">'ASME PTC 22'!D143</f>
        <v>#NAME?</v>
      </c>
      <c r="I31" s="186" t="s">
        <v>187</v>
      </c>
      <c r="J31" s="199" t="e">
        <f ca="1">'ASME PTC 22'!F143/1000</f>
        <v>#NAME?</v>
      </c>
      <c r="K31" s="200" t="s">
        <v>368</v>
      </c>
      <c r="L31" s="165"/>
      <c r="M31" s="11"/>
      <c r="S31" s="11" t="s">
        <v>350</v>
      </c>
      <c r="T31" s="66" t="e">
        <f ca="1">T30/T29*100</f>
        <v>#NAME?</v>
      </c>
      <c r="U31" s="18" t="s">
        <v>2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x14ac:dyDescent="0.3">
      <c r="B32" s="155"/>
      <c r="C32" s="191" t="s">
        <v>260</v>
      </c>
      <c r="D32" s="193">
        <v>0</v>
      </c>
      <c r="E32" s="136" t="s">
        <v>263</v>
      </c>
      <c r="F32" s="157"/>
      <c r="G32" s="182" t="s">
        <v>367</v>
      </c>
      <c r="H32" s="144" t="e">
        <f ca="1">'ASME PTC 22'!E171</f>
        <v>#NAME?</v>
      </c>
      <c r="I32" s="184" t="s">
        <v>264</v>
      </c>
      <c r="J32" s="199" t="e">
        <f ca="1">'ASME PTC 22'!F144</f>
        <v>#NAME?</v>
      </c>
      <c r="K32" s="200" t="s">
        <v>34</v>
      </c>
      <c r="L32" s="165"/>
      <c r="M32" s="11"/>
      <c r="N32" s="11"/>
      <c r="Q32" s="18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x14ac:dyDescent="0.3">
      <c r="B33" s="155"/>
      <c r="C33" s="157"/>
      <c r="D33" s="164"/>
      <c r="E33" s="157"/>
      <c r="F33" s="157"/>
      <c r="G33" s="179"/>
      <c r="H33" s="163"/>
      <c r="I33" s="163"/>
      <c r="J33" s="157"/>
      <c r="K33" s="164"/>
      <c r="L33" s="165"/>
      <c r="M33" s="11"/>
      <c r="N33" s="11"/>
      <c r="Q33" s="18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x14ac:dyDescent="0.3">
      <c r="B34" s="155"/>
      <c r="C34" s="157"/>
      <c r="D34" s="157"/>
      <c r="E34" s="157"/>
      <c r="F34" s="157"/>
      <c r="G34" s="157"/>
      <c r="H34" s="157"/>
      <c r="I34" s="157"/>
      <c r="J34" s="157"/>
      <c r="K34" s="164"/>
      <c r="L34" s="165"/>
      <c r="M34" s="11"/>
      <c r="N34" s="11"/>
      <c r="Q34" s="18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x14ac:dyDescent="0.3">
      <c r="B35" s="174"/>
      <c r="C35" s="175"/>
      <c r="D35" s="176"/>
      <c r="E35" s="176"/>
      <c r="F35" s="176"/>
      <c r="G35" s="175"/>
      <c r="H35" s="177"/>
      <c r="I35" s="177"/>
      <c r="J35" s="177"/>
      <c r="K35" s="198"/>
      <c r="L35" s="178"/>
      <c r="M35" s="11"/>
      <c r="N35" s="11"/>
      <c r="Q35" s="18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27.6" x14ac:dyDescent="0.3">
      <c r="B36" s="166"/>
      <c r="C36" s="167" t="s">
        <v>344</v>
      </c>
      <c r="D36" s="168"/>
      <c r="E36" s="168"/>
      <c r="F36" s="168"/>
      <c r="G36" s="167" t="s">
        <v>347</v>
      </c>
      <c r="H36" s="169" t="s">
        <v>275</v>
      </c>
      <c r="I36" s="169" t="s">
        <v>276</v>
      </c>
      <c r="J36" s="169" t="s">
        <v>277</v>
      </c>
      <c r="K36" s="172"/>
      <c r="L36" s="170"/>
      <c r="M36" s="11"/>
      <c r="N36" s="11"/>
      <c r="O36" s="134"/>
      <c r="P36" s="11"/>
      <c r="Q36" s="18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x14ac:dyDescent="0.3">
      <c r="B37" s="166"/>
      <c r="C37" s="168"/>
      <c r="D37" s="138"/>
      <c r="E37" s="168"/>
      <c r="F37" s="168"/>
      <c r="G37" s="168"/>
      <c r="H37" s="168"/>
      <c r="I37" s="168"/>
      <c r="J37" s="168"/>
      <c r="K37" s="172"/>
      <c r="L37" s="170"/>
      <c r="M37" s="11"/>
      <c r="N37" s="11"/>
      <c r="O37" s="11"/>
      <c r="P37" s="11"/>
      <c r="Q37" s="18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x14ac:dyDescent="0.3">
      <c r="B38" s="166"/>
      <c r="C38" s="139" t="s">
        <v>356</v>
      </c>
      <c r="D38" s="147">
        <f>'ASME PTC 22'!$G$134</f>
        <v>20822.563175795305</v>
      </c>
      <c r="E38" s="171" t="s">
        <v>346</v>
      </c>
      <c r="F38" s="168"/>
      <c r="G38" s="172" t="s">
        <v>266</v>
      </c>
      <c r="H38" s="151" t="e">
        <f ca="1">'ASME PTC 22'!$D$151</f>
        <v>#NAME?</v>
      </c>
      <c r="I38" s="140"/>
      <c r="J38" s="140"/>
      <c r="K38" s="172"/>
      <c r="L38" s="170"/>
      <c r="M38" s="62"/>
      <c r="N38" s="62" t="s">
        <v>278</v>
      </c>
      <c r="O38" s="62"/>
      <c r="P38" s="62"/>
      <c r="Q38" s="133" t="s">
        <v>279</v>
      </c>
      <c r="R38" s="135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x14ac:dyDescent="0.3">
      <c r="B39" s="166"/>
      <c r="C39" s="168"/>
      <c r="D39" s="172"/>
      <c r="E39" s="168"/>
      <c r="F39" s="168"/>
      <c r="G39" s="172"/>
      <c r="H39" s="140"/>
      <c r="I39" s="140"/>
      <c r="J39" s="140"/>
      <c r="K39" s="172"/>
      <c r="L39" s="170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x14ac:dyDescent="0.3">
      <c r="B40" s="166"/>
      <c r="C40" s="139" t="s">
        <v>214</v>
      </c>
      <c r="D40" s="147">
        <f>'ASME PTC 22'!$D$223</f>
        <v>9315.1737915160757</v>
      </c>
      <c r="E40" s="171" t="s">
        <v>149</v>
      </c>
      <c r="F40" s="168"/>
      <c r="G40" s="172" t="s">
        <v>267</v>
      </c>
      <c r="H40" s="151" t="e">
        <f>'ASME PTC 22'!$D$153</f>
        <v>#NAME?</v>
      </c>
      <c r="I40" s="151">
        <f>'ASME PTC 22'!E153</f>
        <v>0</v>
      </c>
      <c r="J40" s="151" t="e">
        <f>'ASME PTC 22'!F153</f>
        <v>#NAME?</v>
      </c>
      <c r="K40" s="172"/>
      <c r="L40" s="170"/>
      <c r="M40" s="18"/>
      <c r="N40" s="18" t="s">
        <v>30</v>
      </c>
      <c r="O40" s="132" t="e">
        <f ca="1">'ASME PTC 22'!I152</f>
        <v>#NAME?</v>
      </c>
      <c r="P40" s="18" t="s">
        <v>2</v>
      </c>
      <c r="Q40" s="127" t="s">
        <v>30</v>
      </c>
      <c r="R40" s="132" t="e">
        <f ca="1">'ASME PTC 22'!I160</f>
        <v>#NAME?</v>
      </c>
      <c r="S40" s="18" t="s">
        <v>2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x14ac:dyDescent="0.3">
      <c r="B41" s="166"/>
      <c r="C41" s="139" t="s">
        <v>215</v>
      </c>
      <c r="D41" s="148">
        <f>'ASME PTC 22'!$D$224</f>
        <v>28.965115935299998</v>
      </c>
      <c r="E41" s="171" t="s">
        <v>314</v>
      </c>
      <c r="F41" s="168"/>
      <c r="G41" s="172" t="s">
        <v>295</v>
      </c>
      <c r="H41" s="151">
        <f>'ASME PTC 22'!$D$154</f>
        <v>77382.25</v>
      </c>
      <c r="I41" s="151">
        <f>'ASME PTC 22'!E154</f>
        <v>20822.563175795305</v>
      </c>
      <c r="J41" s="151">
        <f>'ASME PTC 22'!F154</f>
        <v>1611.2967893101861</v>
      </c>
      <c r="K41" s="172"/>
      <c r="L41" s="170"/>
      <c r="M41" s="18"/>
      <c r="N41" s="18" t="s">
        <v>52</v>
      </c>
      <c r="O41" s="132" t="e">
        <f ca="1">'ASME PTC 22'!I153</f>
        <v>#NAME?</v>
      </c>
      <c r="P41" s="18" t="s">
        <v>2</v>
      </c>
      <c r="Q41" s="127" t="s">
        <v>52</v>
      </c>
      <c r="R41" s="132" t="e">
        <f ca="1">'ASME PTC 22'!I161</f>
        <v>#NAME?</v>
      </c>
      <c r="S41" s="18" t="s">
        <v>2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x14ac:dyDescent="0.3">
      <c r="B42" s="166"/>
      <c r="C42" s="139" t="s">
        <v>216</v>
      </c>
      <c r="D42" s="149">
        <f>'ASME PTC 22'!$D$225</f>
        <v>0.209476</v>
      </c>
      <c r="E42" s="171"/>
      <c r="F42" s="168"/>
      <c r="G42" s="172" t="s">
        <v>268</v>
      </c>
      <c r="H42" s="151">
        <f>'ASME PTC 22'!$D$155</f>
        <v>0</v>
      </c>
      <c r="I42" s="151" t="e">
        <f ca="1">'ASME PTC 22'!E155</f>
        <v>#NAME?</v>
      </c>
      <c r="J42" s="151" t="e">
        <f ca="1">'ASME PTC 22'!F155</f>
        <v>#NAME?</v>
      </c>
      <c r="K42" s="172"/>
      <c r="L42" s="170"/>
      <c r="M42" s="18"/>
      <c r="N42" s="18" t="s">
        <v>31</v>
      </c>
      <c r="O42" s="132" t="e">
        <f ca="1">'ASME PTC 22'!I154</f>
        <v>#NAME?</v>
      </c>
      <c r="P42" s="18" t="s">
        <v>2</v>
      </c>
      <c r="Q42" s="127" t="s">
        <v>31</v>
      </c>
      <c r="R42" s="132" t="e">
        <f ca="1">'ASME PTC 22'!I162</f>
        <v>#NAME?</v>
      </c>
      <c r="S42" s="18" t="s">
        <v>2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x14ac:dyDescent="0.3">
      <c r="B43" s="166"/>
      <c r="C43" s="139" t="s">
        <v>334</v>
      </c>
      <c r="D43" s="147">
        <f>'ASME PTC 22'!$D$226</f>
        <v>1288050.5243072473</v>
      </c>
      <c r="E43" s="171" t="s">
        <v>187</v>
      </c>
      <c r="F43" s="168"/>
      <c r="G43" s="172" t="s">
        <v>269</v>
      </c>
      <c r="H43" s="151">
        <f>'ASME PTC 22'!$D$156</f>
        <v>0</v>
      </c>
      <c r="I43" s="151" t="e">
        <f ca="1">'ASME PTC 22'!E156</f>
        <v>#NAME?</v>
      </c>
      <c r="J43" s="151" t="e">
        <f ca="1">'ASME PTC 22'!F156</f>
        <v>#NAME?</v>
      </c>
      <c r="K43" s="172"/>
      <c r="L43" s="170"/>
      <c r="M43" s="18"/>
      <c r="N43" s="18" t="s">
        <v>53</v>
      </c>
      <c r="O43" s="132" t="e">
        <f ca="1">'ASME PTC 22'!I155</f>
        <v>#NAME?</v>
      </c>
      <c r="P43" s="18" t="s">
        <v>2</v>
      </c>
      <c r="Q43" s="127" t="s">
        <v>55</v>
      </c>
      <c r="R43" s="132" t="e">
        <f ca="1">'ASME PTC 22'!I163</f>
        <v>#NAME?</v>
      </c>
      <c r="S43" s="18" t="s">
        <v>2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x14ac:dyDescent="0.3">
      <c r="B44" s="166"/>
      <c r="C44" s="139" t="s">
        <v>217</v>
      </c>
      <c r="D44" s="149">
        <f>'ASME PTC 22'!$D$227</f>
        <v>2.6333903697947268E-2</v>
      </c>
      <c r="E44" s="171" t="s">
        <v>315</v>
      </c>
      <c r="F44" s="168"/>
      <c r="G44" s="172"/>
      <c r="H44" s="140"/>
      <c r="I44" s="140"/>
      <c r="J44" s="140"/>
      <c r="K44" s="172"/>
      <c r="L44" s="170"/>
      <c r="M44" s="18"/>
      <c r="N44" s="18" t="s">
        <v>55</v>
      </c>
      <c r="O44" s="132" t="e">
        <f ca="1">'ASME PTC 22'!I156</f>
        <v>#NAME?</v>
      </c>
      <c r="P44" s="18" t="s">
        <v>2</v>
      </c>
      <c r="Q44" s="127" t="s">
        <v>166</v>
      </c>
      <c r="R44" s="132">
        <f>'ASME PTC 22'!I164</f>
        <v>0</v>
      </c>
      <c r="S44" s="18" t="s">
        <v>2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x14ac:dyDescent="0.3">
      <c r="B45" s="166"/>
      <c r="C45" s="139" t="s">
        <v>218</v>
      </c>
      <c r="D45" s="147" t="e">
        <f>'ASME PTC 22'!$D$228</f>
        <v>#NAME?</v>
      </c>
      <c r="E45" s="171" t="s">
        <v>187</v>
      </c>
      <c r="F45" s="168"/>
      <c r="G45" s="172" t="s">
        <v>270</v>
      </c>
      <c r="H45" s="151" t="e">
        <f>'ASME PTC 22'!$D$158</f>
        <v>#NAME?</v>
      </c>
      <c r="I45" s="151" t="e">
        <f>'ASME PTC 22'!E158</f>
        <v>#NAME?</v>
      </c>
      <c r="J45" s="151" t="e">
        <f>'ASME PTC 22'!F158</f>
        <v>#NAME?</v>
      </c>
      <c r="K45" s="168"/>
      <c r="L45" s="173"/>
      <c r="M45" s="18"/>
      <c r="N45" s="18" t="s">
        <v>166</v>
      </c>
      <c r="O45" s="132" t="e">
        <f ca="1">'ASME PTC 22'!I157</f>
        <v>#NAME?</v>
      </c>
      <c r="P45" s="18" t="s">
        <v>2</v>
      </c>
      <c r="Q45" s="18"/>
      <c r="R45" s="11"/>
      <c r="S45" s="11"/>
    </row>
    <row r="46" spans="2:34" x14ac:dyDescent="0.3">
      <c r="B46" s="166"/>
      <c r="C46" s="171"/>
      <c r="D46" s="172"/>
      <c r="E46" s="171"/>
      <c r="F46" s="168"/>
      <c r="G46" s="172"/>
      <c r="H46" s="140"/>
      <c r="I46" s="140"/>
      <c r="J46" s="140"/>
      <c r="K46" s="168"/>
      <c r="L46" s="173"/>
    </row>
    <row r="47" spans="2:34" x14ac:dyDescent="0.3">
      <c r="B47" s="166"/>
      <c r="C47" s="139" t="s">
        <v>219</v>
      </c>
      <c r="D47" s="147" t="e">
        <f ca="1">'ASME PTC 22'!$D$230</f>
        <v>#NAME?</v>
      </c>
      <c r="E47" s="171" t="s">
        <v>187</v>
      </c>
      <c r="F47" s="168"/>
      <c r="G47" s="172" t="s">
        <v>271</v>
      </c>
      <c r="H47" s="140"/>
      <c r="I47" s="140"/>
      <c r="J47" s="151">
        <f>'ASME PTC 22'!F160</f>
        <v>-541.29184354440008</v>
      </c>
      <c r="K47" s="168"/>
      <c r="L47" s="173"/>
    </row>
    <row r="48" spans="2:34" x14ac:dyDescent="0.3">
      <c r="B48" s="166"/>
      <c r="C48" s="139" t="s">
        <v>220</v>
      </c>
      <c r="D48" s="147">
        <f>'ASME PTC 22'!$D$231</f>
        <v>0</v>
      </c>
      <c r="E48" s="171" t="s">
        <v>187</v>
      </c>
      <c r="F48" s="168"/>
      <c r="G48" s="172" t="s">
        <v>272</v>
      </c>
      <c r="H48" s="140"/>
      <c r="I48" s="140"/>
      <c r="J48" s="151">
        <f>'ASME PTC 22'!F161</f>
        <v>0</v>
      </c>
      <c r="K48" s="168"/>
      <c r="L48" s="173"/>
    </row>
    <row r="49" spans="2:19" x14ac:dyDescent="0.3">
      <c r="B49" s="166"/>
      <c r="C49" s="139" t="s">
        <v>221</v>
      </c>
      <c r="D49" s="147" t="e">
        <f ca="1">'ASME PTC 22'!$D$232</f>
        <v>#NAME?</v>
      </c>
      <c r="E49" s="171" t="s">
        <v>187</v>
      </c>
      <c r="F49" s="168"/>
      <c r="G49" s="172"/>
      <c r="H49" s="140"/>
      <c r="I49" s="140"/>
      <c r="J49" s="140"/>
      <c r="K49" s="168"/>
      <c r="L49" s="173"/>
    </row>
    <row r="50" spans="2:19" x14ac:dyDescent="0.3">
      <c r="B50" s="166"/>
      <c r="C50" s="139" t="s">
        <v>222</v>
      </c>
      <c r="D50" s="147" t="e">
        <f>'ASME PTC 22'!$D$233</f>
        <v>#NAME?</v>
      </c>
      <c r="E50" s="171" t="s">
        <v>187</v>
      </c>
      <c r="F50" s="168"/>
      <c r="G50" s="172" t="s">
        <v>358</v>
      </c>
      <c r="H50" s="141"/>
      <c r="I50" s="141"/>
      <c r="J50" s="151" t="e">
        <f>'ASME PTC 22'!F163</f>
        <v>#NAME?</v>
      </c>
      <c r="K50" s="168"/>
      <c r="L50" s="173"/>
    </row>
    <row r="51" spans="2:19" x14ac:dyDescent="0.3">
      <c r="B51" s="166"/>
      <c r="C51" s="171"/>
      <c r="D51" s="142"/>
      <c r="E51" s="171"/>
      <c r="F51" s="168"/>
      <c r="G51" s="172" t="s">
        <v>282</v>
      </c>
      <c r="H51" s="141"/>
      <c r="I51" s="151" t="e">
        <f ca="1">'ASME PTC 22'!E164</f>
        <v>#NAME?</v>
      </c>
      <c r="J51" s="141"/>
      <c r="K51" s="168"/>
      <c r="L51" s="173"/>
    </row>
    <row r="52" spans="2:19" x14ac:dyDescent="0.3">
      <c r="B52" s="166"/>
      <c r="C52" s="139" t="s">
        <v>223</v>
      </c>
      <c r="D52" s="150">
        <f>'ASME PTC 22'!$D$235</f>
        <v>77382.25</v>
      </c>
      <c r="E52" s="171" t="s">
        <v>187</v>
      </c>
      <c r="F52" s="168"/>
      <c r="G52" s="172" t="s">
        <v>283</v>
      </c>
      <c r="H52" s="151" t="e">
        <f ca="1">'ASME PTC 22'!D165</f>
        <v>#NAME?</v>
      </c>
      <c r="I52" s="141"/>
      <c r="J52" s="141"/>
      <c r="K52" s="168"/>
      <c r="L52" s="173"/>
    </row>
    <row r="53" spans="2:19" x14ac:dyDescent="0.3">
      <c r="B53" s="166"/>
      <c r="C53" s="139" t="s">
        <v>224</v>
      </c>
      <c r="D53" s="151">
        <f>'ASME PTC 22'!$D$236</f>
        <v>0</v>
      </c>
      <c r="E53" s="171" t="s">
        <v>187</v>
      </c>
      <c r="F53" s="168"/>
      <c r="G53" s="172"/>
      <c r="H53" s="140"/>
      <c r="I53" s="140"/>
      <c r="J53" s="140"/>
      <c r="K53" s="168"/>
      <c r="L53" s="173"/>
    </row>
    <row r="54" spans="2:19" x14ac:dyDescent="0.3">
      <c r="B54" s="166"/>
      <c r="C54" s="139" t="s">
        <v>225</v>
      </c>
      <c r="D54" s="151" t="e">
        <f>'ASME PTC 22'!$D$237</f>
        <v>#NAME?</v>
      </c>
      <c r="E54" s="171" t="s">
        <v>187</v>
      </c>
      <c r="F54" s="168"/>
      <c r="G54" s="172"/>
      <c r="H54" s="140"/>
      <c r="I54" s="140"/>
      <c r="J54" s="140"/>
      <c r="K54" s="168"/>
      <c r="L54" s="173"/>
      <c r="R54" s="134">
        <v>190600</v>
      </c>
      <c r="S54" s="124" t="s">
        <v>148</v>
      </c>
    </row>
    <row r="55" spans="2:19" x14ac:dyDescent="0.3">
      <c r="B55" s="166"/>
      <c r="C55" s="171"/>
      <c r="D55" s="143"/>
      <c r="E55" s="171"/>
      <c r="F55" s="168"/>
      <c r="G55" s="172" t="s">
        <v>273</v>
      </c>
      <c r="H55" s="151" t="e">
        <f ca="1">'ASME PTC 22'!D168</f>
        <v>#NAME?</v>
      </c>
      <c r="I55" s="151" t="e">
        <f ca="1">'ASME PTC 22'!E168</f>
        <v>#NAME?</v>
      </c>
      <c r="J55" s="151" t="e">
        <f ca="1">'ASME PTC 22'!F168</f>
        <v>#NAME?</v>
      </c>
      <c r="K55" s="168"/>
      <c r="L55" s="173"/>
      <c r="R55" s="134">
        <v>130.4</v>
      </c>
      <c r="S55" s="124" t="s">
        <v>362</v>
      </c>
    </row>
    <row r="56" spans="2:19" x14ac:dyDescent="0.3">
      <c r="B56" s="166"/>
      <c r="C56" s="139" t="s">
        <v>345</v>
      </c>
      <c r="D56" s="151" t="e">
        <f ca="1">'ASME PTC 22'!$D$239</f>
        <v>#NAME?</v>
      </c>
      <c r="E56" s="171" t="s">
        <v>187</v>
      </c>
      <c r="F56" s="168"/>
      <c r="G56" s="172" t="s">
        <v>274</v>
      </c>
      <c r="H56" s="151" t="e">
        <f ca="1">'ASME PTC 22'!D169</f>
        <v>#NAME?</v>
      </c>
      <c r="I56" s="151" t="e">
        <f ca="1">'ASME PTC 22'!E169</f>
        <v>#NAME?</v>
      </c>
      <c r="J56" s="151" t="e">
        <f ca="1">'ASME PTC 22'!F169</f>
        <v>#NAME?</v>
      </c>
      <c r="K56" s="168"/>
      <c r="L56" s="173"/>
      <c r="R56" s="134">
        <v>557.79999999999995</v>
      </c>
      <c r="S56" s="124" t="s">
        <v>32</v>
      </c>
    </row>
    <row r="57" spans="2:19" x14ac:dyDescent="0.3">
      <c r="B57" s="166"/>
      <c r="C57" s="168"/>
      <c r="D57" s="168"/>
      <c r="E57" s="168"/>
      <c r="F57" s="168"/>
      <c r="G57" s="172"/>
      <c r="H57" s="140"/>
      <c r="I57" s="140"/>
      <c r="J57" s="140"/>
      <c r="K57" s="168"/>
      <c r="L57" s="173"/>
      <c r="Q57" s="190"/>
      <c r="R57" s="134" t="e">
        <f ca="1">_xll.StmPTH(R55,R56,1)</f>
        <v>#NAME?</v>
      </c>
      <c r="S57" s="124" t="s">
        <v>34</v>
      </c>
    </row>
    <row r="58" spans="2:19" ht="20.100000000000001" customHeight="1" x14ac:dyDescent="0.3">
      <c r="B58" s="166"/>
      <c r="C58" s="168"/>
      <c r="D58" s="168"/>
      <c r="E58" s="168"/>
      <c r="F58" s="168"/>
      <c r="G58" s="187" t="s">
        <v>357</v>
      </c>
      <c r="H58" s="144" t="e">
        <f ca="1">'ASME PTC 22'!D171</f>
        <v>#NAME?</v>
      </c>
      <c r="I58" s="144" t="e">
        <f ca="1">'ASME PTC 22'!E171</f>
        <v>#NAME?</v>
      </c>
      <c r="J58" s="144" t="e">
        <f ca="1">'ASME PTC 22'!F171</f>
        <v>#NAME?</v>
      </c>
      <c r="K58" s="168"/>
      <c r="L58" s="173"/>
      <c r="R58" s="134" t="e">
        <f ca="1">R54*R57</f>
        <v>#NAME?</v>
      </c>
      <c r="S58" s="124" t="s">
        <v>363</v>
      </c>
    </row>
    <row r="59" spans="2:19" x14ac:dyDescent="0.3">
      <c r="B59" s="166"/>
      <c r="C59" s="168"/>
      <c r="D59" s="168"/>
      <c r="E59" s="168"/>
      <c r="F59" s="168"/>
      <c r="G59" s="168"/>
      <c r="H59" s="168"/>
      <c r="I59" s="168"/>
      <c r="J59" s="168"/>
      <c r="K59" s="168"/>
      <c r="L59" s="173"/>
      <c r="R59" s="134" t="e">
        <f ca="1">R58/1000</f>
        <v>#NAME?</v>
      </c>
      <c r="S59" s="124" t="s">
        <v>360</v>
      </c>
    </row>
    <row r="60" spans="2:19" x14ac:dyDescent="0.3">
      <c r="B60" s="217"/>
      <c r="C60" s="218"/>
      <c r="D60" s="218"/>
      <c r="E60" s="218"/>
      <c r="F60" s="218"/>
      <c r="G60" s="218"/>
      <c r="H60" s="218"/>
      <c r="I60" s="218"/>
      <c r="J60" s="218"/>
      <c r="K60" s="218"/>
      <c r="L60" s="219"/>
      <c r="R60" s="134" t="e">
        <f ca="1">R59/3600</f>
        <v>#NAME?</v>
      </c>
      <c r="S60" s="124" t="s">
        <v>361</v>
      </c>
    </row>
    <row r="61" spans="2:19" x14ac:dyDescent="0.3">
      <c r="B61" s="220"/>
      <c r="C61" s="206"/>
      <c r="D61" s="206"/>
      <c r="E61" s="206"/>
      <c r="F61" s="206"/>
      <c r="G61" s="206"/>
      <c r="H61" s="206"/>
      <c r="I61" s="206"/>
      <c r="J61" s="206"/>
      <c r="K61" s="206"/>
      <c r="L61" s="221"/>
      <c r="R61" s="134" t="e">
        <f ca="1">R60</f>
        <v>#NAME?</v>
      </c>
      <c r="S61" s="124" t="s">
        <v>168</v>
      </c>
    </row>
    <row r="62" spans="2:19" x14ac:dyDescent="0.3">
      <c r="B62" s="220"/>
      <c r="C62" s="206"/>
      <c r="D62" s="206"/>
      <c r="E62" s="206"/>
      <c r="F62" s="206"/>
      <c r="G62" s="206"/>
      <c r="H62" s="207">
        <f>D14</f>
        <v>80.599999999999994</v>
      </c>
      <c r="I62" s="208" t="s">
        <v>252</v>
      </c>
      <c r="J62" s="206"/>
      <c r="K62" s="206"/>
      <c r="L62" s="221"/>
      <c r="R62" s="134"/>
    </row>
    <row r="63" spans="2:19" x14ac:dyDescent="0.3">
      <c r="B63" s="220"/>
      <c r="C63" s="209" t="str">
        <f t="shared" ref="C63:C79" si="0">G7</f>
        <v>Methane</v>
      </c>
      <c r="D63" s="210">
        <f t="shared" ref="D63:D79" si="1">H7</f>
        <v>91.025999999999996</v>
      </c>
      <c r="E63" s="211" t="s">
        <v>2</v>
      </c>
      <c r="F63" s="206"/>
      <c r="G63" s="206"/>
      <c r="H63" s="207">
        <f>D13/1000</f>
        <v>77.382249999999999</v>
      </c>
      <c r="I63" s="208" t="s">
        <v>371</v>
      </c>
      <c r="J63" s="206"/>
      <c r="K63" s="206"/>
      <c r="L63" s="221"/>
      <c r="R63" s="134"/>
    </row>
    <row r="64" spans="2:19" x14ac:dyDescent="0.3">
      <c r="B64" s="220"/>
      <c r="C64" s="209" t="str">
        <f t="shared" si="0"/>
        <v>Ethane</v>
      </c>
      <c r="D64" s="210">
        <f t="shared" si="1"/>
        <v>6.5330000000000004</v>
      </c>
      <c r="E64" s="211" t="s">
        <v>2</v>
      </c>
      <c r="F64" s="206"/>
      <c r="G64" s="206"/>
      <c r="H64" s="207"/>
      <c r="I64" s="208"/>
      <c r="J64" s="206"/>
      <c r="K64" s="206"/>
      <c r="L64" s="221"/>
      <c r="R64" s="134"/>
    </row>
    <row r="65" spans="2:19" x14ac:dyDescent="0.3">
      <c r="B65" s="220"/>
      <c r="C65" s="209" t="str">
        <f t="shared" si="0"/>
        <v>Propane</v>
      </c>
      <c r="D65" s="210">
        <f t="shared" si="1"/>
        <v>1.1000000000000001</v>
      </c>
      <c r="E65" s="211" t="s">
        <v>2</v>
      </c>
      <c r="F65" s="206"/>
      <c r="G65" s="206"/>
      <c r="H65" s="229">
        <f>(H62-32)*(5/9)</f>
        <v>26.999999999999996</v>
      </c>
      <c r="I65" s="204" t="s">
        <v>32</v>
      </c>
      <c r="J65" s="206"/>
      <c r="K65" s="206"/>
      <c r="L65" s="221"/>
      <c r="O65" s="232" t="s">
        <v>375</v>
      </c>
      <c r="P65" s="232"/>
      <c r="Q65" s="232"/>
      <c r="R65" s="233" t="s">
        <v>376</v>
      </c>
    </row>
    <row r="66" spans="2:19" x14ac:dyDescent="0.3">
      <c r="B66" s="220"/>
      <c r="C66" s="209" t="str">
        <f t="shared" si="0"/>
        <v>I-Butane</v>
      </c>
      <c r="D66" s="210">
        <f t="shared" si="1"/>
        <v>8.1000000000000003E-2</v>
      </c>
      <c r="E66" s="211" t="s">
        <v>2</v>
      </c>
      <c r="F66" s="206"/>
      <c r="G66" s="206"/>
      <c r="H66" s="229">
        <f>H63*0.453592</f>
        <v>35.099969541999997</v>
      </c>
      <c r="I66" s="230" t="s">
        <v>368</v>
      </c>
      <c r="J66" s="206"/>
      <c r="K66" s="206"/>
      <c r="L66" s="221"/>
      <c r="R66" s="134"/>
    </row>
    <row r="67" spans="2:19" x14ac:dyDescent="0.3">
      <c r="B67" s="220"/>
      <c r="C67" s="209" t="str">
        <f t="shared" si="0"/>
        <v>N-Butane</v>
      </c>
      <c r="D67" s="210">
        <f t="shared" si="1"/>
        <v>0.08</v>
      </c>
      <c r="E67" s="211" t="s">
        <v>2</v>
      </c>
      <c r="F67" s="212">
        <f>D7</f>
        <v>14.663029999999999</v>
      </c>
      <c r="G67" s="208" t="s">
        <v>251</v>
      </c>
      <c r="H67" s="229"/>
      <c r="I67" s="230"/>
      <c r="J67" s="206"/>
      <c r="K67" s="206"/>
      <c r="L67" s="221"/>
      <c r="O67" s="134">
        <f>H66*1000</f>
        <v>35099.969541999999</v>
      </c>
      <c r="P67" s="124" t="s">
        <v>148</v>
      </c>
      <c r="R67" s="134" t="e">
        <f ca="1">'ASME PTC 22'!F143</f>
        <v>#NAME?</v>
      </c>
      <c r="S67" s="124" t="s">
        <v>148</v>
      </c>
    </row>
    <row r="68" spans="2:19" x14ac:dyDescent="0.3">
      <c r="B68" s="220"/>
      <c r="C68" s="209" t="str">
        <f t="shared" si="0"/>
        <v>I-Petane</v>
      </c>
      <c r="D68" s="210">
        <f t="shared" si="1"/>
        <v>2.7E-2</v>
      </c>
      <c r="E68" s="211" t="s">
        <v>2</v>
      </c>
      <c r="F68" s="212">
        <f>D8</f>
        <v>88.682000000000002</v>
      </c>
      <c r="G68" s="208" t="s">
        <v>252</v>
      </c>
      <c r="H68" s="206"/>
      <c r="I68" s="206"/>
      <c r="J68" s="206"/>
      <c r="K68" s="206"/>
      <c r="L68" s="221"/>
      <c r="O68" s="134">
        <f>'ASME PTC 22'!E420</f>
        <v>11575.825078630356</v>
      </c>
      <c r="P68" s="124" t="s">
        <v>369</v>
      </c>
    </row>
    <row r="69" spans="2:19" x14ac:dyDescent="0.3">
      <c r="B69" s="220"/>
      <c r="C69" s="209" t="str">
        <f t="shared" si="0"/>
        <v>N-Petane</v>
      </c>
      <c r="D69" s="210">
        <f t="shared" si="1"/>
        <v>2.1999999999999999E-2</v>
      </c>
      <c r="E69" s="211" t="s">
        <v>2</v>
      </c>
      <c r="F69" s="212" t="e">
        <f ca="1">D47/1000</f>
        <v>#NAME?</v>
      </c>
      <c r="G69" s="208" t="s">
        <v>371</v>
      </c>
      <c r="H69" s="206"/>
      <c r="I69" s="206"/>
      <c r="J69" s="206"/>
      <c r="K69" s="206"/>
      <c r="L69" s="221"/>
      <c r="O69" s="134">
        <f>O68*4.184</f>
        <v>48433.252128989414</v>
      </c>
      <c r="P69" s="124" t="s">
        <v>34</v>
      </c>
      <c r="R69" s="71" t="e">
        <f ca="1">'ASME PTC 22'!F144</f>
        <v>#NAME?</v>
      </c>
      <c r="S69" s="11" t="s">
        <v>365</v>
      </c>
    </row>
    <row r="70" spans="2:19" x14ac:dyDescent="0.3">
      <c r="B70" s="220"/>
      <c r="C70" s="209" t="str">
        <f t="shared" si="0"/>
        <v>Hexane</v>
      </c>
      <c r="D70" s="210">
        <f t="shared" si="1"/>
        <v>0</v>
      </c>
      <c r="E70" s="211" t="s">
        <v>2</v>
      </c>
      <c r="F70" s="216"/>
      <c r="G70" s="216"/>
      <c r="H70" s="206"/>
      <c r="I70" s="206"/>
      <c r="J70" s="206"/>
      <c r="K70" s="206"/>
      <c r="L70" s="221"/>
      <c r="O70" s="205">
        <f>O67*O69</f>
        <v>1700005674.5475349</v>
      </c>
      <c r="P70" s="124" t="s">
        <v>363</v>
      </c>
      <c r="R70" s="205" t="e">
        <f ca="1">R67*R69</f>
        <v>#NAME?</v>
      </c>
      <c r="S70" s="11" t="s">
        <v>363</v>
      </c>
    </row>
    <row r="71" spans="2:19" x14ac:dyDescent="0.3">
      <c r="B71" s="220"/>
      <c r="C71" s="209" t="str">
        <f t="shared" si="0"/>
        <v>Nitrogen</v>
      </c>
      <c r="D71" s="210">
        <f t="shared" si="1"/>
        <v>0.499</v>
      </c>
      <c r="E71" s="211" t="s">
        <v>2</v>
      </c>
      <c r="F71" s="226">
        <f>F67*68.94757</f>
        <v>1010.9802873370999</v>
      </c>
      <c r="G71" s="227" t="s">
        <v>374</v>
      </c>
      <c r="H71" s="206"/>
      <c r="I71" s="206"/>
      <c r="J71" s="206"/>
      <c r="K71" s="206"/>
      <c r="L71" s="221"/>
      <c r="O71" s="134">
        <f>O70/1000</f>
        <v>1700005.6745475349</v>
      </c>
      <c r="P71" s="124" t="s">
        <v>366</v>
      </c>
      <c r="R71" s="134" t="e">
        <f ca="1">R70/1000</f>
        <v>#NAME?</v>
      </c>
      <c r="S71" s="11" t="s">
        <v>366</v>
      </c>
    </row>
    <row r="72" spans="2:19" x14ac:dyDescent="0.3">
      <c r="B72" s="220"/>
      <c r="C72" s="209" t="str">
        <f t="shared" si="0"/>
        <v>Carbone Monoxide</v>
      </c>
      <c r="D72" s="210">
        <f t="shared" si="1"/>
        <v>0</v>
      </c>
      <c r="E72" s="211" t="s">
        <v>2</v>
      </c>
      <c r="F72" s="227">
        <f>(F68-32)*(5/9)</f>
        <v>31.490000000000002</v>
      </c>
      <c r="G72" s="227" t="s">
        <v>32</v>
      </c>
      <c r="H72" s="206"/>
      <c r="I72" s="206"/>
      <c r="J72" s="206"/>
      <c r="K72" s="206"/>
      <c r="L72" s="221"/>
      <c r="O72" s="134">
        <f>O71/3600</f>
        <v>472.22379848542636</v>
      </c>
      <c r="P72" s="124" t="s">
        <v>361</v>
      </c>
      <c r="R72" s="134" t="e">
        <f ca="1">R71/3600</f>
        <v>#NAME?</v>
      </c>
      <c r="S72" s="11" t="s">
        <v>361</v>
      </c>
    </row>
    <row r="73" spans="2:19" x14ac:dyDescent="0.3">
      <c r="B73" s="220"/>
      <c r="C73" s="209" t="str">
        <f t="shared" si="0"/>
        <v>Carbon Dioxide</v>
      </c>
      <c r="D73" s="210">
        <f t="shared" si="1"/>
        <v>0.63200000000000001</v>
      </c>
      <c r="E73" s="211" t="s">
        <v>2</v>
      </c>
      <c r="F73" s="226" t="e">
        <f ca="1">F69*0.453592</f>
        <v>#NAME?</v>
      </c>
      <c r="G73" s="228" t="s">
        <v>368</v>
      </c>
      <c r="H73" s="206"/>
      <c r="I73" s="206"/>
      <c r="J73" s="206"/>
      <c r="K73" s="206"/>
      <c r="L73" s="221"/>
      <c r="O73" s="134">
        <f>O72</f>
        <v>472.22379848542636</v>
      </c>
      <c r="P73" s="124" t="s">
        <v>168</v>
      </c>
      <c r="R73" s="134" t="e">
        <f ca="1">R72</f>
        <v>#NAME?</v>
      </c>
      <c r="S73" s="124" t="s">
        <v>168</v>
      </c>
    </row>
    <row r="74" spans="2:19" x14ac:dyDescent="0.3">
      <c r="B74" s="220"/>
      <c r="C74" s="209" t="str">
        <f t="shared" si="0"/>
        <v>Water</v>
      </c>
      <c r="D74" s="210">
        <f t="shared" si="1"/>
        <v>0</v>
      </c>
      <c r="E74" s="211" t="s">
        <v>2</v>
      </c>
      <c r="F74" s="203"/>
      <c r="G74" s="203"/>
      <c r="H74" s="206"/>
      <c r="I74" s="206"/>
      <c r="J74" s="206"/>
      <c r="K74" s="206"/>
      <c r="L74" s="221"/>
      <c r="O74" s="124">
        <v>60</v>
      </c>
      <c r="P74" s="124" t="s">
        <v>2</v>
      </c>
      <c r="R74" s="124">
        <v>60</v>
      </c>
      <c r="S74" s="124" t="s">
        <v>2</v>
      </c>
    </row>
    <row r="75" spans="2:19" x14ac:dyDescent="0.3">
      <c r="B75" s="220"/>
      <c r="C75" s="209" t="str">
        <f t="shared" si="0"/>
        <v>Hydrogen sulfide</v>
      </c>
      <c r="D75" s="210">
        <f t="shared" si="1"/>
        <v>0</v>
      </c>
      <c r="E75" s="211" t="s">
        <v>2</v>
      </c>
      <c r="F75" s="203"/>
      <c r="G75" s="203"/>
      <c r="H75" s="214"/>
      <c r="I75" s="206"/>
      <c r="J75" s="213" t="s">
        <v>373</v>
      </c>
      <c r="K75" s="206"/>
      <c r="L75" s="221"/>
      <c r="O75" s="134">
        <f>O73*(O74/100)</f>
        <v>283.33427909125578</v>
      </c>
      <c r="P75" s="124" t="s">
        <v>168</v>
      </c>
      <c r="R75" s="134" t="e">
        <f ca="1">R73*(R74/100)</f>
        <v>#NAME?</v>
      </c>
      <c r="S75" s="124" t="s">
        <v>168</v>
      </c>
    </row>
    <row r="76" spans="2:19" x14ac:dyDescent="0.3">
      <c r="B76" s="220"/>
      <c r="C76" s="209" t="str">
        <f t="shared" si="0"/>
        <v xml:space="preserve">Hydrogen </v>
      </c>
      <c r="D76" s="210">
        <f t="shared" si="1"/>
        <v>0</v>
      </c>
      <c r="E76" s="211" t="s">
        <v>2</v>
      </c>
      <c r="F76" s="216"/>
      <c r="G76" s="216"/>
      <c r="H76" s="206"/>
      <c r="I76" s="206"/>
      <c r="J76" s="213" t="s">
        <v>372</v>
      </c>
      <c r="K76" s="206"/>
      <c r="L76" s="221"/>
      <c r="R76" s="134"/>
    </row>
    <row r="77" spans="2:19" x14ac:dyDescent="0.3">
      <c r="B77" s="220"/>
      <c r="C77" s="209" t="str">
        <f t="shared" si="0"/>
        <v>Helium</v>
      </c>
      <c r="D77" s="210">
        <f t="shared" si="1"/>
        <v>0</v>
      </c>
      <c r="E77" s="211" t="s">
        <v>2</v>
      </c>
      <c r="F77" s="206"/>
      <c r="G77" s="206"/>
      <c r="H77" s="206"/>
      <c r="I77" s="206"/>
      <c r="J77" s="212">
        <f>D25</f>
        <v>1058</v>
      </c>
      <c r="K77" s="215" t="s">
        <v>252</v>
      </c>
      <c r="L77" s="222"/>
      <c r="R77" s="134"/>
    </row>
    <row r="78" spans="2:19" x14ac:dyDescent="0.3">
      <c r="B78" s="220"/>
      <c r="C78" s="209" t="str">
        <f t="shared" si="0"/>
        <v>Oxygen</v>
      </c>
      <c r="D78" s="210">
        <f t="shared" si="1"/>
        <v>0</v>
      </c>
      <c r="E78" s="211" t="s">
        <v>2</v>
      </c>
      <c r="F78" s="206"/>
      <c r="G78" s="206"/>
      <c r="H78" s="206"/>
      <c r="I78" s="206"/>
      <c r="J78" s="212" t="e">
        <f ca="1">H58/1000</f>
        <v>#NAME?</v>
      </c>
      <c r="K78" s="215" t="s">
        <v>371</v>
      </c>
      <c r="L78" s="222"/>
      <c r="O78" s="234" t="e">
        <f ca="1">R70/O70</f>
        <v>#NAME?</v>
      </c>
    </row>
    <row r="79" spans="2:19" x14ac:dyDescent="0.3">
      <c r="B79" s="220"/>
      <c r="C79" s="209" t="str">
        <f t="shared" si="0"/>
        <v>Argon</v>
      </c>
      <c r="D79" s="210">
        <f t="shared" si="1"/>
        <v>0</v>
      </c>
      <c r="E79" s="211" t="s">
        <v>2</v>
      </c>
      <c r="F79" s="206"/>
      <c r="G79" s="206"/>
      <c r="H79" s="206"/>
      <c r="I79" s="206"/>
      <c r="J79" s="212" t="e">
        <f ca="1">I58</f>
        <v>#NAME?</v>
      </c>
      <c r="K79" s="215" t="s">
        <v>264</v>
      </c>
      <c r="L79" s="222"/>
      <c r="R79" s="134"/>
    </row>
    <row r="80" spans="2:19" x14ac:dyDescent="0.3">
      <c r="B80" s="220"/>
      <c r="C80" s="203"/>
      <c r="D80" s="203"/>
      <c r="E80" s="203"/>
      <c r="F80" s="206"/>
      <c r="G80" s="206"/>
      <c r="H80" s="206"/>
      <c r="I80" s="206"/>
      <c r="J80" s="216"/>
      <c r="K80" s="216"/>
      <c r="L80" s="222"/>
      <c r="R80" s="134"/>
    </row>
    <row r="81" spans="2:18" x14ac:dyDescent="0.3">
      <c r="B81" s="220"/>
      <c r="C81" s="209" t="s">
        <v>329</v>
      </c>
      <c r="D81" s="235">
        <f>D38</f>
        <v>20822.563175795305</v>
      </c>
      <c r="E81" s="235" t="s">
        <v>346</v>
      </c>
      <c r="F81" s="206"/>
      <c r="G81" s="206"/>
      <c r="H81" s="206"/>
      <c r="I81" s="206"/>
      <c r="J81" s="226">
        <f>(J77-32)*(5/9)</f>
        <v>570</v>
      </c>
      <c r="K81" s="231" t="s">
        <v>252</v>
      </c>
      <c r="L81" s="221"/>
      <c r="R81" s="134"/>
    </row>
    <row r="82" spans="2:18" x14ac:dyDescent="0.3">
      <c r="B82" s="220"/>
      <c r="C82" s="236"/>
      <c r="D82" s="235">
        <f>D81*0.555927</f>
        <v>11575.825078630356</v>
      </c>
      <c r="E82" s="235" t="s">
        <v>369</v>
      </c>
      <c r="F82" s="206"/>
      <c r="G82" s="206"/>
      <c r="H82" s="206"/>
      <c r="I82" s="206"/>
      <c r="J82" s="226" t="e">
        <f ca="1">J78*0.453592</f>
        <v>#NAME?</v>
      </c>
      <c r="K82" s="231" t="s">
        <v>368</v>
      </c>
      <c r="L82" s="221"/>
      <c r="R82" s="134"/>
    </row>
    <row r="83" spans="2:18" x14ac:dyDescent="0.3">
      <c r="B83" s="220"/>
      <c r="C83" s="209"/>
      <c r="D83" s="235">
        <f>D82*4.1868</f>
        <v>48465.66443920957</v>
      </c>
      <c r="E83" s="211" t="s">
        <v>34</v>
      </c>
      <c r="F83" s="206"/>
      <c r="G83" s="206"/>
      <c r="H83" s="206"/>
      <c r="I83" s="206"/>
      <c r="J83" s="226" t="e">
        <f ca="1">J79*2.326</f>
        <v>#NAME?</v>
      </c>
      <c r="K83" s="231" t="s">
        <v>34</v>
      </c>
      <c r="L83" s="221"/>
      <c r="R83" s="134"/>
    </row>
    <row r="84" spans="2:18" x14ac:dyDescent="0.3">
      <c r="B84" s="223"/>
      <c r="C84" s="224"/>
      <c r="D84" s="224"/>
      <c r="E84" s="224"/>
      <c r="F84" s="224"/>
      <c r="G84" s="224"/>
      <c r="H84" s="224"/>
      <c r="I84" s="224"/>
      <c r="J84" s="224"/>
      <c r="K84" s="224"/>
      <c r="L84" s="225"/>
      <c r="R84" s="134"/>
    </row>
  </sheetData>
  <mergeCells count="2">
    <mergeCell ref="J7:J9"/>
    <mergeCell ref="J11:J2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2"/>
  <sheetViews>
    <sheetView tabSelected="1" topLeftCell="A235" zoomScale="80" zoomScaleNormal="80" workbookViewId="0">
      <selection activeCell="F261" sqref="F261"/>
    </sheetView>
  </sheetViews>
  <sheetFormatPr defaultColWidth="9.109375" defaultRowHeight="13.8" x14ac:dyDescent="0.3"/>
  <cols>
    <col min="1" max="1" width="1.44140625" style="2" customWidth="1"/>
    <col min="2" max="2" width="4.88671875" style="2" customWidth="1"/>
    <col min="3" max="3" width="29" style="2" customWidth="1"/>
    <col min="4" max="4" width="18.6640625" style="1" bestFit="1" customWidth="1"/>
    <col min="5" max="5" width="17.5546875" style="2" customWidth="1"/>
    <col min="6" max="6" width="20.6640625" style="2" customWidth="1"/>
    <col min="7" max="7" width="17.44140625" style="2" customWidth="1"/>
    <col min="8" max="8" width="16.5546875" style="2" customWidth="1"/>
    <col min="9" max="9" width="14.6640625" style="2" customWidth="1"/>
    <col min="10" max="10" width="20.109375" style="2" customWidth="1"/>
    <col min="11" max="11" width="14.6640625" style="2" customWidth="1"/>
    <col min="12" max="12" width="16.44140625" style="2" customWidth="1"/>
    <col min="13" max="13" width="16" style="2" customWidth="1"/>
    <col min="14" max="14" width="12.5546875" style="2" customWidth="1"/>
    <col min="15" max="15" width="16" style="2" bestFit="1" customWidth="1"/>
    <col min="16" max="16" width="12.44140625" style="2" customWidth="1"/>
    <col min="17" max="17" width="18.88671875" style="2" customWidth="1"/>
    <col min="18" max="18" width="9.109375" style="2"/>
    <col min="19" max="19" width="17" style="2" customWidth="1"/>
    <col min="20" max="16384" width="9.109375" style="2"/>
  </cols>
  <sheetData>
    <row r="2" spans="1:12" x14ac:dyDescent="0.3">
      <c r="C2" s="255" t="s">
        <v>71</v>
      </c>
      <c r="D2" s="255"/>
      <c r="E2" s="255"/>
      <c r="F2" s="255"/>
      <c r="G2" s="255"/>
      <c r="H2" s="255"/>
    </row>
    <row r="3" spans="1:12" ht="18" customHeight="1" x14ac:dyDescent="0.3">
      <c r="C3" s="261" t="s">
        <v>70</v>
      </c>
      <c r="D3" s="261"/>
      <c r="E3" s="261"/>
      <c r="F3" s="261"/>
      <c r="G3" s="261"/>
      <c r="H3" s="261"/>
    </row>
    <row r="4" spans="1:12" ht="7.5" customHeight="1" x14ac:dyDescent="0.3"/>
    <row r="5" spans="1:12" s="5" customFormat="1" ht="30" customHeight="1" x14ac:dyDescent="0.3">
      <c r="A5" s="39"/>
      <c r="C5" s="257" t="s">
        <v>56</v>
      </c>
      <c r="D5" s="257" t="s">
        <v>57</v>
      </c>
      <c r="E5" s="259" t="s">
        <v>58</v>
      </c>
      <c r="F5" s="259" t="s">
        <v>59</v>
      </c>
      <c r="G5" s="256" t="s">
        <v>60</v>
      </c>
      <c r="H5" s="256"/>
    </row>
    <row r="6" spans="1:12" s="5" customFormat="1" ht="30" customHeight="1" x14ac:dyDescent="0.3">
      <c r="A6" s="39"/>
      <c r="C6" s="258"/>
      <c r="D6" s="258"/>
      <c r="E6" s="260"/>
      <c r="F6" s="260"/>
      <c r="G6" s="6" t="s">
        <v>61</v>
      </c>
      <c r="H6" s="6" t="s">
        <v>62</v>
      </c>
    </row>
    <row r="7" spans="1:12" x14ac:dyDescent="0.3">
      <c r="C7" s="15" t="s">
        <v>3</v>
      </c>
      <c r="D7" s="14" t="s">
        <v>21</v>
      </c>
      <c r="E7" s="4">
        <v>16.042459999999998</v>
      </c>
      <c r="F7" s="4">
        <v>42.274000000000001</v>
      </c>
      <c r="G7" s="16">
        <v>23892.2</v>
      </c>
      <c r="H7" s="16">
        <v>21511.9</v>
      </c>
      <c r="K7" s="37" t="s">
        <v>21</v>
      </c>
      <c r="L7" s="15" t="s">
        <v>3</v>
      </c>
    </row>
    <row r="8" spans="1:12" x14ac:dyDescent="0.3">
      <c r="C8" s="7" t="s">
        <v>4</v>
      </c>
      <c r="D8" s="6" t="s">
        <v>22</v>
      </c>
      <c r="E8" s="4">
        <v>30.069040000000001</v>
      </c>
      <c r="F8" s="4">
        <v>79.236999999999995</v>
      </c>
      <c r="G8" s="16">
        <v>22334.1</v>
      </c>
      <c r="H8" s="16">
        <v>20429.2</v>
      </c>
      <c r="K8" s="36" t="s">
        <v>22</v>
      </c>
      <c r="L8" s="7" t="s">
        <v>4</v>
      </c>
    </row>
    <row r="9" spans="1:12" x14ac:dyDescent="0.3">
      <c r="C9" s="7" t="s">
        <v>5</v>
      </c>
      <c r="D9" s="6" t="s">
        <v>23</v>
      </c>
      <c r="E9" s="4">
        <v>44.095619999999997</v>
      </c>
      <c r="F9" s="4">
        <v>116.199</v>
      </c>
      <c r="G9" s="16">
        <v>21654.1</v>
      </c>
      <c r="H9" s="16">
        <v>19922.2</v>
      </c>
      <c r="K9" s="36" t="s">
        <v>23</v>
      </c>
      <c r="L9" s="7" t="s">
        <v>5</v>
      </c>
    </row>
    <row r="10" spans="1:12" x14ac:dyDescent="0.3">
      <c r="C10" s="7" t="s">
        <v>6</v>
      </c>
      <c r="D10" s="6" t="s">
        <v>24</v>
      </c>
      <c r="E10" s="4">
        <v>58.122199999999999</v>
      </c>
      <c r="F10" s="4">
        <v>153.161</v>
      </c>
      <c r="G10" s="16">
        <v>21232.3</v>
      </c>
      <c r="H10" s="16">
        <v>19589.8</v>
      </c>
      <c r="K10" s="36" t="s">
        <v>24</v>
      </c>
      <c r="L10" s="7" t="s">
        <v>6</v>
      </c>
    </row>
    <row r="11" spans="1:12" x14ac:dyDescent="0.3">
      <c r="C11" s="7" t="s">
        <v>7</v>
      </c>
      <c r="D11" s="6" t="s">
        <v>25</v>
      </c>
      <c r="E11" s="4">
        <v>58.122199999999999</v>
      </c>
      <c r="F11" s="4">
        <v>153.161</v>
      </c>
      <c r="G11" s="16">
        <v>21300.2</v>
      </c>
      <c r="H11" s="16">
        <v>19657.8</v>
      </c>
      <c r="K11" s="36" t="s">
        <v>25</v>
      </c>
      <c r="L11" s="7" t="s">
        <v>7</v>
      </c>
    </row>
    <row r="12" spans="1:12" x14ac:dyDescent="0.3">
      <c r="C12" s="7" t="s">
        <v>8</v>
      </c>
      <c r="D12" s="6" t="s">
        <v>26</v>
      </c>
      <c r="E12" s="4">
        <v>72.148780000000002</v>
      </c>
      <c r="F12" s="4">
        <v>190.12299999999999</v>
      </c>
      <c r="G12" s="16">
        <v>21043.7</v>
      </c>
      <c r="H12" s="16">
        <v>19455.900000000001</v>
      </c>
      <c r="K12" s="36" t="s">
        <v>26</v>
      </c>
      <c r="L12" s="7" t="s">
        <v>8</v>
      </c>
    </row>
    <row r="13" spans="1:12" x14ac:dyDescent="0.3">
      <c r="C13" s="7" t="s">
        <v>9</v>
      </c>
      <c r="D13" s="6" t="s">
        <v>27</v>
      </c>
      <c r="E13" s="4">
        <v>72.148780000000002</v>
      </c>
      <c r="F13" s="4">
        <v>190.12299999999999</v>
      </c>
      <c r="G13" s="16">
        <v>21085</v>
      </c>
      <c r="H13" s="16">
        <v>19497.2</v>
      </c>
      <c r="K13" s="36" t="s">
        <v>27</v>
      </c>
      <c r="L13" s="7" t="s">
        <v>9</v>
      </c>
    </row>
    <row r="14" spans="1:12" x14ac:dyDescent="0.3">
      <c r="C14" s="7" t="s">
        <v>10</v>
      </c>
      <c r="D14" s="6" t="s">
        <v>28</v>
      </c>
      <c r="E14" s="4">
        <v>86.175359999999998</v>
      </c>
      <c r="F14" s="4">
        <v>227.08500000000001</v>
      </c>
      <c r="G14" s="16">
        <v>20943.8</v>
      </c>
      <c r="H14" s="16">
        <v>19392.900000000001</v>
      </c>
      <c r="K14" s="36" t="s">
        <v>28</v>
      </c>
      <c r="L14" s="7" t="s">
        <v>10</v>
      </c>
    </row>
    <row r="15" spans="1:12" x14ac:dyDescent="0.3">
      <c r="C15" s="7" t="s">
        <v>20</v>
      </c>
      <c r="D15" s="98" t="s">
        <v>29</v>
      </c>
      <c r="E15" s="4">
        <v>100.20189999999999</v>
      </c>
      <c r="F15" s="4">
        <v>264.048</v>
      </c>
      <c r="G15" s="16">
        <v>20839.099999999999</v>
      </c>
      <c r="H15" s="16">
        <v>19314.7</v>
      </c>
      <c r="K15" s="98" t="s">
        <v>29</v>
      </c>
      <c r="L15" s="7" t="s">
        <v>20</v>
      </c>
    </row>
    <row r="16" spans="1:12" x14ac:dyDescent="0.3">
      <c r="C16" s="7" t="s">
        <v>36</v>
      </c>
      <c r="D16" s="6" t="s">
        <v>47</v>
      </c>
      <c r="E16" s="4">
        <v>114.2285</v>
      </c>
      <c r="F16" s="4">
        <v>301.01</v>
      </c>
      <c r="G16" s="16">
        <v>20759.7</v>
      </c>
      <c r="H16" s="16">
        <v>19255.400000000001</v>
      </c>
      <c r="K16" s="36" t="s">
        <v>47</v>
      </c>
      <c r="L16" s="7" t="s">
        <v>36</v>
      </c>
    </row>
    <row r="17" spans="3:12" x14ac:dyDescent="0.3">
      <c r="C17" s="7" t="s">
        <v>37</v>
      </c>
      <c r="D17" s="6" t="s">
        <v>48</v>
      </c>
      <c r="E17" s="4">
        <v>128.2551</v>
      </c>
      <c r="F17" s="4">
        <v>337.97199999999998</v>
      </c>
      <c r="G17" s="16">
        <v>20701</v>
      </c>
      <c r="H17" s="16">
        <v>19212.3</v>
      </c>
      <c r="K17" s="36" t="s">
        <v>48</v>
      </c>
      <c r="L17" s="7" t="s">
        <v>37</v>
      </c>
    </row>
    <row r="18" spans="3:12" x14ac:dyDescent="0.3">
      <c r="C18" s="7" t="s">
        <v>38</v>
      </c>
      <c r="D18" s="6" t="s">
        <v>49</v>
      </c>
      <c r="E18" s="4">
        <v>142.2817</v>
      </c>
      <c r="F18" s="4">
        <v>374.93400000000003</v>
      </c>
      <c r="G18" s="16">
        <v>20651.599999999999</v>
      </c>
      <c r="H18" s="16">
        <v>19175.5</v>
      </c>
      <c r="K18" s="36" t="s">
        <v>49</v>
      </c>
      <c r="L18" s="7" t="s">
        <v>38</v>
      </c>
    </row>
    <row r="19" spans="3:12" x14ac:dyDescent="0.3">
      <c r="C19" s="7" t="s">
        <v>39</v>
      </c>
      <c r="D19" s="6" t="s">
        <v>63</v>
      </c>
      <c r="E19" s="4">
        <v>28.010100000000001</v>
      </c>
      <c r="F19" s="4">
        <v>73.811000000000007</v>
      </c>
      <c r="G19" s="16">
        <v>4342.2</v>
      </c>
      <c r="H19" s="16">
        <v>4342.2</v>
      </c>
      <c r="K19" s="36" t="s">
        <v>63</v>
      </c>
      <c r="L19" s="7" t="s">
        <v>39</v>
      </c>
    </row>
    <row r="20" spans="3:12" x14ac:dyDescent="0.3">
      <c r="C20" s="7" t="s">
        <v>11</v>
      </c>
      <c r="D20" s="6" t="s">
        <v>31</v>
      </c>
      <c r="E20" s="4">
        <v>44.009500000000003</v>
      </c>
      <c r="F20" s="4">
        <v>115.97199999999999</v>
      </c>
      <c r="G20" s="4">
        <v>0</v>
      </c>
      <c r="H20" s="4">
        <v>0</v>
      </c>
      <c r="K20" s="36" t="s">
        <v>31</v>
      </c>
      <c r="L20" s="7" t="s">
        <v>11</v>
      </c>
    </row>
    <row r="21" spans="3:12" x14ac:dyDescent="0.3">
      <c r="C21" s="7" t="s">
        <v>40</v>
      </c>
      <c r="D21" s="6" t="s">
        <v>50</v>
      </c>
      <c r="E21" s="4">
        <v>34.080880000000001</v>
      </c>
      <c r="F21" s="4">
        <v>89.808000000000007</v>
      </c>
      <c r="G21" s="16">
        <v>7094.1</v>
      </c>
      <c r="H21" s="16">
        <v>6533.8</v>
      </c>
      <c r="K21" s="36" t="s">
        <v>50</v>
      </c>
      <c r="L21" s="7" t="s">
        <v>40</v>
      </c>
    </row>
    <row r="22" spans="3:12" x14ac:dyDescent="0.3">
      <c r="C22" s="7" t="s">
        <v>41</v>
      </c>
      <c r="D22" s="6" t="s">
        <v>41</v>
      </c>
      <c r="E22" s="4">
        <v>28.9651</v>
      </c>
      <c r="F22" s="4">
        <v>76.328000000000003</v>
      </c>
      <c r="G22" s="4">
        <v>0</v>
      </c>
      <c r="H22" s="4">
        <v>0</v>
      </c>
      <c r="K22" s="36" t="s">
        <v>41</v>
      </c>
      <c r="L22" s="7" t="s">
        <v>41</v>
      </c>
    </row>
    <row r="23" spans="3:12" x14ac:dyDescent="0.3">
      <c r="C23" s="7" t="s">
        <v>42</v>
      </c>
      <c r="D23" s="6" t="s">
        <v>51</v>
      </c>
      <c r="E23" s="4">
        <v>2.0158800000000001</v>
      </c>
      <c r="F23" s="4">
        <v>5.3209999999999997</v>
      </c>
      <c r="G23" s="16">
        <v>61022.3</v>
      </c>
      <c r="H23" s="16">
        <v>51566.7</v>
      </c>
      <c r="K23" s="36" t="s">
        <v>51</v>
      </c>
      <c r="L23" s="7" t="s">
        <v>42</v>
      </c>
    </row>
    <row r="24" spans="3:12" x14ac:dyDescent="0.3">
      <c r="C24" s="7" t="s">
        <v>43</v>
      </c>
      <c r="D24" s="6" t="s">
        <v>52</v>
      </c>
      <c r="E24" s="4">
        <v>31.998799999999999</v>
      </c>
      <c r="F24" s="4">
        <v>84.322000000000003</v>
      </c>
      <c r="G24" s="4">
        <v>0</v>
      </c>
      <c r="H24" s="4">
        <v>0</v>
      </c>
      <c r="K24" s="36" t="s">
        <v>52</v>
      </c>
      <c r="L24" s="7" t="s">
        <v>43</v>
      </c>
    </row>
    <row r="25" spans="3:12" x14ac:dyDescent="0.3">
      <c r="C25" s="7" t="s">
        <v>19</v>
      </c>
      <c r="D25" s="6" t="s">
        <v>30</v>
      </c>
      <c r="E25" s="4">
        <v>28.013400000000001</v>
      </c>
      <c r="F25" s="4">
        <v>73.819999999999993</v>
      </c>
      <c r="G25" s="4">
        <v>0</v>
      </c>
      <c r="H25" s="4">
        <v>0</v>
      </c>
      <c r="K25" s="36" t="s">
        <v>30</v>
      </c>
      <c r="L25" s="7" t="s">
        <v>19</v>
      </c>
    </row>
    <row r="26" spans="3:12" x14ac:dyDescent="0.3">
      <c r="C26" s="13" t="s">
        <v>44</v>
      </c>
      <c r="D26" s="12" t="s">
        <v>53</v>
      </c>
      <c r="E26" s="4">
        <v>18.015280000000001</v>
      </c>
      <c r="F26" s="4">
        <v>47.472999999999999</v>
      </c>
      <c r="G26" s="16">
        <v>1059.8</v>
      </c>
      <c r="H26" s="4">
        <v>0</v>
      </c>
      <c r="K26" s="12" t="s">
        <v>53</v>
      </c>
      <c r="L26" s="13" t="s">
        <v>44</v>
      </c>
    </row>
    <row r="27" spans="3:12" x14ac:dyDescent="0.3">
      <c r="C27" s="13" t="s">
        <v>45</v>
      </c>
      <c r="D27" s="12" t="s">
        <v>54</v>
      </c>
      <c r="E27" s="4">
        <v>4.0026000000000002</v>
      </c>
      <c r="F27" s="4">
        <v>10.547000000000001</v>
      </c>
      <c r="G27" s="4">
        <v>0</v>
      </c>
      <c r="H27" s="4">
        <v>0</v>
      </c>
      <c r="K27" s="12" t="s">
        <v>54</v>
      </c>
      <c r="L27" s="13" t="s">
        <v>45</v>
      </c>
    </row>
    <row r="28" spans="3:12" x14ac:dyDescent="0.3">
      <c r="C28" s="13" t="s">
        <v>46</v>
      </c>
      <c r="D28" s="12" t="s">
        <v>55</v>
      </c>
      <c r="E28" s="4">
        <v>39.948</v>
      </c>
      <c r="F28" s="4">
        <v>105.26900000000001</v>
      </c>
      <c r="G28" s="4">
        <v>0</v>
      </c>
      <c r="H28" s="4">
        <v>0</v>
      </c>
      <c r="K28" s="12" t="s">
        <v>55</v>
      </c>
      <c r="L28" s="13" t="s">
        <v>46</v>
      </c>
    </row>
    <row r="31" spans="3:12" x14ac:dyDescent="0.3">
      <c r="C31" s="255" t="s">
        <v>72</v>
      </c>
      <c r="D31" s="255"/>
      <c r="E31" s="255"/>
      <c r="F31" s="255"/>
      <c r="G31" s="255"/>
      <c r="H31" s="255"/>
    </row>
    <row r="32" spans="3:12" x14ac:dyDescent="0.3">
      <c r="C32" s="261" t="s">
        <v>73</v>
      </c>
      <c r="D32" s="261"/>
      <c r="E32" s="261"/>
      <c r="F32" s="261"/>
      <c r="G32" s="261"/>
      <c r="H32" s="261"/>
    </row>
    <row r="35" spans="1:11" x14ac:dyDescent="0.3">
      <c r="C35" s="257" t="s">
        <v>56</v>
      </c>
      <c r="D35" s="256" t="s">
        <v>79</v>
      </c>
      <c r="E35" s="256"/>
      <c r="F35" s="256"/>
      <c r="G35" s="256"/>
      <c r="H35" s="256"/>
      <c r="I35" s="256"/>
      <c r="J35" s="256"/>
      <c r="K35" s="256"/>
    </row>
    <row r="36" spans="1:11" x14ac:dyDescent="0.3">
      <c r="C36" s="264"/>
      <c r="D36" s="256" t="s">
        <v>75</v>
      </c>
      <c r="E36" s="256"/>
      <c r="F36" s="256" t="s">
        <v>76</v>
      </c>
      <c r="G36" s="256"/>
      <c r="H36" s="256" t="s">
        <v>77</v>
      </c>
      <c r="I36" s="256"/>
      <c r="J36" s="256" t="s">
        <v>78</v>
      </c>
      <c r="K36" s="256"/>
    </row>
    <row r="37" spans="1:11" s="8" customFormat="1" x14ac:dyDescent="0.3">
      <c r="A37" s="39"/>
      <c r="C37" s="258"/>
      <c r="D37" s="9" t="s">
        <v>17</v>
      </c>
      <c r="E37" s="9" t="s">
        <v>74</v>
      </c>
      <c r="F37" s="9" t="s">
        <v>17</v>
      </c>
      <c r="G37" s="9" t="s">
        <v>74</v>
      </c>
      <c r="H37" s="9" t="s">
        <v>17</v>
      </c>
      <c r="I37" s="9" t="s">
        <v>74</v>
      </c>
      <c r="J37" s="9" t="s">
        <v>17</v>
      </c>
      <c r="K37" s="9" t="s">
        <v>74</v>
      </c>
    </row>
    <row r="38" spans="1:11" x14ac:dyDescent="0.3">
      <c r="C38" s="7" t="s">
        <v>3</v>
      </c>
      <c r="D38" s="7"/>
      <c r="E38" s="4"/>
      <c r="F38" s="4"/>
      <c r="G38" s="4"/>
      <c r="H38" s="23">
        <v>891.56</v>
      </c>
      <c r="I38" s="23">
        <v>802.69</v>
      </c>
      <c r="J38" s="4"/>
      <c r="K38" s="4"/>
    </row>
    <row r="39" spans="1:11" x14ac:dyDescent="0.3">
      <c r="C39" s="7" t="s">
        <v>4</v>
      </c>
      <c r="D39" s="7"/>
      <c r="E39" s="4"/>
      <c r="F39" s="4"/>
      <c r="G39" s="4"/>
      <c r="H39" s="24">
        <v>1562.14</v>
      </c>
      <c r="I39" s="24">
        <v>1428.84</v>
      </c>
      <c r="J39" s="4"/>
      <c r="K39" s="4"/>
    </row>
    <row r="40" spans="1:11" x14ac:dyDescent="0.3">
      <c r="C40" s="7" t="s">
        <v>5</v>
      </c>
      <c r="D40" s="7"/>
      <c r="E40" s="4"/>
      <c r="F40" s="4"/>
      <c r="G40" s="4"/>
      <c r="H40" s="24">
        <v>2221.1</v>
      </c>
      <c r="I40" s="24">
        <v>2043.37</v>
      </c>
      <c r="J40" s="4"/>
      <c r="K40" s="4"/>
    </row>
    <row r="41" spans="1:11" x14ac:dyDescent="0.3">
      <c r="C41" s="7" t="s">
        <v>6</v>
      </c>
      <c r="D41" s="7"/>
      <c r="E41" s="4"/>
      <c r="F41" s="4"/>
      <c r="G41" s="4"/>
      <c r="H41" s="24">
        <v>2870.58</v>
      </c>
      <c r="I41" s="24">
        <v>2648.42</v>
      </c>
      <c r="J41" s="4"/>
      <c r="K41" s="4"/>
    </row>
    <row r="42" spans="1:11" x14ac:dyDescent="0.3">
      <c r="C42" s="7" t="s">
        <v>7</v>
      </c>
      <c r="D42" s="7"/>
      <c r="E42" s="4"/>
      <c r="F42" s="4"/>
      <c r="G42" s="4"/>
      <c r="H42" s="24">
        <v>2879.76</v>
      </c>
      <c r="I42" s="24">
        <v>2657.6</v>
      </c>
      <c r="J42" s="4"/>
      <c r="K42" s="4"/>
    </row>
    <row r="43" spans="1:11" x14ac:dyDescent="0.3">
      <c r="C43" s="7" t="s">
        <v>8</v>
      </c>
      <c r="D43" s="7"/>
      <c r="E43" s="4"/>
      <c r="F43" s="4"/>
      <c r="G43" s="4"/>
      <c r="H43" s="25">
        <v>3377.75</v>
      </c>
      <c r="I43" s="25">
        <v>3155.59</v>
      </c>
      <c r="J43" s="4"/>
      <c r="K43" s="4"/>
    </row>
    <row r="44" spans="1:11" x14ac:dyDescent="0.3">
      <c r="C44" s="7" t="s">
        <v>9</v>
      </c>
      <c r="D44" s="7"/>
      <c r="E44" s="4"/>
      <c r="F44" s="4"/>
      <c r="G44" s="4"/>
      <c r="H44" s="24">
        <v>3538.6</v>
      </c>
      <c r="I44" s="24">
        <v>3272</v>
      </c>
      <c r="J44" s="4"/>
      <c r="K44" s="4"/>
    </row>
    <row r="45" spans="1:11" x14ac:dyDescent="0.3">
      <c r="C45" s="7" t="s">
        <v>10</v>
      </c>
      <c r="D45" s="7"/>
      <c r="E45" s="4"/>
      <c r="F45" s="4"/>
      <c r="G45" s="4"/>
      <c r="H45" s="24">
        <v>4198.24</v>
      </c>
      <c r="I45" s="24">
        <v>3887.21</v>
      </c>
      <c r="J45" s="4"/>
      <c r="K45" s="4"/>
    </row>
    <row r="46" spans="1:11" x14ac:dyDescent="0.3">
      <c r="C46" s="7" t="s">
        <v>20</v>
      </c>
      <c r="D46" s="7"/>
      <c r="E46" s="4"/>
      <c r="F46" s="4"/>
      <c r="G46" s="4"/>
      <c r="H46" s="24">
        <v>4857.18</v>
      </c>
      <c r="I46" s="24">
        <v>4501.72</v>
      </c>
      <c r="J46" s="4"/>
      <c r="K46" s="4"/>
    </row>
    <row r="47" spans="1:11" x14ac:dyDescent="0.3">
      <c r="C47" s="7" t="s">
        <v>36</v>
      </c>
      <c r="D47" s="7"/>
      <c r="E47" s="4"/>
      <c r="G47" s="4"/>
      <c r="H47" s="17">
        <v>5516.01</v>
      </c>
      <c r="I47" s="17">
        <v>5116.1099999999997</v>
      </c>
      <c r="J47" s="4"/>
      <c r="K47" s="4"/>
    </row>
    <row r="48" spans="1:11" x14ac:dyDescent="0.3">
      <c r="C48" s="7" t="s">
        <v>37</v>
      </c>
      <c r="D48" s="7"/>
      <c r="E48" s="4"/>
      <c r="F48" s="4"/>
      <c r="G48" s="4"/>
      <c r="H48" s="17">
        <v>6175.82</v>
      </c>
      <c r="I48" s="17">
        <v>5731.49</v>
      </c>
      <c r="J48" s="4"/>
      <c r="K48" s="4"/>
    </row>
    <row r="49" spans="3:14" x14ac:dyDescent="0.3">
      <c r="C49" s="7" t="s">
        <v>38</v>
      </c>
      <c r="D49" s="7"/>
      <c r="E49" s="4"/>
      <c r="F49" s="4"/>
      <c r="G49" s="4"/>
      <c r="H49" s="17">
        <v>6834.9</v>
      </c>
      <c r="I49" s="17">
        <v>6346.14</v>
      </c>
      <c r="J49" s="4"/>
      <c r="K49" s="4"/>
    </row>
    <row r="50" spans="3:14" x14ac:dyDescent="0.3">
      <c r="C50" s="7" t="s">
        <v>39</v>
      </c>
      <c r="D50" s="7"/>
      <c r="E50" s="4"/>
      <c r="F50" s="4"/>
      <c r="G50" s="4"/>
      <c r="H50" s="17">
        <v>282.91000000000003</v>
      </c>
      <c r="I50" s="17">
        <v>282.91000000000003</v>
      </c>
      <c r="J50" s="4"/>
      <c r="K50" s="4"/>
    </row>
    <row r="51" spans="3:14" x14ac:dyDescent="0.3">
      <c r="C51" s="7" t="s">
        <v>40</v>
      </c>
      <c r="D51" s="7"/>
      <c r="E51" s="4"/>
      <c r="F51" s="4"/>
      <c r="G51" s="4"/>
      <c r="H51" s="17">
        <v>562.38</v>
      </c>
      <c r="I51" s="17">
        <v>517.95000000000005</v>
      </c>
      <c r="J51" s="4"/>
      <c r="K51" s="4"/>
    </row>
    <row r="52" spans="3:14" x14ac:dyDescent="0.3">
      <c r="C52" s="7" t="s">
        <v>42</v>
      </c>
      <c r="D52" s="7"/>
      <c r="E52" s="4"/>
      <c r="F52" s="4"/>
      <c r="G52" s="4"/>
      <c r="H52" s="17">
        <v>286.14999999999998</v>
      </c>
      <c r="I52" s="17">
        <v>241.72</v>
      </c>
      <c r="J52" s="4"/>
      <c r="K52" s="4"/>
    </row>
    <row r="53" spans="3:14" x14ac:dyDescent="0.3">
      <c r="C53" s="13" t="s">
        <v>44</v>
      </c>
      <c r="D53" s="7"/>
      <c r="E53" s="4"/>
      <c r="F53" s="4"/>
      <c r="G53" s="4"/>
      <c r="H53" s="17">
        <v>44.433</v>
      </c>
      <c r="I53" s="17">
        <v>0</v>
      </c>
      <c r="J53" s="4"/>
      <c r="K53" s="4"/>
    </row>
    <row r="57" spans="3:14" s="55" customFormat="1" ht="22.5" customHeight="1" x14ac:dyDescent="0.3">
      <c r="C57" s="101" t="s">
        <v>56</v>
      </c>
      <c r="D57" s="101" t="s">
        <v>57</v>
      </c>
      <c r="E57" s="56" t="s">
        <v>102</v>
      </c>
      <c r="F57" s="56" t="s">
        <v>100</v>
      </c>
      <c r="G57" s="56" t="s">
        <v>99</v>
      </c>
      <c r="H57" s="56" t="s">
        <v>101</v>
      </c>
      <c r="I57" s="56" t="s">
        <v>103</v>
      </c>
      <c r="J57" s="56" t="s">
        <v>104</v>
      </c>
      <c r="K57" s="56" t="s">
        <v>105</v>
      </c>
      <c r="L57" s="56" t="s">
        <v>106</v>
      </c>
      <c r="M57" s="102" t="s">
        <v>167</v>
      </c>
      <c r="N57" s="56" t="s">
        <v>168</v>
      </c>
    </row>
    <row r="58" spans="3:14" x14ac:dyDescent="0.3">
      <c r="C58" s="99" t="s">
        <v>3</v>
      </c>
      <c r="D58" s="100" t="s">
        <v>21</v>
      </c>
      <c r="E58" s="53">
        <v>-176685.0998</v>
      </c>
      <c r="F58" s="53">
        <v>2786.18102</v>
      </c>
      <c r="G58" s="103">
        <v>-12.025778499999999</v>
      </c>
      <c r="H58" s="104">
        <v>3.9176192999999998E-2</v>
      </c>
      <c r="I58" s="54">
        <v>-3.6190499999999998E-5</v>
      </c>
      <c r="J58" s="54">
        <v>2.02685E-8</v>
      </c>
      <c r="K58" s="54">
        <v>-4.9767100000000001E-12</v>
      </c>
      <c r="L58" s="53">
        <v>-23313.143599999999</v>
      </c>
      <c r="M58" s="105">
        <v>-74600</v>
      </c>
      <c r="N58" s="53">
        <f t="shared" ref="N58:N74" si="0">IFERROR(VLOOKUP(C58,gases,3,FALSE),"0")</f>
        <v>16.042459999999998</v>
      </c>
    </row>
    <row r="59" spans="3:14" x14ac:dyDescent="0.3">
      <c r="C59" s="99" t="s">
        <v>4</v>
      </c>
      <c r="D59" s="100" t="s">
        <v>22</v>
      </c>
      <c r="E59" s="53">
        <v>-186204.4161</v>
      </c>
      <c r="F59" s="53">
        <v>3406.1918599999999</v>
      </c>
      <c r="G59" s="103">
        <v>-19.517050919999999</v>
      </c>
      <c r="H59" s="104">
        <v>7.5658355999999996E-2</v>
      </c>
      <c r="I59" s="54">
        <v>-8.2041700000000004E-5</v>
      </c>
      <c r="J59" s="54">
        <v>5.0611399999999998E-8</v>
      </c>
      <c r="K59" s="54">
        <v>-1.3192799999999999E-11</v>
      </c>
      <c r="L59" s="53">
        <v>-27029.3289</v>
      </c>
      <c r="M59" s="105">
        <v>-83851.543999999994</v>
      </c>
      <c r="N59" s="53">
        <f t="shared" si="0"/>
        <v>30.069040000000001</v>
      </c>
    </row>
    <row r="60" spans="3:14" x14ac:dyDescent="0.3">
      <c r="C60" s="99" t="s">
        <v>5</v>
      </c>
      <c r="D60" s="100" t="s">
        <v>23</v>
      </c>
      <c r="E60" s="53">
        <v>-243314.43369999999</v>
      </c>
      <c r="F60" s="53">
        <v>4656.27081</v>
      </c>
      <c r="G60" s="103">
        <v>-29.394660909999999</v>
      </c>
      <c r="H60" s="104">
        <v>0.11889527499999999</v>
      </c>
      <c r="I60" s="54">
        <v>-1.3763100000000001E-4</v>
      </c>
      <c r="J60" s="54">
        <v>8.81482E-8</v>
      </c>
      <c r="K60" s="54">
        <v>-2.3429900000000001E-11</v>
      </c>
      <c r="L60" s="53">
        <v>-35403.352700000003</v>
      </c>
      <c r="M60" s="105">
        <v>-104680</v>
      </c>
      <c r="N60" s="53">
        <f t="shared" si="0"/>
        <v>44.095619999999997</v>
      </c>
    </row>
    <row r="61" spans="3:14" x14ac:dyDescent="0.3">
      <c r="C61" s="99" t="s">
        <v>6</v>
      </c>
      <c r="D61" s="100" t="s">
        <v>24</v>
      </c>
      <c r="E61" s="53">
        <v>-383446.93300000002</v>
      </c>
      <c r="F61" s="53">
        <v>7000.03964</v>
      </c>
      <c r="G61" s="103">
        <v>-44.400269000000002</v>
      </c>
      <c r="H61" s="104">
        <v>0.17461834500000001</v>
      </c>
      <c r="I61" s="54">
        <v>-2.0782E-4</v>
      </c>
      <c r="J61" s="54">
        <v>1.3397900000000001E-7</v>
      </c>
      <c r="K61" s="54">
        <v>-3.5516799999999998E-11</v>
      </c>
      <c r="L61" s="53">
        <v>-50340.188900000001</v>
      </c>
      <c r="M61" s="105">
        <v>-134990</v>
      </c>
      <c r="N61" s="53">
        <f t="shared" si="0"/>
        <v>58.122199999999999</v>
      </c>
    </row>
    <row r="62" spans="3:14" x14ac:dyDescent="0.3">
      <c r="C62" s="99" t="s">
        <v>7</v>
      </c>
      <c r="D62" s="100" t="s">
        <v>25</v>
      </c>
      <c r="E62" s="53">
        <v>-317587.25400000002</v>
      </c>
      <c r="F62" s="53">
        <v>6176.3318200000003</v>
      </c>
      <c r="G62" s="103">
        <v>-38.915621199999997</v>
      </c>
      <c r="H62" s="104">
        <v>0.15846542799999999</v>
      </c>
      <c r="I62" s="54">
        <v>-1.8600499999999999E-4</v>
      </c>
      <c r="J62" s="54">
        <v>1.1996800000000001E-7</v>
      </c>
      <c r="K62" s="54">
        <v>-3.2016699999999998E-11</v>
      </c>
      <c r="L62" s="53">
        <v>-45403.633900000001</v>
      </c>
      <c r="M62" s="105">
        <v>-125790</v>
      </c>
      <c r="N62" s="53">
        <f t="shared" si="0"/>
        <v>58.122199999999999</v>
      </c>
    </row>
    <row r="63" spans="3:14" x14ac:dyDescent="0.3">
      <c r="C63" s="99" t="s">
        <v>8</v>
      </c>
      <c r="D63" s="100" t="s">
        <v>26</v>
      </c>
      <c r="E63" s="53">
        <v>-423190.33899999998</v>
      </c>
      <c r="F63" s="53">
        <v>6497.1890999999996</v>
      </c>
      <c r="G63" s="103">
        <v>-36.811269699999997</v>
      </c>
      <c r="H63" s="104">
        <v>0.1532424473</v>
      </c>
      <c r="I63" s="54">
        <v>-1.5487899999999999E-4</v>
      </c>
      <c r="J63" s="54">
        <v>8.7498999999999995E-8</v>
      </c>
      <c r="K63" s="54">
        <v>-2.0705499999999999E-11</v>
      </c>
      <c r="L63" s="53">
        <v>-51554.1659</v>
      </c>
      <c r="M63" s="105">
        <v>-153700</v>
      </c>
      <c r="N63" s="53">
        <f t="shared" si="0"/>
        <v>72.148780000000002</v>
      </c>
    </row>
    <row r="64" spans="3:14" x14ac:dyDescent="0.3">
      <c r="C64" s="99" t="s">
        <v>9</v>
      </c>
      <c r="D64" s="100" t="s">
        <v>27</v>
      </c>
      <c r="E64" s="53">
        <v>-276889.46250000002</v>
      </c>
      <c r="F64" s="53">
        <v>5834.2834700000003</v>
      </c>
      <c r="G64" s="103">
        <v>-36.175414799999999</v>
      </c>
      <c r="H64" s="104">
        <v>0.15333397100000001</v>
      </c>
      <c r="I64" s="54">
        <v>-1.5284000000000001E-4</v>
      </c>
      <c r="J64" s="54">
        <v>8.1910900000000006E-8</v>
      </c>
      <c r="K64" s="54">
        <v>-1.79233E-11</v>
      </c>
      <c r="L64" s="53">
        <v>-46653.752500000002</v>
      </c>
      <c r="M64" s="105">
        <v>-146760</v>
      </c>
      <c r="N64" s="53">
        <f t="shared" si="0"/>
        <v>72.148780000000002</v>
      </c>
    </row>
    <row r="65" spans="3:14" x14ac:dyDescent="0.3">
      <c r="C65" s="99" t="s">
        <v>10</v>
      </c>
      <c r="D65" s="100" t="s">
        <v>28</v>
      </c>
      <c r="E65" s="53">
        <v>-581592.67000000004</v>
      </c>
      <c r="F65" s="53">
        <v>10790.97724</v>
      </c>
      <c r="G65" s="103">
        <v>-66.339470300000002</v>
      </c>
      <c r="H65" s="104">
        <v>0.25237151600000002</v>
      </c>
      <c r="I65" s="54">
        <v>-2.90434E-4</v>
      </c>
      <c r="J65" s="54">
        <v>1.8022000000000001E-7</v>
      </c>
      <c r="K65" s="54">
        <v>-4.6172199999999997E-11</v>
      </c>
      <c r="L65" s="53">
        <v>-72715.445699999997</v>
      </c>
      <c r="M65" s="105">
        <v>-166920</v>
      </c>
      <c r="N65" s="53">
        <f t="shared" si="0"/>
        <v>86.175359999999998</v>
      </c>
    </row>
    <row r="66" spans="3:14" x14ac:dyDescent="0.3">
      <c r="C66" s="99" t="str">
        <f>VLOOKUP(D66,K7:L28,2,FALSE)</f>
        <v>Nitrogen</v>
      </c>
      <c r="D66" s="100" t="s">
        <v>30</v>
      </c>
      <c r="E66" s="53">
        <v>22103.715</v>
      </c>
      <c r="F66" s="53">
        <v>-381.846182</v>
      </c>
      <c r="G66" s="103">
        <v>6.0827383599999996</v>
      </c>
      <c r="H66" s="104">
        <v>-8.5309140000000006E-3</v>
      </c>
      <c r="I66" s="54">
        <v>1.38465E-5</v>
      </c>
      <c r="J66" s="54">
        <v>-9.6257900000000005E-9</v>
      </c>
      <c r="K66" s="54">
        <v>2.51971E-12</v>
      </c>
      <c r="L66" s="53">
        <v>710.84608600000001</v>
      </c>
      <c r="M66" s="105">
        <v>0</v>
      </c>
      <c r="N66" s="53">
        <f t="shared" si="0"/>
        <v>28.013400000000001</v>
      </c>
    </row>
    <row r="67" spans="3:14" x14ac:dyDescent="0.3">
      <c r="C67" s="99" t="str">
        <f>VLOOKUP(D67,K8:L29,2,FALSE)</f>
        <v>Carbone Monoxide</v>
      </c>
      <c r="D67" s="100" t="s">
        <v>63</v>
      </c>
      <c r="E67" s="53">
        <v>14890.45326</v>
      </c>
      <c r="F67" s="53">
        <v>-292.22859390000002</v>
      </c>
      <c r="G67" s="103">
        <v>5.72452717</v>
      </c>
      <c r="H67" s="104">
        <v>-8.1762350000000004E-3</v>
      </c>
      <c r="I67" s="54">
        <v>1.4569000000000001E-5</v>
      </c>
      <c r="J67" s="54">
        <v>-1.0877499999999999E-8</v>
      </c>
      <c r="K67" s="54">
        <v>3.0279400000000001E-12</v>
      </c>
      <c r="L67" s="53">
        <v>-13031.31878</v>
      </c>
      <c r="M67" s="105">
        <v>-110535.196</v>
      </c>
      <c r="N67" s="53">
        <f t="shared" si="0"/>
        <v>28.010100000000001</v>
      </c>
    </row>
    <row r="68" spans="3:14" x14ac:dyDescent="0.3">
      <c r="C68" s="99" t="str">
        <f>VLOOKUP(D68,K9:L30,2,FALSE)</f>
        <v>Carbon Dioxide</v>
      </c>
      <c r="D68" s="100" t="s">
        <v>31</v>
      </c>
      <c r="E68" s="53">
        <v>49436.505400000002</v>
      </c>
      <c r="F68" s="53">
        <v>-626.41160100000002</v>
      </c>
      <c r="G68" s="103">
        <v>5.3017252399999997</v>
      </c>
      <c r="H68" s="104">
        <v>2.503814E-3</v>
      </c>
      <c r="I68" s="54">
        <v>-2.1273E-7</v>
      </c>
      <c r="J68" s="54">
        <v>-7.6899900000000002E-10</v>
      </c>
      <c r="K68" s="54">
        <v>2.8498599999999999E-13</v>
      </c>
      <c r="L68" s="53">
        <v>-45281.984600000003</v>
      </c>
      <c r="M68" s="105">
        <v>-393510</v>
      </c>
      <c r="N68" s="53">
        <f t="shared" si="0"/>
        <v>44.009500000000003</v>
      </c>
    </row>
    <row r="69" spans="3:14" x14ac:dyDescent="0.3">
      <c r="C69" s="99" t="str">
        <f>VLOOKUP(D69,K10:L31,2,FALSE)</f>
        <v>Water</v>
      </c>
      <c r="D69" s="100" t="s">
        <v>53</v>
      </c>
      <c r="E69" s="53">
        <v>-39479.6083</v>
      </c>
      <c r="F69" s="53">
        <v>575.57310199999995</v>
      </c>
      <c r="G69" s="103">
        <v>0.93178265299999996</v>
      </c>
      <c r="H69" s="104">
        <v>7.2227130000000004E-3</v>
      </c>
      <c r="I69" s="54">
        <v>-7.3425600000000004E-6</v>
      </c>
      <c r="J69" s="54">
        <v>4.9550399999999999E-9</v>
      </c>
      <c r="K69" s="54">
        <v>-1.33693E-12</v>
      </c>
      <c r="L69" s="53">
        <v>-33039.7431</v>
      </c>
      <c r="M69" s="105">
        <v>-241826</v>
      </c>
      <c r="N69" s="53">
        <f t="shared" si="0"/>
        <v>18.015280000000001</v>
      </c>
    </row>
    <row r="70" spans="3:14" x14ac:dyDescent="0.3">
      <c r="C70" s="99" t="str">
        <f>VLOOKUP(D70,K10:L31,2,FALSE)</f>
        <v>Hydrogen Sulfide</v>
      </c>
      <c r="D70" s="100" t="s">
        <v>50</v>
      </c>
      <c r="E70" s="53">
        <v>9543.8088100000004</v>
      </c>
      <c r="F70" s="53">
        <v>-68.751750799999996</v>
      </c>
      <c r="G70" s="103">
        <v>4.0549219599999997</v>
      </c>
      <c r="H70" s="104">
        <v>-3.0145600000000002E-4</v>
      </c>
      <c r="I70" s="54">
        <v>3.7685E-6</v>
      </c>
      <c r="J70" s="54">
        <v>-2.23936E-9</v>
      </c>
      <c r="K70" s="54">
        <v>3.0868599999999998E-13</v>
      </c>
      <c r="L70" s="53">
        <v>-3278.4572800000001</v>
      </c>
      <c r="M70" s="105">
        <v>-20600</v>
      </c>
      <c r="N70" s="53">
        <f t="shared" si="0"/>
        <v>34.080880000000001</v>
      </c>
    </row>
    <row r="71" spans="3:14" x14ac:dyDescent="0.3">
      <c r="C71" s="99" t="str">
        <f>VLOOKUP(D71,K11:L32,2,FALSE)</f>
        <v>Hydrogen Sulfide</v>
      </c>
      <c r="D71" s="100" t="s">
        <v>50</v>
      </c>
      <c r="E71" s="53">
        <v>40783.232100000001</v>
      </c>
      <c r="F71" s="53">
        <v>-800.91860399999996</v>
      </c>
      <c r="G71" s="103">
        <v>8.2147020099999999</v>
      </c>
      <c r="H71" s="104">
        <v>-1.2697145E-2</v>
      </c>
      <c r="I71" s="54">
        <v>1.75361E-5</v>
      </c>
      <c r="J71" s="54">
        <v>-1.20286E-8</v>
      </c>
      <c r="K71" s="54">
        <v>3.36809E-12</v>
      </c>
      <c r="L71" s="53">
        <v>2682.4846649999999</v>
      </c>
      <c r="M71" s="105">
        <v>0</v>
      </c>
      <c r="N71" s="53">
        <f t="shared" si="0"/>
        <v>34.080880000000001</v>
      </c>
    </row>
    <row r="72" spans="3:14" x14ac:dyDescent="0.3">
      <c r="C72" s="99" t="str">
        <f>VLOOKUP(D72,K12:L33,2,FALSE)</f>
        <v>Helium</v>
      </c>
      <c r="D72" s="100" t="s">
        <v>54</v>
      </c>
      <c r="E72" s="53">
        <v>0</v>
      </c>
      <c r="F72" s="53">
        <v>0</v>
      </c>
      <c r="G72" s="103">
        <v>2.5</v>
      </c>
      <c r="H72" s="104">
        <v>0</v>
      </c>
      <c r="I72" s="54">
        <v>0</v>
      </c>
      <c r="J72" s="54">
        <v>0</v>
      </c>
      <c r="K72" s="54">
        <v>0</v>
      </c>
      <c r="L72" s="53">
        <v>-745.375</v>
      </c>
      <c r="M72" s="105">
        <v>0</v>
      </c>
      <c r="N72" s="53">
        <f t="shared" si="0"/>
        <v>4.0026000000000002</v>
      </c>
    </row>
    <row r="73" spans="3:14" x14ac:dyDescent="0.3">
      <c r="C73" s="99" t="str">
        <f>VLOOKUP(D73,K13:L34,2,FALSE)</f>
        <v>Oxygen</v>
      </c>
      <c r="D73" s="100" t="s">
        <v>52</v>
      </c>
      <c r="E73" s="53">
        <v>-34255.6342</v>
      </c>
      <c r="F73" s="53">
        <v>484.70009700000003</v>
      </c>
      <c r="G73" s="103">
        <v>1.11901096</v>
      </c>
      <c r="H73" s="104">
        <v>4.2938890000000004E-3</v>
      </c>
      <c r="I73" s="54">
        <v>-6.8362999999999999E-7</v>
      </c>
      <c r="J73" s="54">
        <v>-2.0233699999999998E-9</v>
      </c>
      <c r="K73" s="54">
        <v>1.03904E-12</v>
      </c>
      <c r="L73" s="53">
        <v>-3391.4549000000002</v>
      </c>
      <c r="M73" s="105">
        <v>0</v>
      </c>
      <c r="N73" s="53">
        <f t="shared" si="0"/>
        <v>31.998799999999999</v>
      </c>
    </row>
    <row r="74" spans="3:14" x14ac:dyDescent="0.3">
      <c r="C74" s="99" t="str">
        <f>VLOOKUP(D74,K14:L35,2,FALSE)</f>
        <v>Argon</v>
      </c>
      <c r="D74" s="100" t="s">
        <v>55</v>
      </c>
      <c r="E74" s="53">
        <v>0</v>
      </c>
      <c r="F74" s="53">
        <v>0</v>
      </c>
      <c r="G74" s="103">
        <v>2.5</v>
      </c>
      <c r="H74" s="104">
        <v>0</v>
      </c>
      <c r="I74" s="54">
        <v>0</v>
      </c>
      <c r="J74" s="54">
        <v>0</v>
      </c>
      <c r="K74" s="54">
        <v>0</v>
      </c>
      <c r="L74" s="53">
        <v>-745.375</v>
      </c>
      <c r="M74" s="105">
        <v>0</v>
      </c>
      <c r="N74" s="53">
        <f t="shared" si="0"/>
        <v>39.948</v>
      </c>
    </row>
    <row r="77" spans="3:14" x14ac:dyDescent="0.3">
      <c r="C77" s="9" t="s">
        <v>32</v>
      </c>
      <c r="D77" s="26">
        <v>12011</v>
      </c>
    </row>
    <row r="78" spans="3:14" x14ac:dyDescent="0.3">
      <c r="C78" s="9" t="s">
        <v>18</v>
      </c>
      <c r="D78" s="26">
        <v>1007.94</v>
      </c>
    </row>
    <row r="79" spans="3:14" x14ac:dyDescent="0.3">
      <c r="C79" s="9" t="s">
        <v>80</v>
      </c>
      <c r="D79" s="26">
        <v>15999.4</v>
      </c>
    </row>
    <row r="80" spans="3:14" x14ac:dyDescent="0.3">
      <c r="C80" s="9" t="s">
        <v>81</v>
      </c>
      <c r="D80" s="26">
        <v>14006.74</v>
      </c>
    </row>
    <row r="81" spans="3:4" x14ac:dyDescent="0.3">
      <c r="C81" s="9" t="s">
        <v>82</v>
      </c>
      <c r="D81" s="26">
        <v>32066</v>
      </c>
    </row>
    <row r="84" spans="3:4" x14ac:dyDescent="0.3">
      <c r="C84" s="2" t="s">
        <v>97</v>
      </c>
    </row>
    <row r="86" spans="3:4" x14ac:dyDescent="0.3">
      <c r="C86" s="2" t="s">
        <v>89</v>
      </c>
      <c r="D86" s="1" t="s">
        <v>90</v>
      </c>
    </row>
    <row r="87" spans="3:4" x14ac:dyDescent="0.3">
      <c r="C87" s="2" t="s">
        <v>91</v>
      </c>
      <c r="D87" s="1">
        <v>0.78102000000000005</v>
      </c>
    </row>
    <row r="88" spans="3:4" x14ac:dyDescent="0.3">
      <c r="C88" s="2" t="s">
        <v>43</v>
      </c>
      <c r="D88" s="1">
        <v>0.20946000000000001</v>
      </c>
    </row>
    <row r="89" spans="3:4" x14ac:dyDescent="0.3">
      <c r="C89" s="2" t="s">
        <v>46</v>
      </c>
      <c r="D89" s="1">
        <v>9.1599999999999997E-3</v>
      </c>
    </row>
    <row r="90" spans="3:4" x14ac:dyDescent="0.3">
      <c r="C90" s="2" t="s">
        <v>86</v>
      </c>
      <c r="D90" s="1">
        <v>3.3E-4</v>
      </c>
    </row>
    <row r="91" spans="3:4" x14ac:dyDescent="0.3">
      <c r="C91" s="2" t="s">
        <v>92</v>
      </c>
      <c r="D91" s="1">
        <v>1.8199999999999999E-5</v>
      </c>
    </row>
    <row r="92" spans="3:4" x14ac:dyDescent="0.3">
      <c r="C92" s="2" t="s">
        <v>45</v>
      </c>
      <c r="D92" s="1">
        <v>5.2000000000000002E-6</v>
      </c>
    </row>
    <row r="93" spans="3:4" x14ac:dyDescent="0.3">
      <c r="C93" s="2" t="s">
        <v>3</v>
      </c>
      <c r="D93" s="1">
        <v>1.5E-6</v>
      </c>
    </row>
    <row r="94" spans="3:4" x14ac:dyDescent="0.3">
      <c r="C94" s="2" t="s">
        <v>93</v>
      </c>
      <c r="D94" s="1">
        <v>1.1000000000000001E-6</v>
      </c>
    </row>
    <row r="95" spans="3:4" x14ac:dyDescent="0.3">
      <c r="C95" s="2" t="s">
        <v>84</v>
      </c>
      <c r="D95" s="1">
        <v>4.9999999999999998E-7</v>
      </c>
    </row>
    <row r="96" spans="3:4" x14ac:dyDescent="0.3">
      <c r="C96" s="2" t="s">
        <v>94</v>
      </c>
      <c r="D96" s="1">
        <v>2.9999999999999999E-7</v>
      </c>
    </row>
    <row r="97" spans="3:10" x14ac:dyDescent="0.3">
      <c r="C97" s="2" t="s">
        <v>95</v>
      </c>
      <c r="D97" s="1">
        <v>1.9999999999999999E-7</v>
      </c>
    </row>
    <row r="98" spans="3:10" x14ac:dyDescent="0.3">
      <c r="C98" s="2" t="s">
        <v>96</v>
      </c>
      <c r="D98" s="1">
        <v>9.9999999999999995E-8</v>
      </c>
    </row>
    <row r="100" spans="3:10" x14ac:dyDescent="0.3">
      <c r="C100" s="2" t="s">
        <v>98</v>
      </c>
    </row>
    <row r="102" spans="3:10" x14ac:dyDescent="0.3">
      <c r="C102" s="2" t="s">
        <v>19</v>
      </c>
      <c r="D102" s="1">
        <v>14.0067</v>
      </c>
      <c r="E102" s="28">
        <v>75.70093961979974</v>
      </c>
      <c r="F102" s="2">
        <f>D102*2</f>
        <v>28.013400000000001</v>
      </c>
      <c r="G102" s="2" t="s">
        <v>30</v>
      </c>
      <c r="H102" s="2">
        <f>E102*F102</f>
        <v>2120.6407019452981</v>
      </c>
      <c r="J102" s="2">
        <f>D102*$D$109</f>
        <v>1667.3623582913999</v>
      </c>
    </row>
    <row r="103" spans="3:10" x14ac:dyDescent="0.3">
      <c r="C103" s="2" t="s">
        <v>43</v>
      </c>
      <c r="D103" s="1">
        <v>15.9994</v>
      </c>
      <c r="E103" s="28">
        <v>20.308296229441588</v>
      </c>
      <c r="F103" s="2">
        <f>D103*2</f>
        <v>31.998799999999999</v>
      </c>
      <c r="G103" s="2" t="s">
        <v>52</v>
      </c>
      <c r="H103" s="2">
        <f t="shared" ref="H103:H106" si="1">E103*F103</f>
        <v>649.84110938665549</v>
      </c>
      <c r="J103" s="2">
        <f t="shared" ref="J103:J106" si="2">D103*$D$109</f>
        <v>1904.5740477948</v>
      </c>
    </row>
    <row r="104" spans="3:10" x14ac:dyDescent="0.3">
      <c r="C104" s="2" t="s">
        <v>46</v>
      </c>
      <c r="D104" s="1">
        <v>39.948</v>
      </c>
      <c r="E104" s="28">
        <v>0.90791877918578023</v>
      </c>
      <c r="F104" s="2">
        <f>D104</f>
        <v>39.948</v>
      </c>
      <c r="G104" s="2" t="s">
        <v>55</v>
      </c>
      <c r="H104" s="2">
        <f t="shared" si="1"/>
        <v>36.26953939091355</v>
      </c>
      <c r="J104" s="2">
        <f t="shared" si="2"/>
        <v>4755.4235822159999</v>
      </c>
    </row>
    <row r="105" spans="3:10" x14ac:dyDescent="0.3">
      <c r="C105" s="2" t="s">
        <v>83</v>
      </c>
      <c r="D105" s="1">
        <v>12.0107</v>
      </c>
      <c r="E105" s="28">
        <v>3.0926437860145636E-2</v>
      </c>
      <c r="F105" s="2">
        <f>D105+D103*2</f>
        <v>44.009500000000003</v>
      </c>
      <c r="G105" s="2" t="s">
        <v>31</v>
      </c>
      <c r="H105" s="2">
        <f t="shared" si="1"/>
        <v>1.3610570670060795</v>
      </c>
      <c r="J105" s="2">
        <f t="shared" si="2"/>
        <v>1429.7578356593999</v>
      </c>
    </row>
    <row r="106" spans="3:10" x14ac:dyDescent="0.3">
      <c r="C106" s="2" t="s">
        <v>84</v>
      </c>
      <c r="D106" s="1">
        <v>1.0079400000000001</v>
      </c>
      <c r="E106" s="28">
        <v>3.0519189337127384</v>
      </c>
      <c r="F106" s="2">
        <f>D106*2+D103</f>
        <v>18.015280000000001</v>
      </c>
      <c r="G106" s="2" t="s">
        <v>53</v>
      </c>
      <c r="H106" s="2">
        <f t="shared" si="1"/>
        <v>54.981174128136423</v>
      </c>
      <c r="J106" s="2">
        <f t="shared" si="2"/>
        <v>119.98552231548</v>
      </c>
    </row>
    <row r="107" spans="3:10" x14ac:dyDescent="0.3">
      <c r="C107" s="2" t="s">
        <v>85</v>
      </c>
      <c r="D107" s="1">
        <v>32.064999999999998</v>
      </c>
      <c r="J107" s="2">
        <f>D107*$D$109</f>
        <v>3817.0285662299998</v>
      </c>
    </row>
    <row r="108" spans="3:10" x14ac:dyDescent="0.3">
      <c r="C108" s="2" t="s">
        <v>45</v>
      </c>
      <c r="D108" s="1">
        <v>4.0026020000000004</v>
      </c>
      <c r="H108" s="2">
        <f>SUM(H102:H106)/100</f>
        <v>28.630935819180095</v>
      </c>
      <c r="J108" s="2">
        <f>D108*$D$109</f>
        <v>476.47111096988402</v>
      </c>
    </row>
    <row r="109" spans="3:10" x14ac:dyDescent="0.3">
      <c r="D109" s="1">
        <f>SUM(D102:D108)</f>
        <v>119.040342</v>
      </c>
    </row>
    <row r="111" spans="3:10" x14ac:dyDescent="0.3">
      <c r="D111" s="27">
        <f>F176+459.67</f>
        <v>548.35199999999998</v>
      </c>
      <c r="E111" s="2" t="s">
        <v>180</v>
      </c>
    </row>
    <row r="112" spans="3:10" x14ac:dyDescent="0.3">
      <c r="D112" s="1" t="s">
        <v>175</v>
      </c>
      <c r="E112" s="33">
        <f>-1.0214165*10000</f>
        <v>-10214.164999999999</v>
      </c>
      <c r="F112" s="33"/>
      <c r="G112" s="33">
        <f>-1.0440397*10000</f>
        <v>-10440.396999999999</v>
      </c>
    </row>
    <row r="113" spans="1:19" x14ac:dyDescent="0.3">
      <c r="D113" s="1" t="s">
        <v>139</v>
      </c>
      <c r="E113" s="33">
        <f>-4.8932428</f>
        <v>-4.8932428000000003</v>
      </c>
      <c r="F113" s="33"/>
      <c r="G113" s="33">
        <f>-1.129465*10</f>
        <v>-11.294649999999999</v>
      </c>
      <c r="H113" s="31"/>
    </row>
    <row r="114" spans="1:19" x14ac:dyDescent="0.3">
      <c r="D114" s="1" t="s">
        <v>140</v>
      </c>
      <c r="E114" s="33">
        <f>-5.3765794/1000</f>
        <v>-5.3765793999999995E-3</v>
      </c>
      <c r="F114" s="33"/>
      <c r="G114" s="33">
        <f>-2.7022355/100</f>
        <v>-2.7022355000000001E-2</v>
      </c>
      <c r="N114" s="30" t="s">
        <v>179</v>
      </c>
      <c r="O114" s="2">
        <v>2.7182818284589998</v>
      </c>
    </row>
    <row r="115" spans="1:19" x14ac:dyDescent="0.3">
      <c r="D115" s="1" t="s">
        <v>143</v>
      </c>
      <c r="E115" s="33">
        <f>1.9202377/10000000</f>
        <v>1.9202376999999999E-7</v>
      </c>
      <c r="F115" s="33"/>
      <c r="G115" s="33">
        <f>1.289036/100000</f>
        <v>1.289036E-5</v>
      </c>
    </row>
    <row r="116" spans="1:19" x14ac:dyDescent="0.3">
      <c r="D116" s="1" t="s">
        <v>144</v>
      </c>
      <c r="E116" s="33">
        <f>3.5575832/10000000000</f>
        <v>3.5575831999999998E-10</v>
      </c>
      <c r="F116" s="33"/>
      <c r="G116" s="33">
        <f>-2.4780681/1000000000</f>
        <v>-2.4780681000000001E-9</v>
      </c>
    </row>
    <row r="117" spans="1:19" x14ac:dyDescent="0.3">
      <c r="D117" s="1" t="s">
        <v>145</v>
      </c>
      <c r="E117" s="33">
        <f>-9.0344688/100000000000000</f>
        <v>-9.0344688000000011E-14</v>
      </c>
      <c r="F117" s="33"/>
      <c r="G117" s="33">
        <v>0</v>
      </c>
    </row>
    <row r="118" spans="1:19" x14ac:dyDescent="0.3">
      <c r="D118" s="1" t="s">
        <v>151</v>
      </c>
      <c r="E118" s="33">
        <f>4.1635019</f>
        <v>4.1635019</v>
      </c>
      <c r="F118" s="33"/>
      <c r="G118" s="33">
        <f>6.5459673</f>
        <v>6.5459673</v>
      </c>
    </row>
    <row r="119" spans="1:19" x14ac:dyDescent="0.3">
      <c r="D119" s="1" t="s">
        <v>178</v>
      </c>
      <c r="E119" s="32">
        <f>2.718281828459^((E112/D111)+E113+(E114*D111)+(E115*(D111^2))+(E116*(D111^3))+(E117*(D111^4))+(E118*(LN(D111))))</f>
        <v>0.90354381938691941</v>
      </c>
      <c r="F119" s="32"/>
      <c r="G119" s="32">
        <f>2.718281828459^((G112/D111)+G113+(G114*D111)+(G115*(D111^2))+(G116*(D111^3))+(G117*(D111^4))+(G118*(LN(D111))))</f>
        <v>0.67050837851653633</v>
      </c>
      <c r="H119" s="2" t="s">
        <v>209</v>
      </c>
    </row>
    <row r="120" spans="1:19" x14ac:dyDescent="0.3">
      <c r="E120" s="29" t="s">
        <v>181</v>
      </c>
      <c r="F120" s="29"/>
      <c r="G120" s="29" t="s">
        <v>182</v>
      </c>
    </row>
    <row r="121" spans="1:19" x14ac:dyDescent="0.3">
      <c r="A121" s="11"/>
      <c r="B121" s="11"/>
      <c r="C121" s="11"/>
      <c r="D121" s="18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x14ac:dyDescent="0.3">
      <c r="A122" s="11"/>
      <c r="B122" s="40"/>
      <c r="C122" s="40"/>
      <c r="D122" s="41"/>
      <c r="E122" s="40"/>
      <c r="F122" s="40"/>
      <c r="G122" s="40"/>
      <c r="H122" s="40"/>
      <c r="I122" s="40"/>
      <c r="J122" s="40"/>
      <c r="K122" s="109"/>
      <c r="L122" s="110"/>
      <c r="M122" s="11"/>
      <c r="N122" s="11"/>
      <c r="O122" s="11"/>
      <c r="P122" s="11"/>
      <c r="Q122" s="11"/>
      <c r="R122" s="11"/>
      <c r="S122" s="11"/>
    </row>
    <row r="123" spans="1:19" ht="14.4" x14ac:dyDescent="0.3">
      <c r="A123" s="11"/>
      <c r="B123" s="40"/>
      <c r="C123" s="50" t="s">
        <v>280</v>
      </c>
      <c r="D123" s="41"/>
      <c r="E123" s="40"/>
      <c r="F123" s="40"/>
      <c r="G123" s="40"/>
      <c r="H123" s="40"/>
      <c r="I123" s="112" t="s">
        <v>335</v>
      </c>
      <c r="J123" s="40"/>
      <c r="K123" s="109"/>
      <c r="L123" s="110"/>
      <c r="M123" s="11"/>
      <c r="N123" s="11"/>
      <c r="O123" s="11"/>
      <c r="P123" s="11"/>
      <c r="Q123" s="11"/>
      <c r="R123" s="11"/>
      <c r="S123" s="11"/>
    </row>
    <row r="124" spans="1:19" x14ac:dyDescent="0.3">
      <c r="A124" s="11"/>
      <c r="B124" s="40"/>
      <c r="C124" s="40"/>
      <c r="D124" s="41"/>
      <c r="E124" s="40"/>
      <c r="F124" s="40"/>
      <c r="G124" s="40"/>
      <c r="H124" s="40"/>
      <c r="I124" s="40"/>
      <c r="J124" s="40"/>
      <c r="K124" s="109"/>
      <c r="L124" s="110"/>
      <c r="M124" s="11"/>
      <c r="N124" s="11"/>
      <c r="O124" s="11"/>
      <c r="P124" s="11"/>
      <c r="Q124" s="11"/>
      <c r="R124" s="11"/>
      <c r="S124" s="11"/>
    </row>
    <row r="125" spans="1:19" x14ac:dyDescent="0.3">
      <c r="A125" s="11"/>
      <c r="B125" s="40"/>
      <c r="C125" s="41" t="s">
        <v>238</v>
      </c>
      <c r="D125" s="42">
        <f>'PC Version'!D7</f>
        <v>14.663029999999999</v>
      </c>
      <c r="E125" s="41" t="s">
        <v>251</v>
      </c>
      <c r="F125" s="42"/>
      <c r="G125" s="40"/>
      <c r="H125" s="40"/>
      <c r="I125" s="110" t="s">
        <v>21</v>
      </c>
      <c r="J125" s="111" t="s">
        <v>3</v>
      </c>
      <c r="K125" s="113">
        <f>'PC Version'!H7/100</f>
        <v>0.91025999999999996</v>
      </c>
      <c r="L125" s="110" t="s">
        <v>2</v>
      </c>
      <c r="M125" s="11"/>
      <c r="N125" s="11"/>
      <c r="O125" s="11"/>
      <c r="P125" s="11"/>
      <c r="Q125" s="11"/>
      <c r="R125" s="11"/>
      <c r="S125" s="11"/>
    </row>
    <row r="126" spans="1:19" x14ac:dyDescent="0.3">
      <c r="A126" s="11"/>
      <c r="B126" s="40"/>
      <c r="C126" s="41" t="s">
        <v>239</v>
      </c>
      <c r="D126" s="42">
        <f>'PC Version'!D8</f>
        <v>88.682000000000002</v>
      </c>
      <c r="E126" s="41" t="s">
        <v>252</v>
      </c>
      <c r="F126" s="42"/>
      <c r="G126" s="40"/>
      <c r="H126" s="40"/>
      <c r="I126" s="110" t="s">
        <v>22</v>
      </c>
      <c r="J126" s="111" t="s">
        <v>4</v>
      </c>
      <c r="K126" s="113">
        <f>'PC Version'!H8/100</f>
        <v>6.5329999999999999E-2</v>
      </c>
      <c r="L126" s="110" t="s">
        <v>2</v>
      </c>
      <c r="M126" s="11"/>
      <c r="N126" s="11"/>
      <c r="O126" s="11"/>
      <c r="P126" s="11"/>
      <c r="Q126" s="11"/>
      <c r="R126" s="11"/>
      <c r="S126" s="11"/>
    </row>
    <row r="127" spans="1:19" x14ac:dyDescent="0.3">
      <c r="A127" s="11"/>
      <c r="B127" s="40"/>
      <c r="C127" s="41" t="s">
        <v>240</v>
      </c>
      <c r="D127" s="42">
        <f>'PC Version'!D9</f>
        <v>0</v>
      </c>
      <c r="E127" s="41" t="s">
        <v>252</v>
      </c>
      <c r="F127" s="42"/>
      <c r="G127" s="40"/>
      <c r="H127" s="40"/>
      <c r="I127" s="110" t="s">
        <v>23</v>
      </c>
      <c r="J127" s="111" t="s">
        <v>5</v>
      </c>
      <c r="K127" s="113">
        <f>'PC Version'!H9/100</f>
        <v>1.1000000000000001E-2</v>
      </c>
      <c r="L127" s="110" t="s">
        <v>2</v>
      </c>
      <c r="M127" s="11"/>
      <c r="N127" s="11"/>
      <c r="O127" s="11"/>
      <c r="P127" s="11"/>
      <c r="Q127" s="11"/>
      <c r="R127" s="11"/>
      <c r="S127" s="11"/>
    </row>
    <row r="128" spans="1:19" x14ac:dyDescent="0.3">
      <c r="A128" s="11"/>
      <c r="B128" s="40"/>
      <c r="C128" s="41" t="s">
        <v>241</v>
      </c>
      <c r="D128" s="42">
        <f>'PC Version'!D10</f>
        <v>88.83</v>
      </c>
      <c r="E128" s="41" t="s">
        <v>2</v>
      </c>
      <c r="F128" s="42"/>
      <c r="G128" s="40"/>
      <c r="H128" s="40"/>
      <c r="I128" s="110" t="s">
        <v>24</v>
      </c>
      <c r="J128" s="111" t="s">
        <v>6</v>
      </c>
      <c r="K128" s="113">
        <f>'PC Version'!H10/100</f>
        <v>8.1000000000000006E-4</v>
      </c>
      <c r="L128" s="110" t="s">
        <v>2</v>
      </c>
      <c r="M128" s="11"/>
      <c r="N128" s="11"/>
      <c r="O128" s="11"/>
      <c r="P128" s="11"/>
      <c r="Q128" s="11"/>
      <c r="R128" s="11"/>
      <c r="S128" s="11"/>
    </row>
    <row r="129" spans="1:19" x14ac:dyDescent="0.3">
      <c r="A129" s="11"/>
      <c r="B129" s="40"/>
      <c r="C129" s="41"/>
      <c r="D129" s="42"/>
      <c r="E129" s="41"/>
      <c r="F129" s="41"/>
      <c r="G129" s="40"/>
      <c r="H129" s="40"/>
      <c r="I129" s="110" t="s">
        <v>25</v>
      </c>
      <c r="J129" s="111" t="s">
        <v>7</v>
      </c>
      <c r="K129" s="113">
        <f>'PC Version'!H11/100</f>
        <v>8.0000000000000004E-4</v>
      </c>
      <c r="L129" s="110" t="s">
        <v>2</v>
      </c>
      <c r="M129" s="11"/>
      <c r="N129" s="11"/>
      <c r="O129" s="11"/>
      <c r="P129" s="11"/>
      <c r="Q129" s="11"/>
      <c r="R129" s="11"/>
      <c r="S129" s="11"/>
    </row>
    <row r="130" spans="1:19" x14ac:dyDescent="0.3">
      <c r="A130" s="11"/>
      <c r="B130" s="40"/>
      <c r="C130" s="41" t="s">
        <v>242</v>
      </c>
      <c r="D130" s="42"/>
      <c r="E130" s="41"/>
      <c r="F130" s="41"/>
      <c r="G130" s="40"/>
      <c r="H130" s="40"/>
      <c r="I130" s="110" t="s">
        <v>26</v>
      </c>
      <c r="J130" s="111" t="s">
        <v>8</v>
      </c>
      <c r="K130" s="113">
        <f>'PC Version'!H12/100</f>
        <v>2.7E-4</v>
      </c>
      <c r="L130" s="110" t="s">
        <v>2</v>
      </c>
      <c r="M130" s="11"/>
      <c r="N130" s="11"/>
      <c r="O130" s="11"/>
      <c r="P130" s="11"/>
      <c r="Q130" s="11"/>
      <c r="R130" s="11"/>
      <c r="S130" s="11"/>
    </row>
    <row r="131" spans="1:19" x14ac:dyDescent="0.3">
      <c r="A131" s="11"/>
      <c r="B131" s="40"/>
      <c r="C131" s="41"/>
      <c r="D131" s="42"/>
      <c r="E131" s="41"/>
      <c r="F131" s="41"/>
      <c r="G131" s="40"/>
      <c r="H131" s="40"/>
      <c r="I131" s="110" t="s">
        <v>27</v>
      </c>
      <c r="J131" s="111" t="s">
        <v>9</v>
      </c>
      <c r="K131" s="113">
        <f>'PC Version'!H13/100</f>
        <v>2.1999999999999998E-4</v>
      </c>
      <c r="L131" s="110" t="s">
        <v>2</v>
      </c>
      <c r="M131" s="11"/>
      <c r="N131" s="11"/>
      <c r="O131" s="11"/>
      <c r="P131" s="11"/>
      <c r="Q131" s="11"/>
      <c r="R131" s="11"/>
      <c r="S131" s="11"/>
    </row>
    <row r="132" spans="1:19" x14ac:dyDescent="0.3">
      <c r="A132" s="11"/>
      <c r="B132" s="40"/>
      <c r="C132" s="41" t="s">
        <v>243</v>
      </c>
      <c r="D132" s="42">
        <f>'PC Version'!D16</f>
        <v>0</v>
      </c>
      <c r="E132" s="41" t="s">
        <v>253</v>
      </c>
      <c r="F132" s="41" t="s">
        <v>193</v>
      </c>
      <c r="G132" s="43">
        <f>'PC Version'!D13</f>
        <v>77382.25</v>
      </c>
      <c r="H132" s="40" t="s">
        <v>253</v>
      </c>
      <c r="I132" s="110" t="s">
        <v>28</v>
      </c>
      <c r="J132" s="111" t="s">
        <v>10</v>
      </c>
      <c r="K132" s="113">
        <f>'PC Version'!H14/100</f>
        <v>0</v>
      </c>
      <c r="L132" s="110" t="s">
        <v>2</v>
      </c>
      <c r="M132" s="11"/>
      <c r="N132" s="11"/>
      <c r="O132" s="11"/>
      <c r="P132" s="11"/>
      <c r="Q132" s="11"/>
      <c r="R132" s="11"/>
      <c r="S132" s="11"/>
    </row>
    <row r="133" spans="1:19" x14ac:dyDescent="0.3">
      <c r="A133" s="11"/>
      <c r="B133" s="40"/>
      <c r="C133" s="41" t="s">
        <v>244</v>
      </c>
      <c r="D133" s="42">
        <f>'PC Version'!D17</f>
        <v>200</v>
      </c>
      <c r="E133" s="41" t="s">
        <v>252</v>
      </c>
      <c r="F133" s="41" t="s">
        <v>255</v>
      </c>
      <c r="G133" s="43">
        <f>'PC Version'!D14</f>
        <v>80.599999999999994</v>
      </c>
      <c r="H133" s="40" t="s">
        <v>252</v>
      </c>
      <c r="I133" s="110" t="s">
        <v>30</v>
      </c>
      <c r="J133" s="111" t="s">
        <v>19</v>
      </c>
      <c r="K133" s="113">
        <f>'PC Version'!H15/100</f>
        <v>4.9899999999999996E-3</v>
      </c>
      <c r="L133" s="110" t="s">
        <v>2</v>
      </c>
      <c r="M133" s="11"/>
      <c r="N133" s="11"/>
      <c r="O133" s="11"/>
      <c r="P133" s="11"/>
      <c r="Q133" s="11"/>
      <c r="R133" s="11"/>
      <c r="S133" s="11"/>
    </row>
    <row r="134" spans="1:19" x14ac:dyDescent="0.3">
      <c r="A134" s="11"/>
      <c r="B134" s="40"/>
      <c r="C134" s="41" t="s">
        <v>245</v>
      </c>
      <c r="D134" s="42">
        <f>'PC Version'!D18</f>
        <v>150</v>
      </c>
      <c r="E134" s="41" t="s">
        <v>254</v>
      </c>
      <c r="F134" s="128" t="s">
        <v>355</v>
      </c>
      <c r="G134" s="43">
        <f>E419</f>
        <v>20822.563175795305</v>
      </c>
      <c r="H134" s="40" t="s">
        <v>264</v>
      </c>
      <c r="I134" s="110" t="s">
        <v>63</v>
      </c>
      <c r="J134" s="111" t="s">
        <v>39</v>
      </c>
      <c r="K134" s="113">
        <f>'PC Version'!H16/100</f>
        <v>0</v>
      </c>
      <c r="L134" s="110" t="s">
        <v>2</v>
      </c>
      <c r="M134" s="11"/>
      <c r="N134" s="11"/>
      <c r="O134" s="11"/>
      <c r="P134" s="11"/>
      <c r="Q134" s="11"/>
      <c r="R134" s="11"/>
      <c r="S134" s="11"/>
    </row>
    <row r="135" spans="1:19" x14ac:dyDescent="0.3">
      <c r="A135" s="11"/>
      <c r="B135" s="40"/>
      <c r="C135" s="41" t="s">
        <v>246</v>
      </c>
      <c r="D135" s="97">
        <f>'PC Version'!D19</f>
        <v>0</v>
      </c>
      <c r="E135" s="41"/>
      <c r="F135" s="41"/>
      <c r="G135" s="43"/>
      <c r="H135" s="40"/>
      <c r="I135" s="110" t="s">
        <v>31</v>
      </c>
      <c r="J135" s="111" t="s">
        <v>11</v>
      </c>
      <c r="K135" s="113">
        <f>'PC Version'!H17/100</f>
        <v>6.3200000000000001E-3</v>
      </c>
      <c r="L135" s="110" t="s">
        <v>2</v>
      </c>
      <c r="M135" s="11"/>
      <c r="N135" s="11"/>
      <c r="O135" s="11"/>
      <c r="P135" s="11"/>
      <c r="Q135" s="11"/>
      <c r="R135" s="11"/>
      <c r="S135" s="11"/>
    </row>
    <row r="136" spans="1:19" x14ac:dyDescent="0.3">
      <c r="A136" s="11"/>
      <c r="B136" s="40"/>
      <c r="C136" s="41"/>
      <c r="D136" s="42"/>
      <c r="E136" s="41"/>
      <c r="F136" s="41" t="s">
        <v>256</v>
      </c>
      <c r="G136" s="43">
        <f>'PC Version'!D28</f>
        <v>158.637</v>
      </c>
      <c r="H136" s="40" t="s">
        <v>168</v>
      </c>
      <c r="I136" s="110" t="s">
        <v>53</v>
      </c>
      <c r="J136" s="111" t="s">
        <v>44</v>
      </c>
      <c r="K136" s="113">
        <f>'PC Version'!H18/100</f>
        <v>0</v>
      </c>
      <c r="L136" s="110" t="s">
        <v>2</v>
      </c>
      <c r="M136" s="11"/>
      <c r="N136" s="11"/>
      <c r="O136" s="11"/>
      <c r="P136" s="11"/>
      <c r="Q136" s="11"/>
      <c r="R136" s="11"/>
      <c r="S136" s="11"/>
    </row>
    <row r="137" spans="1:19" x14ac:dyDescent="0.3">
      <c r="A137" s="11"/>
      <c r="B137" s="40"/>
      <c r="C137" s="41" t="s">
        <v>247</v>
      </c>
      <c r="D137" s="42">
        <f>'PC Version'!D21</f>
        <v>0</v>
      </c>
      <c r="E137" s="41" t="s">
        <v>253</v>
      </c>
      <c r="F137" s="41" t="s">
        <v>257</v>
      </c>
      <c r="G137" s="43">
        <f>'PC Version'!D29</f>
        <v>0</v>
      </c>
      <c r="H137" s="40" t="s">
        <v>168</v>
      </c>
      <c r="I137" s="110" t="s">
        <v>50</v>
      </c>
      <c r="J137" s="111" t="s">
        <v>228</v>
      </c>
      <c r="K137" s="113">
        <f>'PC Version'!H19/100</f>
        <v>0</v>
      </c>
      <c r="L137" s="110" t="s">
        <v>2</v>
      </c>
      <c r="M137" s="11"/>
      <c r="N137" s="11"/>
      <c r="O137" s="11"/>
      <c r="P137" s="11"/>
      <c r="Q137" s="11"/>
      <c r="R137" s="11"/>
      <c r="S137" s="11"/>
    </row>
    <row r="138" spans="1:19" x14ac:dyDescent="0.3">
      <c r="A138" s="11"/>
      <c r="B138" s="40"/>
      <c r="C138" s="41" t="s">
        <v>248</v>
      </c>
      <c r="D138" s="42">
        <f>'PC Version'!D22</f>
        <v>600</v>
      </c>
      <c r="E138" s="41" t="s">
        <v>252</v>
      </c>
      <c r="F138" s="41" t="s">
        <v>258</v>
      </c>
      <c r="G138" s="43">
        <f>'PC Version'!D30</f>
        <v>0</v>
      </c>
      <c r="H138" s="40" t="s">
        <v>168</v>
      </c>
      <c r="I138" s="110" t="s">
        <v>51</v>
      </c>
      <c r="J138" s="111" t="s">
        <v>42</v>
      </c>
      <c r="K138" s="113">
        <f>'PC Version'!H20/100</f>
        <v>0</v>
      </c>
      <c r="L138" s="110" t="s">
        <v>2</v>
      </c>
      <c r="M138" s="11"/>
      <c r="N138" s="11"/>
      <c r="O138" s="11"/>
      <c r="P138" s="11"/>
      <c r="Q138" s="11"/>
      <c r="R138" s="11"/>
      <c r="S138" s="11"/>
    </row>
    <row r="139" spans="1:19" x14ac:dyDescent="0.3">
      <c r="A139" s="11"/>
      <c r="B139" s="40"/>
      <c r="C139" s="41"/>
      <c r="D139" s="42"/>
      <c r="E139" s="41"/>
      <c r="F139" s="41" t="s">
        <v>259</v>
      </c>
      <c r="G139" s="43">
        <f>'PC Version'!D31</f>
        <v>0</v>
      </c>
      <c r="H139" s="40" t="s">
        <v>263</v>
      </c>
      <c r="I139" s="110" t="s">
        <v>54</v>
      </c>
      <c r="J139" s="111" t="s">
        <v>45</v>
      </c>
      <c r="K139" s="113">
        <f>'PC Version'!H21/100</f>
        <v>0</v>
      </c>
      <c r="L139" s="110" t="s">
        <v>2</v>
      </c>
      <c r="M139" s="11"/>
      <c r="N139" s="11"/>
      <c r="O139" s="11"/>
      <c r="P139" s="11"/>
      <c r="Q139" s="11"/>
      <c r="R139" s="11"/>
      <c r="S139" s="11"/>
    </row>
    <row r="140" spans="1:19" x14ac:dyDescent="0.3">
      <c r="A140" s="11"/>
      <c r="B140" s="40"/>
      <c r="C140" s="41" t="s">
        <v>249</v>
      </c>
      <c r="D140" s="42">
        <f>'PC Version'!D24</f>
        <v>80</v>
      </c>
      <c r="E140" s="41" t="s">
        <v>252</v>
      </c>
      <c r="F140" s="41" t="s">
        <v>260</v>
      </c>
      <c r="G140" s="43">
        <f>'PC Version'!D32</f>
        <v>0</v>
      </c>
      <c r="H140" s="40" t="s">
        <v>263</v>
      </c>
      <c r="I140" s="110" t="s">
        <v>52</v>
      </c>
      <c r="J140" s="111" t="s">
        <v>43</v>
      </c>
      <c r="K140" s="113">
        <f>'PC Version'!H22/100</f>
        <v>0</v>
      </c>
      <c r="L140" s="110" t="s">
        <v>2</v>
      </c>
      <c r="M140" s="11"/>
      <c r="N140" s="11"/>
      <c r="O140" s="11"/>
      <c r="P140" s="11"/>
      <c r="Q140" s="11"/>
      <c r="R140" s="11"/>
      <c r="S140" s="11"/>
    </row>
    <row r="141" spans="1:19" x14ac:dyDescent="0.3">
      <c r="A141" s="11"/>
      <c r="B141" s="40"/>
      <c r="C141" s="41" t="s">
        <v>250</v>
      </c>
      <c r="D141" s="42">
        <f>'PC Version'!D25</f>
        <v>1058</v>
      </c>
      <c r="E141" s="41" t="s">
        <v>252</v>
      </c>
      <c r="F141" s="41"/>
      <c r="G141" s="40"/>
      <c r="H141" s="40"/>
      <c r="I141" s="110" t="s">
        <v>55</v>
      </c>
      <c r="J141" s="111" t="s">
        <v>46</v>
      </c>
      <c r="K141" s="113">
        <f>'PC Version'!H23/100</f>
        <v>0</v>
      </c>
      <c r="L141" s="110" t="s">
        <v>2</v>
      </c>
      <c r="M141" s="11"/>
      <c r="N141" s="11"/>
      <c r="O141" s="11"/>
      <c r="P141" s="11"/>
      <c r="Q141" s="11"/>
      <c r="R141" s="11"/>
      <c r="S141" s="11"/>
    </row>
    <row r="142" spans="1:19" x14ac:dyDescent="0.3">
      <c r="A142" s="11"/>
      <c r="B142" s="40"/>
      <c r="C142" s="41"/>
      <c r="D142" s="34"/>
      <c r="E142" s="41"/>
      <c r="F142" s="41"/>
      <c r="G142" s="40"/>
      <c r="H142" s="40"/>
      <c r="I142" s="40"/>
      <c r="J142" s="40"/>
      <c r="K142" s="40"/>
      <c r="L142" s="40"/>
      <c r="M142" s="11"/>
      <c r="N142" s="11"/>
      <c r="O142" s="11"/>
      <c r="P142" s="11"/>
      <c r="Q142" s="11"/>
      <c r="R142" s="11"/>
      <c r="S142" s="11"/>
    </row>
    <row r="143" spans="1:19" ht="20.100000000000001" customHeight="1" x14ac:dyDescent="0.3">
      <c r="A143" s="11"/>
      <c r="B143" s="40"/>
      <c r="C143" s="87" t="s">
        <v>261</v>
      </c>
      <c r="D143" s="88" t="e">
        <f ca="1">D171</f>
        <v>#NAME?</v>
      </c>
      <c r="E143" s="89" t="s">
        <v>187</v>
      </c>
      <c r="F143" s="119" t="e">
        <f ca="1">(D143*0.453592)</f>
        <v>#NAME?</v>
      </c>
      <c r="G143" s="40" t="s">
        <v>148</v>
      </c>
      <c r="H143" s="118"/>
      <c r="I143" s="40"/>
      <c r="J143" s="117" t="s">
        <v>176</v>
      </c>
      <c r="K143" s="114">
        <f>SUM(K125:K141)*100</f>
        <v>100</v>
      </c>
      <c r="L143" s="41" t="s">
        <v>2</v>
      </c>
      <c r="M143" s="11"/>
      <c r="N143" s="11"/>
      <c r="O143" s="11"/>
      <c r="P143" s="11"/>
      <c r="Q143" s="11"/>
      <c r="R143" s="11"/>
      <c r="S143" s="11"/>
    </row>
    <row r="144" spans="1:19" ht="20.100000000000001" customHeight="1" x14ac:dyDescent="0.3">
      <c r="A144" s="11"/>
      <c r="B144" s="40"/>
      <c r="C144" s="87" t="s">
        <v>262</v>
      </c>
      <c r="D144" s="90" t="e">
        <f ca="1">F171</f>
        <v>#NAME?</v>
      </c>
      <c r="E144" s="87" t="s">
        <v>263</v>
      </c>
      <c r="F144" s="119" t="e">
        <f ca="1">E171*2.326</f>
        <v>#NAME?</v>
      </c>
      <c r="G144" s="40" t="s">
        <v>34</v>
      </c>
      <c r="H144" s="40"/>
      <c r="I144" s="40"/>
      <c r="J144" s="40"/>
      <c r="K144" s="40"/>
      <c r="L144" s="40"/>
      <c r="M144" s="11"/>
      <c r="N144" s="11"/>
      <c r="O144" s="11"/>
      <c r="P144" s="11"/>
      <c r="Q144" s="11"/>
      <c r="R144" s="11"/>
      <c r="S144" s="11"/>
    </row>
    <row r="145" spans="1:19" x14ac:dyDescent="0.3">
      <c r="A145" s="11"/>
      <c r="B145" s="40"/>
      <c r="C145" s="40"/>
      <c r="D145" s="41"/>
      <c r="E145" s="40"/>
      <c r="F145" s="40"/>
      <c r="G145" s="40"/>
      <c r="H145" s="40"/>
      <c r="I145" s="40"/>
      <c r="J145" s="40"/>
      <c r="K145" s="40"/>
      <c r="L145" s="40"/>
      <c r="M145" s="11"/>
      <c r="N145" s="11"/>
      <c r="O145" s="11"/>
      <c r="P145" s="11"/>
      <c r="Q145" s="11"/>
      <c r="R145" s="11"/>
      <c r="S145" s="11"/>
    </row>
    <row r="146" spans="1:19" x14ac:dyDescent="0.3">
      <c r="A146" s="11"/>
      <c r="B146" s="11"/>
      <c r="C146" s="11"/>
      <c r="D146" s="18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x14ac:dyDescent="0.3">
      <c r="A147" s="11"/>
      <c r="B147" s="44"/>
      <c r="C147" s="44"/>
      <c r="D147" s="45"/>
      <c r="E147" s="44"/>
      <c r="F147" s="44"/>
      <c r="G147" s="44"/>
      <c r="H147" s="44"/>
      <c r="I147" s="44"/>
      <c r="J147" s="44"/>
      <c r="K147" s="44"/>
      <c r="L147" s="44"/>
      <c r="M147" s="11"/>
      <c r="N147" s="11"/>
      <c r="O147" s="11"/>
      <c r="P147" s="11"/>
      <c r="Q147" s="11"/>
      <c r="R147" s="11"/>
      <c r="S147" s="11"/>
    </row>
    <row r="148" spans="1:19" ht="14.4" x14ac:dyDescent="0.3">
      <c r="A148" s="11"/>
      <c r="B148" s="44"/>
      <c r="C148" s="49" t="s">
        <v>265</v>
      </c>
      <c r="D148" s="45"/>
      <c r="E148" s="44"/>
      <c r="F148" s="44"/>
      <c r="G148" s="44"/>
      <c r="H148" s="44"/>
      <c r="I148" s="44"/>
      <c r="J148" s="44"/>
      <c r="K148" s="44"/>
      <c r="L148" s="44"/>
      <c r="M148" s="11"/>
      <c r="N148" s="11"/>
      <c r="O148" s="11"/>
      <c r="P148" s="11"/>
      <c r="Q148" s="11"/>
      <c r="R148" s="11"/>
      <c r="S148" s="11"/>
    </row>
    <row r="149" spans="1:19" x14ac:dyDescent="0.3">
      <c r="A149" s="11"/>
      <c r="B149" s="44"/>
      <c r="C149" s="44"/>
      <c r="D149" s="45"/>
      <c r="E149" s="44"/>
      <c r="F149" s="44"/>
      <c r="G149" s="44"/>
      <c r="H149" s="44"/>
      <c r="I149" s="44"/>
      <c r="J149" s="44"/>
      <c r="K149" s="44"/>
      <c r="L149" s="44"/>
      <c r="M149" s="11"/>
      <c r="N149" s="11"/>
      <c r="O149" s="11"/>
      <c r="P149" s="11"/>
      <c r="Q149" s="11"/>
      <c r="R149" s="11"/>
      <c r="S149" s="11"/>
    </row>
    <row r="150" spans="1:19" ht="33" customHeight="1" x14ac:dyDescent="0.3">
      <c r="A150" s="11"/>
      <c r="B150" s="44"/>
      <c r="C150" s="46"/>
      <c r="D150" s="47" t="s">
        <v>275</v>
      </c>
      <c r="E150" s="47" t="s">
        <v>276</v>
      </c>
      <c r="F150" s="47" t="s">
        <v>277</v>
      </c>
      <c r="G150" s="44"/>
      <c r="H150" s="44"/>
      <c r="I150" s="44"/>
      <c r="J150" s="44"/>
      <c r="K150" s="44"/>
      <c r="L150" s="44"/>
      <c r="M150" s="11"/>
      <c r="N150" s="11"/>
      <c r="O150" s="11"/>
      <c r="P150" s="11"/>
      <c r="Q150" s="11"/>
      <c r="R150" s="11"/>
      <c r="S150" s="11"/>
    </row>
    <row r="151" spans="1:19" x14ac:dyDescent="0.3">
      <c r="A151" s="11"/>
      <c r="B151" s="44"/>
      <c r="C151" s="45" t="s">
        <v>266</v>
      </c>
      <c r="D151" s="48" t="e">
        <f ca="1">D169</f>
        <v>#NAME?</v>
      </c>
      <c r="E151" s="48"/>
      <c r="F151" s="48"/>
      <c r="G151" s="44"/>
      <c r="H151" s="44" t="s">
        <v>278</v>
      </c>
      <c r="I151" s="44"/>
      <c r="J151" s="44"/>
      <c r="K151" s="44"/>
      <c r="L151" s="44"/>
      <c r="M151" s="11"/>
      <c r="N151" s="11"/>
      <c r="O151" s="11"/>
      <c r="P151" s="11"/>
      <c r="Q151" s="11"/>
      <c r="R151" s="11"/>
      <c r="S151" s="11"/>
    </row>
    <row r="152" spans="1:19" x14ac:dyDescent="0.3">
      <c r="A152" s="11"/>
      <c r="B152" s="44"/>
      <c r="C152" s="44"/>
      <c r="D152" s="45"/>
      <c r="E152" s="48"/>
      <c r="F152" s="48"/>
      <c r="G152" s="44"/>
      <c r="H152" s="45" t="s">
        <v>30</v>
      </c>
      <c r="I152" s="120" t="e">
        <f ca="1">F296*100</f>
        <v>#NAME?</v>
      </c>
      <c r="J152" s="45" t="s">
        <v>2</v>
      </c>
      <c r="K152" s="44"/>
      <c r="L152" s="44"/>
      <c r="M152" s="11"/>
      <c r="N152" s="11"/>
      <c r="O152" s="11"/>
      <c r="P152" s="11"/>
      <c r="Q152" s="11"/>
      <c r="R152" s="11"/>
      <c r="S152" s="11"/>
    </row>
    <row r="153" spans="1:19" x14ac:dyDescent="0.3">
      <c r="A153" s="11"/>
      <c r="B153" s="44"/>
      <c r="C153" s="45" t="s">
        <v>267</v>
      </c>
      <c r="D153" s="108" t="e">
        <f>F185+D137</f>
        <v>#NAME?</v>
      </c>
      <c r="E153" s="48">
        <v>0</v>
      </c>
      <c r="F153" s="48" t="e">
        <f>D153*E153</f>
        <v>#NAME?</v>
      </c>
      <c r="G153" s="44"/>
      <c r="H153" s="45" t="s">
        <v>52</v>
      </c>
      <c r="I153" s="120" t="e">
        <f t="shared" ref="I153:I157" ca="1" si="3">F297*100</f>
        <v>#NAME?</v>
      </c>
      <c r="J153" s="45" t="s">
        <v>2</v>
      </c>
      <c r="K153" s="44"/>
      <c r="L153" s="44"/>
      <c r="M153" s="11"/>
      <c r="N153" s="11"/>
      <c r="O153" s="11"/>
      <c r="P153" s="11"/>
      <c r="Q153" s="11"/>
      <c r="R153" s="11"/>
      <c r="S153" s="11"/>
    </row>
    <row r="154" spans="1:19" x14ac:dyDescent="0.3">
      <c r="A154" s="11"/>
      <c r="B154" s="44"/>
      <c r="C154" s="45" t="s">
        <v>295</v>
      </c>
      <c r="D154" s="48">
        <f>G132</f>
        <v>77382.25</v>
      </c>
      <c r="E154" s="48">
        <f>G134</f>
        <v>20822.563175795305</v>
      </c>
      <c r="F154" s="86">
        <f>D154*E154/1000000</f>
        <v>1611.2967893101861</v>
      </c>
      <c r="G154" s="44"/>
      <c r="H154" s="45" t="s">
        <v>31</v>
      </c>
      <c r="I154" s="120" t="e">
        <f t="shared" ca="1" si="3"/>
        <v>#NAME?</v>
      </c>
      <c r="J154" s="45" t="s">
        <v>2</v>
      </c>
      <c r="K154" s="44"/>
      <c r="L154" s="44"/>
      <c r="M154" s="11"/>
      <c r="N154" s="11"/>
      <c r="O154" s="11"/>
      <c r="P154" s="11"/>
      <c r="Q154" s="11"/>
      <c r="R154" s="11"/>
      <c r="S154" s="11"/>
    </row>
    <row r="155" spans="1:19" x14ac:dyDescent="0.3">
      <c r="A155" s="11"/>
      <c r="B155" s="44"/>
      <c r="C155" s="45" t="s">
        <v>268</v>
      </c>
      <c r="D155" s="48">
        <f>D132</f>
        <v>0</v>
      </c>
      <c r="E155" s="180" t="e">
        <f ca="1">_xll.StmPTH(D134,D133,0)-1096.44</f>
        <v>#NAME?</v>
      </c>
      <c r="F155" s="86" t="e">
        <f ca="1">D155*E155/1000000</f>
        <v>#NAME?</v>
      </c>
      <c r="G155" s="44"/>
      <c r="H155" s="45" t="s">
        <v>53</v>
      </c>
      <c r="I155" s="120" t="e">
        <f t="shared" ca="1" si="3"/>
        <v>#NAME?</v>
      </c>
      <c r="J155" s="45" t="s">
        <v>2</v>
      </c>
      <c r="K155" s="44"/>
      <c r="L155" s="44"/>
      <c r="M155" s="11"/>
      <c r="N155" s="11"/>
      <c r="O155" s="11"/>
      <c r="P155" s="11"/>
      <c r="Q155" s="11"/>
      <c r="R155" s="11"/>
      <c r="S155" s="11"/>
    </row>
    <row r="156" spans="1:19" x14ac:dyDescent="0.3">
      <c r="A156" s="11"/>
      <c r="B156" s="44"/>
      <c r="C156" s="45" t="s">
        <v>269</v>
      </c>
      <c r="D156" s="48">
        <f>-(D137)</f>
        <v>0</v>
      </c>
      <c r="E156" s="48" t="e">
        <f ca="1">K336</f>
        <v>#NAME?</v>
      </c>
      <c r="F156" s="86" t="e">
        <f ca="1">D156*E156/1000000</f>
        <v>#NAME?</v>
      </c>
      <c r="G156" s="44"/>
      <c r="H156" s="45" t="s">
        <v>55</v>
      </c>
      <c r="I156" s="120" t="e">
        <f t="shared" ca="1" si="3"/>
        <v>#NAME?</v>
      </c>
      <c r="J156" s="45" t="s">
        <v>2</v>
      </c>
      <c r="K156" s="44"/>
      <c r="L156" s="44"/>
      <c r="M156" s="11"/>
      <c r="N156" s="11"/>
      <c r="O156" s="11"/>
      <c r="P156" s="11"/>
      <c r="Q156" s="11"/>
      <c r="R156" s="11"/>
      <c r="S156" s="11"/>
    </row>
    <row r="157" spans="1:19" x14ac:dyDescent="0.3">
      <c r="A157" s="11"/>
      <c r="B157" s="44"/>
      <c r="C157" s="45"/>
      <c r="D157" s="48"/>
      <c r="E157" s="48"/>
      <c r="F157" s="48"/>
      <c r="G157" s="44"/>
      <c r="H157" s="45" t="s">
        <v>166</v>
      </c>
      <c r="I157" s="120" t="e">
        <f t="shared" ca="1" si="3"/>
        <v>#NAME?</v>
      </c>
      <c r="J157" s="45" t="s">
        <v>2</v>
      </c>
      <c r="K157" s="44"/>
      <c r="L157" s="44"/>
      <c r="M157" s="11"/>
      <c r="N157" s="11"/>
      <c r="O157" s="11"/>
      <c r="P157" s="11"/>
      <c r="Q157" s="11"/>
      <c r="R157" s="11"/>
      <c r="S157" s="11"/>
    </row>
    <row r="158" spans="1:19" x14ac:dyDescent="0.3">
      <c r="A158" s="11"/>
      <c r="B158" s="44"/>
      <c r="C158" s="45" t="s">
        <v>270</v>
      </c>
      <c r="D158" s="108" t="e">
        <f>SUM(D153:D156)</f>
        <v>#NAME?</v>
      </c>
      <c r="E158" s="48" t="e">
        <f>K320</f>
        <v>#NAME?</v>
      </c>
      <c r="F158" s="48" t="e">
        <f>-D158*E158/1000000</f>
        <v>#NAME?</v>
      </c>
      <c r="G158" s="44"/>
      <c r="H158" s="44"/>
      <c r="I158" s="121"/>
      <c r="J158" s="44"/>
      <c r="K158" s="44"/>
      <c r="L158" s="44"/>
      <c r="M158" s="11"/>
      <c r="N158" s="11"/>
      <c r="O158" s="11"/>
      <c r="P158" s="11"/>
      <c r="Q158" s="11"/>
      <c r="R158" s="11"/>
      <c r="S158" s="11"/>
    </row>
    <row r="159" spans="1:19" x14ac:dyDescent="0.3">
      <c r="A159" s="11"/>
      <c r="B159" s="44"/>
      <c r="C159" s="44"/>
      <c r="D159" s="48"/>
      <c r="E159" s="48"/>
      <c r="F159" s="44"/>
      <c r="G159" s="44"/>
      <c r="H159" s="44" t="s">
        <v>279</v>
      </c>
      <c r="I159" s="121"/>
      <c r="J159" s="44"/>
      <c r="K159" s="44"/>
      <c r="L159" s="44"/>
      <c r="M159" s="11"/>
      <c r="N159" s="11"/>
      <c r="O159" s="11"/>
      <c r="P159" s="11"/>
      <c r="Q159" s="11"/>
      <c r="R159" s="11"/>
      <c r="S159" s="11"/>
    </row>
    <row r="160" spans="1:19" x14ac:dyDescent="0.3">
      <c r="A160" s="11"/>
      <c r="B160" s="44"/>
      <c r="C160" s="45" t="s">
        <v>271</v>
      </c>
      <c r="D160" s="48"/>
      <c r="E160" s="48"/>
      <c r="F160" s="48">
        <f>-(G136*3.4121412)</f>
        <v>-541.29184354440008</v>
      </c>
      <c r="G160" s="48"/>
      <c r="H160" s="45" t="s">
        <v>30</v>
      </c>
      <c r="I160" s="120" t="e">
        <f ca="1">G296*100</f>
        <v>#NAME?</v>
      </c>
      <c r="J160" s="45" t="s">
        <v>2</v>
      </c>
      <c r="K160" s="44"/>
      <c r="L160" s="44"/>
      <c r="M160" s="11"/>
      <c r="N160" s="11"/>
      <c r="O160" s="11"/>
      <c r="P160" s="11"/>
      <c r="Q160" s="11"/>
      <c r="R160" s="11"/>
      <c r="S160" s="11"/>
    </row>
    <row r="161" spans="1:19" x14ac:dyDescent="0.3">
      <c r="A161" s="11"/>
      <c r="B161" s="44"/>
      <c r="C161" s="45" t="s">
        <v>272</v>
      </c>
      <c r="D161" s="48"/>
      <c r="E161" s="48"/>
      <c r="F161" s="48">
        <f>-((G137*3.4121412)+(G138*3.4121412)+G139+G140)</f>
        <v>0</v>
      </c>
      <c r="G161" s="48"/>
      <c r="H161" s="45" t="s">
        <v>52</v>
      </c>
      <c r="I161" s="120" t="e">
        <f ca="1">G297*100</f>
        <v>#NAME?</v>
      </c>
      <c r="J161" s="45" t="s">
        <v>2</v>
      </c>
      <c r="K161" s="44"/>
      <c r="L161" s="44"/>
      <c r="M161" s="11"/>
      <c r="N161" s="11"/>
      <c r="O161" s="11"/>
      <c r="P161" s="11"/>
      <c r="Q161" s="11"/>
      <c r="R161" s="11"/>
      <c r="S161" s="11"/>
    </row>
    <row r="162" spans="1:19" x14ac:dyDescent="0.3">
      <c r="A162" s="11"/>
      <c r="B162" s="44"/>
      <c r="C162" s="45"/>
      <c r="D162" s="48"/>
      <c r="E162" s="48"/>
      <c r="F162" s="48"/>
      <c r="G162" s="48"/>
      <c r="H162" s="45" t="s">
        <v>31</v>
      </c>
      <c r="I162" s="120" t="e">
        <f ca="1">G298*100</f>
        <v>#NAME?</v>
      </c>
      <c r="J162" s="45" t="s">
        <v>2</v>
      </c>
      <c r="K162" s="44"/>
      <c r="L162" s="44"/>
      <c r="M162" s="11"/>
      <c r="N162" s="11"/>
      <c r="O162" s="11"/>
      <c r="P162" s="11"/>
      <c r="Q162" s="11"/>
      <c r="R162" s="11"/>
      <c r="S162" s="11"/>
    </row>
    <row r="163" spans="1:19" x14ac:dyDescent="0.3">
      <c r="A163" s="11"/>
      <c r="B163" s="44"/>
      <c r="C163" s="45" t="s">
        <v>281</v>
      </c>
      <c r="D163" s="48"/>
      <c r="E163" s="48"/>
      <c r="F163" s="48" t="e">
        <f>SUM(F153:F161)</f>
        <v>#NAME?</v>
      </c>
      <c r="G163" s="48"/>
      <c r="H163" s="45" t="s">
        <v>55</v>
      </c>
      <c r="I163" s="120" t="e">
        <f ca="1">G300*100</f>
        <v>#NAME?</v>
      </c>
      <c r="J163" s="45" t="s">
        <v>2</v>
      </c>
      <c r="K163" s="44"/>
      <c r="L163" s="44"/>
      <c r="M163" s="11"/>
      <c r="N163" s="11"/>
      <c r="O163" s="11"/>
      <c r="P163" s="11"/>
      <c r="Q163" s="11"/>
      <c r="R163" s="11"/>
      <c r="S163" s="11"/>
    </row>
    <row r="164" spans="1:19" x14ac:dyDescent="0.3">
      <c r="A164" s="11"/>
      <c r="B164" s="44"/>
      <c r="C164" s="45" t="s">
        <v>282</v>
      </c>
      <c r="D164" s="48"/>
      <c r="E164" s="48" t="e">
        <f ca="1">P336</f>
        <v>#NAME?</v>
      </c>
      <c r="F164" s="44"/>
      <c r="G164" s="48"/>
      <c r="H164" s="45" t="s">
        <v>166</v>
      </c>
      <c r="I164" s="120">
        <f>G301*100</f>
        <v>0</v>
      </c>
      <c r="J164" s="45" t="s">
        <v>2</v>
      </c>
      <c r="K164" s="44"/>
      <c r="L164" s="44"/>
      <c r="M164" s="11"/>
      <c r="N164" s="11"/>
      <c r="O164" s="11"/>
      <c r="P164" s="11"/>
      <c r="Q164" s="11"/>
      <c r="R164" s="11"/>
      <c r="S164" s="11"/>
    </row>
    <row r="165" spans="1:19" x14ac:dyDescent="0.3">
      <c r="A165" s="11"/>
      <c r="B165" s="44"/>
      <c r="C165" s="45" t="s">
        <v>283</v>
      </c>
      <c r="D165" s="108" t="e">
        <f ca="1">F163*1000000/E164</f>
        <v>#NAME?</v>
      </c>
      <c r="E165" s="48"/>
      <c r="F165" s="48"/>
      <c r="G165" s="48"/>
      <c r="H165" s="45"/>
      <c r="I165" s="44"/>
      <c r="J165" s="45"/>
      <c r="K165" s="44"/>
      <c r="L165" s="48"/>
      <c r="M165" s="11"/>
      <c r="N165" s="11"/>
      <c r="O165" s="11"/>
      <c r="P165" s="11"/>
      <c r="Q165" s="11"/>
      <c r="R165" s="11"/>
      <c r="S165" s="11"/>
    </row>
    <row r="166" spans="1:19" x14ac:dyDescent="0.3">
      <c r="A166" s="11"/>
      <c r="B166" s="44"/>
      <c r="C166" s="45"/>
      <c r="D166" s="48"/>
      <c r="E166" s="48"/>
      <c r="F166" s="48"/>
      <c r="G166" s="48"/>
      <c r="H166" s="45"/>
      <c r="I166" s="44"/>
      <c r="J166" s="45"/>
      <c r="K166" s="44"/>
      <c r="L166" s="44"/>
      <c r="M166" s="11"/>
      <c r="N166" s="11"/>
      <c r="O166" s="11"/>
      <c r="P166" s="11"/>
      <c r="Q166" s="11"/>
      <c r="R166" s="11"/>
      <c r="S166" s="11"/>
    </row>
    <row r="167" spans="1:19" x14ac:dyDescent="0.3">
      <c r="A167" s="11"/>
      <c r="B167" s="44"/>
      <c r="C167" s="45"/>
      <c r="D167" s="48"/>
      <c r="E167" s="48"/>
      <c r="F167" s="48"/>
      <c r="G167" s="48"/>
      <c r="H167" s="45"/>
      <c r="I167" s="44"/>
      <c r="J167" s="45"/>
      <c r="K167" s="44"/>
      <c r="L167" s="44"/>
      <c r="M167" s="11"/>
      <c r="N167" s="11"/>
      <c r="O167" s="11"/>
      <c r="P167" s="11"/>
      <c r="Q167" s="11"/>
      <c r="R167" s="11"/>
      <c r="S167" s="11"/>
    </row>
    <row r="168" spans="1:19" x14ac:dyDescent="0.3">
      <c r="A168" s="11"/>
      <c r="B168" s="44"/>
      <c r="C168" s="45" t="s">
        <v>273</v>
      </c>
      <c r="D168" s="48" t="e">
        <f ca="1">D165</f>
        <v>#NAME?</v>
      </c>
      <c r="E168" s="48" t="e">
        <f ca="1">E164</f>
        <v>#NAME?</v>
      </c>
      <c r="F168" s="48" t="e">
        <f ca="1">D168*E168/1000000</f>
        <v>#NAME?</v>
      </c>
      <c r="G168" s="48"/>
      <c r="H168" s="44"/>
      <c r="I168" s="44"/>
      <c r="J168" s="45"/>
      <c r="K168" s="44"/>
      <c r="L168" s="44"/>
      <c r="M168" s="11"/>
      <c r="N168" s="11"/>
      <c r="O168" s="11"/>
      <c r="P168" s="11"/>
      <c r="Q168" s="11"/>
      <c r="R168" s="11"/>
      <c r="S168" s="11"/>
    </row>
    <row r="169" spans="1:19" x14ac:dyDescent="0.3">
      <c r="A169" s="11"/>
      <c r="B169" s="44"/>
      <c r="C169" s="45" t="s">
        <v>274</v>
      </c>
      <c r="D169" s="48" t="e">
        <f ca="1">D165</f>
        <v>#NAME?</v>
      </c>
      <c r="E169" s="48" t="e">
        <f ca="1">E168</f>
        <v>#NAME?</v>
      </c>
      <c r="F169" s="48" t="e">
        <f ca="1">D169*E169/1000000</f>
        <v>#NAME?</v>
      </c>
      <c r="G169" s="48"/>
      <c r="H169" s="107"/>
      <c r="I169" s="44"/>
      <c r="J169" s="44"/>
      <c r="K169" s="44"/>
      <c r="L169" s="44"/>
      <c r="M169" s="11"/>
      <c r="N169" s="11"/>
      <c r="O169" s="11"/>
      <c r="P169" s="11"/>
      <c r="Q169" s="11"/>
      <c r="R169" s="11"/>
      <c r="S169" s="11"/>
    </row>
    <row r="170" spans="1:19" x14ac:dyDescent="0.3">
      <c r="A170" s="11"/>
      <c r="B170" s="44"/>
      <c r="C170" s="45"/>
      <c r="D170" s="48"/>
      <c r="E170" s="48"/>
      <c r="F170" s="48"/>
      <c r="G170" s="48"/>
      <c r="H170" s="44"/>
      <c r="I170" s="44"/>
      <c r="J170" s="44"/>
      <c r="K170" s="44"/>
      <c r="L170" s="44"/>
      <c r="M170" s="11"/>
      <c r="N170" s="11"/>
      <c r="O170" s="11"/>
      <c r="P170" s="11"/>
      <c r="Q170" s="11"/>
      <c r="R170" s="11"/>
      <c r="S170" s="11"/>
    </row>
    <row r="171" spans="1:19" x14ac:dyDescent="0.3">
      <c r="A171" s="11"/>
      <c r="B171" s="44"/>
      <c r="C171" s="51" t="s">
        <v>208</v>
      </c>
      <c r="D171" s="108" t="e">
        <f ca="1">D165+D158</f>
        <v>#NAME?</v>
      </c>
      <c r="E171" s="52" t="e">
        <f ca="1">K350</f>
        <v>#NAME?</v>
      </c>
      <c r="F171" s="52" t="e">
        <f ca="1">D171*E171/1000000</f>
        <v>#NAME?</v>
      </c>
      <c r="G171" s="48"/>
      <c r="H171" s="44"/>
      <c r="I171" s="44"/>
      <c r="J171" s="44"/>
      <c r="K171" s="44"/>
      <c r="L171" s="44"/>
      <c r="M171" s="11"/>
      <c r="N171" s="11"/>
      <c r="O171" s="11"/>
      <c r="P171" s="11"/>
      <c r="Q171" s="11"/>
      <c r="R171" s="11"/>
      <c r="S171" s="11"/>
    </row>
    <row r="172" spans="1:19" x14ac:dyDescent="0.3">
      <c r="A172" s="11"/>
      <c r="B172" s="44"/>
      <c r="C172" s="44"/>
      <c r="D172" s="48"/>
      <c r="E172" s="48"/>
      <c r="F172" s="48"/>
      <c r="G172" s="48"/>
      <c r="H172" s="44"/>
      <c r="I172" s="44"/>
      <c r="J172" s="44"/>
      <c r="K172" s="44"/>
      <c r="L172" s="44"/>
      <c r="M172" s="11"/>
      <c r="N172" s="11"/>
      <c r="O172" s="11"/>
      <c r="P172" s="11"/>
      <c r="Q172" s="11"/>
      <c r="R172" s="11"/>
      <c r="S172" s="11"/>
    </row>
    <row r="173" spans="1:19" x14ac:dyDescent="0.3">
      <c r="A173" s="11"/>
      <c r="B173" s="11"/>
      <c r="C173" s="11"/>
      <c r="D173" s="57"/>
      <c r="E173" s="57"/>
      <c r="F173" s="57"/>
      <c r="G173" s="5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x14ac:dyDescent="0.3">
      <c r="A174" s="11"/>
      <c r="B174" s="11"/>
      <c r="C174" s="20" t="s">
        <v>117</v>
      </c>
      <c r="D174" s="18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31.5" customHeight="1" x14ac:dyDescent="0.3">
      <c r="A175" s="11"/>
      <c r="B175" s="11"/>
      <c r="C175" s="19" t="s">
        <v>177</v>
      </c>
      <c r="D175" s="58" t="s">
        <v>0</v>
      </c>
      <c r="E175" s="10" t="s">
        <v>209</v>
      </c>
      <c r="F175" s="59">
        <f>D125</f>
        <v>14.663029999999999</v>
      </c>
      <c r="G175" s="252" t="s">
        <v>377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31.5" customHeight="1" x14ac:dyDescent="0.3">
      <c r="A176" s="11"/>
      <c r="B176" s="11"/>
      <c r="C176" s="19"/>
      <c r="D176" s="58" t="s">
        <v>65</v>
      </c>
      <c r="E176" s="10" t="s">
        <v>210</v>
      </c>
      <c r="F176" s="59">
        <f>D126</f>
        <v>88.682000000000002</v>
      </c>
      <c r="G176" s="252"/>
      <c r="H176" s="11"/>
      <c r="I176" s="71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31.5" customHeight="1" x14ac:dyDescent="0.3">
      <c r="A177" s="11"/>
      <c r="B177" s="11"/>
      <c r="C177" s="19"/>
      <c r="D177" s="58" t="s">
        <v>1</v>
      </c>
      <c r="E177" s="10" t="s">
        <v>2</v>
      </c>
      <c r="F177" s="59">
        <f>D128</f>
        <v>88.83</v>
      </c>
      <c r="G177" s="25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x14ac:dyDescent="0.3">
      <c r="A178" s="11"/>
      <c r="B178" s="11"/>
      <c r="C178" s="11"/>
      <c r="D178" s="18"/>
      <c r="E178" s="11"/>
      <c r="F178" s="6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x14ac:dyDescent="0.3">
      <c r="A179" s="11"/>
      <c r="B179" s="11"/>
      <c r="C179" s="20" t="s">
        <v>116</v>
      </c>
      <c r="D179" s="18"/>
      <c r="E179" s="10"/>
      <c r="F179" s="6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36" customHeight="1" x14ac:dyDescent="0.3">
      <c r="A180" s="11"/>
      <c r="B180" s="11"/>
      <c r="C180" s="19"/>
      <c r="D180" s="58" t="s">
        <v>66</v>
      </c>
      <c r="E180" s="10" t="s">
        <v>209</v>
      </c>
      <c r="F180" s="61">
        <f>G119</f>
        <v>0.67050837851653633</v>
      </c>
      <c r="G180" s="195" t="s">
        <v>378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31.5" customHeight="1" x14ac:dyDescent="0.3">
      <c r="A181" s="11"/>
      <c r="B181" s="11"/>
      <c r="C181" s="237" t="s">
        <v>87</v>
      </c>
      <c r="D181" s="238" t="s">
        <v>67</v>
      </c>
      <c r="E181" s="237" t="s">
        <v>209</v>
      </c>
      <c r="F181" s="239">
        <f>F180*(F177/100)</f>
        <v>0.59561259263623922</v>
      </c>
      <c r="G181" s="24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x14ac:dyDescent="0.3">
      <c r="A182" s="11"/>
      <c r="B182" s="11"/>
      <c r="C182" s="237" t="s">
        <v>88</v>
      </c>
      <c r="D182" s="238" t="s">
        <v>68</v>
      </c>
      <c r="E182" s="237" t="s">
        <v>12</v>
      </c>
      <c r="F182" s="239">
        <f>(F175-F181)/F175</f>
        <v>0.95937997858312785</v>
      </c>
      <c r="G182" s="24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5" x14ac:dyDescent="0.3">
      <c r="A183" s="11"/>
      <c r="B183" s="11"/>
      <c r="C183" s="241"/>
      <c r="D183" s="238" t="s">
        <v>69</v>
      </c>
      <c r="E183" s="237" t="s">
        <v>211</v>
      </c>
      <c r="F183" s="239">
        <f>((1/F182)-1)*18.01528/28.9651159</f>
        <v>2.6333903697947268E-2</v>
      </c>
      <c r="G183" s="24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x14ac:dyDescent="0.3">
      <c r="A184" s="11"/>
      <c r="B184" s="11"/>
      <c r="C184" s="11"/>
      <c r="D184" s="18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x14ac:dyDescent="0.3">
      <c r="A185" s="11"/>
      <c r="B185" s="11"/>
      <c r="C185" s="11"/>
      <c r="D185" s="18" t="s">
        <v>186</v>
      </c>
      <c r="E185" s="10" t="s">
        <v>187</v>
      </c>
      <c r="F185" s="57" t="e" cm="1">
        <f t="array" ref="F185">((-K269*28.9651785/0.209476)*(1+K272F183))</f>
        <v>#NAME?</v>
      </c>
      <c r="G185" s="57" t="e">
        <f>F185*0.453592</f>
        <v>#NAME?</v>
      </c>
      <c r="H185" s="18" t="s">
        <v>148</v>
      </c>
      <c r="I185" s="57" t="e">
        <f>G185/3600</f>
        <v>#NAME?</v>
      </c>
      <c r="J185" s="18" t="s">
        <v>64</v>
      </c>
      <c r="K185" s="252" t="s">
        <v>379</v>
      </c>
      <c r="L185" s="11"/>
      <c r="M185" s="11"/>
      <c r="N185" s="11"/>
      <c r="O185" s="11"/>
      <c r="P185" s="11"/>
      <c r="Q185" s="11"/>
      <c r="R185" s="11"/>
      <c r="S185" s="11"/>
    </row>
    <row r="186" spans="1:19" x14ac:dyDescent="0.3">
      <c r="A186" s="11"/>
      <c r="B186" s="11"/>
      <c r="C186" s="11"/>
      <c r="D186" s="18" t="s">
        <v>185</v>
      </c>
      <c r="E186" s="10" t="s">
        <v>187</v>
      </c>
      <c r="F186" s="57" t="e">
        <f ca="1">D165</f>
        <v>#NAME?</v>
      </c>
      <c r="G186" s="57" t="e">
        <f ca="1">F186*0.453592</f>
        <v>#NAME?</v>
      </c>
      <c r="H186" s="18" t="s">
        <v>148</v>
      </c>
      <c r="I186" s="57" t="e">
        <f ca="1">G186/3600</f>
        <v>#NAME?</v>
      </c>
      <c r="J186" s="18" t="s">
        <v>64</v>
      </c>
      <c r="K186" s="252"/>
      <c r="L186" s="11"/>
      <c r="M186" s="11"/>
      <c r="N186" s="11"/>
      <c r="O186" s="11"/>
      <c r="P186" s="11"/>
      <c r="Q186" s="11"/>
      <c r="R186" s="11"/>
      <c r="S186" s="11"/>
    </row>
    <row r="187" spans="1:19" x14ac:dyDescent="0.3">
      <c r="A187" s="11"/>
      <c r="B187" s="11"/>
      <c r="C187" s="11"/>
      <c r="D187" s="18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x14ac:dyDescent="0.3">
      <c r="A188" s="11"/>
      <c r="B188" s="11"/>
      <c r="C188" s="62" t="s">
        <v>113</v>
      </c>
      <c r="D188" s="18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s="22" customFormat="1" x14ac:dyDescent="0.3">
      <c r="A189" s="123"/>
      <c r="B189" s="10"/>
      <c r="C189" s="10" t="s">
        <v>102</v>
      </c>
      <c r="D189" s="10" t="s">
        <v>100</v>
      </c>
      <c r="E189" s="10" t="s">
        <v>99</v>
      </c>
      <c r="F189" s="10" t="s">
        <v>101</v>
      </c>
      <c r="G189" s="10" t="s">
        <v>103</v>
      </c>
      <c r="H189" s="10" t="s">
        <v>104</v>
      </c>
      <c r="I189" s="10" t="s">
        <v>105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23"/>
    </row>
    <row r="190" spans="1:19" s="22" customFormat="1" ht="55.2" x14ac:dyDescent="0.3">
      <c r="A190" s="123"/>
      <c r="B190" s="10"/>
      <c r="C190" s="10" t="s">
        <v>109</v>
      </c>
      <c r="D190" s="10" t="s">
        <v>112</v>
      </c>
      <c r="E190" s="63" t="s">
        <v>132</v>
      </c>
      <c r="F190" s="63" t="s">
        <v>133</v>
      </c>
      <c r="G190" s="63" t="s">
        <v>136</v>
      </c>
      <c r="H190" s="63" t="s">
        <v>134</v>
      </c>
      <c r="I190" s="63" t="s">
        <v>135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23"/>
    </row>
    <row r="191" spans="1:19" x14ac:dyDescent="0.3">
      <c r="A191" s="11"/>
      <c r="B191" s="11"/>
      <c r="C191" s="242" t="s">
        <v>30</v>
      </c>
      <c r="D191" s="243" t="s">
        <v>212</v>
      </c>
      <c r="E191" s="244">
        <f>0.78084*$F$182</f>
        <v>0.74912226247684954</v>
      </c>
      <c r="F191" s="245">
        <f>D102*2</f>
        <v>28.013400000000001</v>
      </c>
      <c r="G191" s="245">
        <f>E191*F191</f>
        <v>20.985461587668979</v>
      </c>
      <c r="H191" s="57" t="e">
        <f>$F$185*E191/G$197</f>
        <v>#NAME?</v>
      </c>
      <c r="I191" s="91">
        <f>G191/$G$197</f>
        <v>0.73580702297648948</v>
      </c>
      <c r="J191" s="66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x14ac:dyDescent="0.3">
      <c r="A192" s="11"/>
      <c r="B192" s="11"/>
      <c r="C192" s="242" t="s">
        <v>52</v>
      </c>
      <c r="D192" s="243" t="s">
        <v>125</v>
      </c>
      <c r="E192" s="244">
        <f>0.209476*$F$182</f>
        <v>0.20096708039367928</v>
      </c>
      <c r="F192" s="245">
        <f>D103*2</f>
        <v>31.998799999999999</v>
      </c>
      <c r="G192" s="245">
        <f t="shared" ref="G192:G195" si="4">E192*F192</f>
        <v>6.4307054121012639</v>
      </c>
      <c r="H192" s="57" t="e">
        <f>$F$185*E192/G$197</f>
        <v>#NAME?</v>
      </c>
      <c r="I192" s="91">
        <f>G192/$G$197</f>
        <v>0.22547791885108703</v>
      </c>
      <c r="J192" s="252" t="s">
        <v>379</v>
      </c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x14ac:dyDescent="0.3">
      <c r="A193" s="11"/>
      <c r="B193" s="11"/>
      <c r="C193" s="242" t="s">
        <v>31</v>
      </c>
      <c r="D193" s="243" t="s">
        <v>126</v>
      </c>
      <c r="E193" s="244">
        <f>0.000319*$F$182</f>
        <v>3.0604221316801776E-4</v>
      </c>
      <c r="F193" s="245">
        <f>D105+D103*2</f>
        <v>44.009500000000003</v>
      </c>
      <c r="G193" s="245">
        <f t="shared" si="4"/>
        <v>1.3468764780417879E-2</v>
      </c>
      <c r="H193" s="57" t="e">
        <f>$F$185*E193/G$197</f>
        <v>#NAME?</v>
      </c>
      <c r="I193" s="91">
        <f>G193/$G$197</f>
        <v>4.7225130954818795E-4</v>
      </c>
      <c r="J193" s="252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x14ac:dyDescent="0.3">
      <c r="A194" s="11"/>
      <c r="B194" s="11"/>
      <c r="C194" s="242" t="s">
        <v>53</v>
      </c>
      <c r="D194" s="243" t="s">
        <v>127</v>
      </c>
      <c r="E194" s="244">
        <f>1-F182</f>
        <v>4.0620021416872154E-2</v>
      </c>
      <c r="F194" s="245">
        <f>D106*2+D103</f>
        <v>18.015280000000001</v>
      </c>
      <c r="G194" s="245">
        <f t="shared" si="4"/>
        <v>0.73178105943094862</v>
      </c>
      <c r="H194" s="57" t="e">
        <f>$F$185*E194/G$197</f>
        <v>#NAME?</v>
      </c>
      <c r="I194" s="91">
        <f>G194/$G$197</f>
        <v>2.5658222506140152E-2</v>
      </c>
      <c r="J194" s="66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x14ac:dyDescent="0.3">
      <c r="A195" s="11"/>
      <c r="B195" s="11"/>
      <c r="C195" s="242" t="s">
        <v>55</v>
      </c>
      <c r="D195" s="243" t="s">
        <v>128</v>
      </c>
      <c r="E195" s="244">
        <f>0.009365*$F$182</f>
        <v>8.9845934994309921E-3</v>
      </c>
      <c r="F195" s="245">
        <f>D104</f>
        <v>39.948</v>
      </c>
      <c r="G195" s="245">
        <f t="shared" si="4"/>
        <v>0.35891654111526927</v>
      </c>
      <c r="H195" s="57" t="e">
        <f>$F$185*E195/G$197</f>
        <v>#NAME?</v>
      </c>
      <c r="I195" s="91">
        <f>G195/$G$197</f>
        <v>1.2584584356735134E-2</v>
      </c>
      <c r="J195" s="66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x14ac:dyDescent="0.3">
      <c r="A196" s="11"/>
      <c r="B196" s="11"/>
      <c r="C196" s="18"/>
      <c r="D196" s="60"/>
      <c r="E196" s="91"/>
      <c r="F196" s="65"/>
      <c r="G196" s="65"/>
      <c r="H196" s="57"/>
      <c r="I196" s="91"/>
      <c r="J196" s="66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x14ac:dyDescent="0.3">
      <c r="A197" s="11"/>
      <c r="B197" s="11"/>
      <c r="C197" s="18"/>
      <c r="D197" s="253" t="s">
        <v>183</v>
      </c>
      <c r="E197" s="253"/>
      <c r="F197" s="253"/>
      <c r="G197" s="129">
        <f>SUM(G191:G195)</f>
        <v>28.520333365096878</v>
      </c>
      <c r="H197" s="11" t="s">
        <v>33</v>
      </c>
      <c r="I197" s="64"/>
      <c r="J197" s="66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x14ac:dyDescent="0.3">
      <c r="A198" s="11"/>
      <c r="B198" s="11"/>
      <c r="C198" s="18"/>
      <c r="D198" s="73"/>
      <c r="E198" s="73"/>
      <c r="F198" s="73"/>
      <c r="G198" s="67"/>
      <c r="H198" s="11"/>
      <c r="I198" s="64"/>
      <c r="J198" s="66"/>
      <c r="K198" s="11"/>
      <c r="L198" s="11"/>
      <c r="M198" s="11"/>
      <c r="N198" s="11"/>
      <c r="O198" s="11"/>
      <c r="P198" s="11"/>
      <c r="Q198" s="11"/>
      <c r="R198" s="11"/>
      <c r="S198" s="11"/>
    </row>
    <row r="199" spans="1:19" x14ac:dyDescent="0.3">
      <c r="A199" s="11"/>
      <c r="B199" s="11"/>
      <c r="C199" s="62" t="s">
        <v>115</v>
      </c>
      <c r="D199" s="18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x14ac:dyDescent="0.3">
      <c r="A200" s="11"/>
      <c r="B200" s="11"/>
      <c r="C200" s="10" t="s">
        <v>102</v>
      </c>
      <c r="D200" s="10" t="s">
        <v>106</v>
      </c>
      <c r="E200" s="10" t="s">
        <v>107</v>
      </c>
      <c r="F200" s="10" t="s">
        <v>108</v>
      </c>
      <c r="G200" s="11" t="s">
        <v>380</v>
      </c>
      <c r="H200" s="11"/>
      <c r="I200" s="11"/>
      <c r="J200" s="11"/>
      <c r="K200" s="11"/>
      <c r="L200" s="11"/>
      <c r="M200" s="11"/>
      <c r="N200" s="11"/>
      <c r="O200" s="68"/>
      <c r="P200" s="66"/>
      <c r="Q200" s="11"/>
      <c r="R200" s="11"/>
      <c r="S200" s="11"/>
    </row>
    <row r="201" spans="1:19" s="22" customFormat="1" ht="46.5" customHeight="1" x14ac:dyDescent="0.3">
      <c r="A201" s="123"/>
      <c r="B201" s="10"/>
      <c r="C201" s="10" t="s">
        <v>109</v>
      </c>
      <c r="D201" s="63" t="s">
        <v>131</v>
      </c>
      <c r="E201" s="63" t="s">
        <v>111</v>
      </c>
      <c r="F201" s="10" t="s">
        <v>114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3"/>
    </row>
    <row r="202" spans="1:19" x14ac:dyDescent="0.3">
      <c r="A202" s="11"/>
      <c r="B202" s="11"/>
      <c r="C202" s="242" t="s">
        <v>30</v>
      </c>
      <c r="D202" s="245">
        <v>0.78083999999999998</v>
      </c>
      <c r="E202" s="245">
        <f>F191</f>
        <v>28.013400000000001</v>
      </c>
      <c r="F202" s="245">
        <f>D202*E202</f>
        <v>21.873983255999999</v>
      </c>
      <c r="G202" s="57" t="e">
        <f ca="1">$F$186*D202/F$208</f>
        <v>#NAME?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x14ac:dyDescent="0.3">
      <c r="A203" s="11"/>
      <c r="B203" s="11"/>
      <c r="C203" s="242" t="s">
        <v>52</v>
      </c>
      <c r="D203" s="245">
        <v>0.209476</v>
      </c>
      <c r="E203" s="245">
        <f>F192</f>
        <v>31.998799999999999</v>
      </c>
      <c r="F203" s="245">
        <f>D203*E203</f>
        <v>6.7029806287999998</v>
      </c>
      <c r="G203" s="57" t="e">
        <f ca="1">$F$186*D203/F$208</f>
        <v>#NAME?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x14ac:dyDescent="0.3">
      <c r="A204" s="11"/>
      <c r="B204" s="11"/>
      <c r="C204" s="242" t="s">
        <v>31</v>
      </c>
      <c r="D204" s="245">
        <v>3.19E-4</v>
      </c>
      <c r="E204" s="245">
        <f>F193</f>
        <v>44.009500000000003</v>
      </c>
      <c r="F204" s="245">
        <f>D204*E204</f>
        <v>1.4039030500000001E-2</v>
      </c>
      <c r="G204" s="57" t="e">
        <f ca="1">$F$186*D204/F$208</f>
        <v>#NAME?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x14ac:dyDescent="0.3">
      <c r="A205" s="11"/>
      <c r="B205" s="11"/>
      <c r="C205" s="242" t="s">
        <v>53</v>
      </c>
      <c r="D205" s="245"/>
      <c r="E205" s="245">
        <f>F194</f>
        <v>18.015280000000001</v>
      </c>
      <c r="F205" s="245">
        <f>D205*E205</f>
        <v>0</v>
      </c>
      <c r="G205" s="57" t="e">
        <f t="shared" ref="G203:G206" ca="1" si="5">$F$186*D205/F$208</f>
        <v>#NAME?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x14ac:dyDescent="0.3">
      <c r="A206" s="11"/>
      <c r="B206" s="11"/>
      <c r="C206" s="242" t="s">
        <v>55</v>
      </c>
      <c r="D206" s="245">
        <v>9.3650000000000001E-3</v>
      </c>
      <c r="E206" s="245">
        <f>F195</f>
        <v>39.948</v>
      </c>
      <c r="F206" s="245">
        <f>D206*E206</f>
        <v>0.37411302000000002</v>
      </c>
      <c r="G206" s="57" t="e">
        <f t="shared" ca="1" si="5"/>
        <v>#NAME?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x14ac:dyDescent="0.3">
      <c r="A207" s="11"/>
      <c r="B207" s="11"/>
      <c r="C207" s="18"/>
      <c r="D207" s="65"/>
      <c r="E207" s="65"/>
      <c r="F207" s="6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x14ac:dyDescent="0.3">
      <c r="A208" s="11"/>
      <c r="B208" s="11"/>
      <c r="C208" s="11"/>
      <c r="D208" s="253" t="s">
        <v>184</v>
      </c>
      <c r="E208" s="253"/>
      <c r="F208" s="130">
        <f>SUM(F202:F206)</f>
        <v>28.965115935299998</v>
      </c>
      <c r="G208" s="61" t="e">
        <f ca="1">SUM(G202:G206)</f>
        <v>#NAME?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x14ac:dyDescent="0.3">
      <c r="A209" s="11"/>
      <c r="B209" s="11"/>
      <c r="C209" s="11"/>
      <c r="D209" s="18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x14ac:dyDescent="0.3">
      <c r="A210" s="11"/>
      <c r="B210" s="11"/>
      <c r="C210" s="62" t="s">
        <v>118</v>
      </c>
      <c r="D210" s="18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s="22" customFormat="1" x14ac:dyDescent="0.3">
      <c r="A211" s="123"/>
      <c r="B211" s="10"/>
      <c r="C211" s="10" t="s">
        <v>102</v>
      </c>
      <c r="D211" s="10" t="s">
        <v>119</v>
      </c>
      <c r="E211" s="10" t="s">
        <v>120</v>
      </c>
      <c r="F211" s="10" t="s">
        <v>121</v>
      </c>
      <c r="G211" s="10" t="s">
        <v>122</v>
      </c>
      <c r="H211" s="10" t="s">
        <v>123</v>
      </c>
      <c r="I211" s="10" t="s">
        <v>124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23"/>
    </row>
    <row r="212" spans="1:19" s="22" customFormat="1" ht="69" x14ac:dyDescent="0.3">
      <c r="A212" s="123"/>
      <c r="B212" s="10"/>
      <c r="C212" s="10" t="s">
        <v>109</v>
      </c>
      <c r="D212" s="10" t="s">
        <v>57</v>
      </c>
      <c r="E212" s="63" t="s">
        <v>110</v>
      </c>
      <c r="F212" s="63" t="s">
        <v>111</v>
      </c>
      <c r="G212" s="10" t="s">
        <v>129</v>
      </c>
      <c r="H212" s="63" t="s">
        <v>130</v>
      </c>
      <c r="I212" s="63" t="s">
        <v>301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23"/>
    </row>
    <row r="213" spans="1:19" x14ac:dyDescent="0.3">
      <c r="A213" s="11"/>
      <c r="B213" s="11"/>
      <c r="C213" s="242" t="s">
        <v>30</v>
      </c>
      <c r="D213" s="243" t="s">
        <v>212</v>
      </c>
      <c r="E213" s="265">
        <f>0.78084*$F$182</f>
        <v>0.74912226247684954</v>
      </c>
      <c r="F213" s="266">
        <f>F191</f>
        <v>28.013400000000001</v>
      </c>
      <c r="G213" s="267">
        <f>E213*F213</f>
        <v>20.985461587668979</v>
      </c>
      <c r="H213" s="57" t="e">
        <f ca="1">($F$186*E213)/$G$219</f>
        <v>#NAME?</v>
      </c>
      <c r="I213" s="65">
        <f>G213/$G$219</f>
        <v>0.73580702297648948</v>
      </c>
      <c r="J213" s="57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x14ac:dyDescent="0.3">
      <c r="A214" s="11"/>
      <c r="B214" s="11"/>
      <c r="C214" s="242" t="s">
        <v>52</v>
      </c>
      <c r="D214" s="243" t="s">
        <v>125</v>
      </c>
      <c r="E214" s="265">
        <f>0.209476*$F$182</f>
        <v>0.20096708039367928</v>
      </c>
      <c r="F214" s="266">
        <f>F192</f>
        <v>31.998799999999999</v>
      </c>
      <c r="G214" s="267">
        <f t="shared" ref="G214:G217" si="6">E214*F214</f>
        <v>6.4307054121012639</v>
      </c>
      <c r="H214" s="57" t="e">
        <f ca="1">($F$186*E214)/$G$219</f>
        <v>#NAME?</v>
      </c>
      <c r="I214" s="65">
        <f>G214/$G$219</f>
        <v>0.22547791885108703</v>
      </c>
      <c r="J214" s="57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x14ac:dyDescent="0.3">
      <c r="A215" s="11"/>
      <c r="B215" s="11"/>
      <c r="C215" s="242" t="s">
        <v>31</v>
      </c>
      <c r="D215" s="243" t="s">
        <v>126</v>
      </c>
      <c r="E215" s="265">
        <f>0.000319*$F$182</f>
        <v>3.0604221316801776E-4</v>
      </c>
      <c r="F215" s="266">
        <f>F193</f>
        <v>44.009500000000003</v>
      </c>
      <c r="G215" s="267">
        <f t="shared" si="6"/>
        <v>1.3468764780417879E-2</v>
      </c>
      <c r="H215" s="57" t="e">
        <f ca="1">($F$186*E215)/$G$219</f>
        <v>#NAME?</v>
      </c>
      <c r="I215" s="65">
        <f>G215/$G$219</f>
        <v>4.7225130954818795E-4</v>
      </c>
      <c r="J215" s="57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x14ac:dyDescent="0.3">
      <c r="A216" s="11"/>
      <c r="B216" s="11"/>
      <c r="C216" s="242" t="s">
        <v>53</v>
      </c>
      <c r="D216" s="243" t="s">
        <v>127</v>
      </c>
      <c r="E216" s="265">
        <f>1-F182</f>
        <v>4.0620021416872154E-2</v>
      </c>
      <c r="F216" s="266">
        <f>F194</f>
        <v>18.015280000000001</v>
      </c>
      <c r="G216" s="267">
        <f t="shared" si="6"/>
        <v>0.73178105943094862</v>
      </c>
      <c r="H216" s="57" t="e">
        <f ca="1">($F$186*E216)/$G$219</f>
        <v>#NAME?</v>
      </c>
      <c r="I216" s="65">
        <f>G216/$G$219</f>
        <v>2.5658222506140152E-2</v>
      </c>
      <c r="J216" s="57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x14ac:dyDescent="0.3">
      <c r="A217" s="11"/>
      <c r="B217" s="11"/>
      <c r="C217" s="242" t="s">
        <v>55</v>
      </c>
      <c r="D217" s="243" t="s">
        <v>128</v>
      </c>
      <c r="E217" s="265">
        <f>0.009365*$F$182</f>
        <v>8.9845934994309921E-3</v>
      </c>
      <c r="F217" s="266">
        <f>F195</f>
        <v>39.948</v>
      </c>
      <c r="G217" s="267">
        <f t="shared" si="6"/>
        <v>0.35891654111526927</v>
      </c>
      <c r="H217" s="57" t="e">
        <f ca="1">($F$186*E217)/$G$219</f>
        <v>#NAME?</v>
      </c>
      <c r="I217" s="65">
        <f>G217/$G$219</f>
        <v>1.2584584356735134E-2</v>
      </c>
      <c r="J217" s="57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x14ac:dyDescent="0.3">
      <c r="A218" s="11"/>
      <c r="B218" s="11"/>
      <c r="C218" s="242"/>
      <c r="D218" s="243"/>
      <c r="E218" s="265"/>
      <c r="F218" s="266"/>
      <c r="G218" s="267"/>
      <c r="H218" s="57"/>
      <c r="I218" s="65"/>
      <c r="J218" s="57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x14ac:dyDescent="0.3">
      <c r="A219" s="11"/>
      <c r="B219" s="11"/>
      <c r="C219" s="240"/>
      <c r="D219" s="242"/>
      <c r="E219" s="268" t="s">
        <v>184</v>
      </c>
      <c r="F219" s="268"/>
      <c r="G219" s="269">
        <f>SUM(G213:G217)</f>
        <v>28.520333365096878</v>
      </c>
      <c r="H219" s="57"/>
      <c r="I219" s="57"/>
      <c r="J219" s="57"/>
      <c r="K219" s="11"/>
      <c r="L219" s="70"/>
      <c r="M219" s="11"/>
      <c r="N219" s="11"/>
      <c r="O219" s="11"/>
      <c r="P219" s="11"/>
      <c r="Q219" s="11"/>
      <c r="R219" s="11"/>
      <c r="S219" s="11"/>
    </row>
    <row r="220" spans="1:19" x14ac:dyDescent="0.3">
      <c r="A220" s="11"/>
      <c r="B220" s="11"/>
      <c r="C220" s="11"/>
      <c r="D220" s="18"/>
      <c r="E220" s="11"/>
      <c r="F220" s="11"/>
      <c r="G220" s="11"/>
      <c r="H220" s="11"/>
      <c r="I220" s="11"/>
      <c r="J220" s="11"/>
      <c r="K220" s="11"/>
      <c r="L220" s="71"/>
      <c r="M220" s="11"/>
      <c r="N220" s="11"/>
      <c r="O220" s="11"/>
      <c r="P220" s="11"/>
      <c r="Q220" s="11"/>
      <c r="R220" s="11"/>
      <c r="S220" s="11"/>
    </row>
    <row r="221" spans="1:19" x14ac:dyDescent="0.3">
      <c r="A221" s="11"/>
      <c r="B221" s="11"/>
      <c r="C221" s="11" t="s">
        <v>213</v>
      </c>
      <c r="D221" s="18"/>
      <c r="E221" s="11"/>
      <c r="F221" s="11"/>
      <c r="G221" s="11"/>
      <c r="H221" s="11"/>
      <c r="I221" s="11"/>
      <c r="J221" s="11"/>
      <c r="K221" s="11"/>
      <c r="L221" s="71"/>
      <c r="M221" s="11"/>
      <c r="N221" s="11"/>
      <c r="O221" s="11"/>
      <c r="P221" s="11"/>
      <c r="Q221" s="11"/>
      <c r="R221" s="11"/>
      <c r="S221" s="11"/>
    </row>
    <row r="222" spans="1:19" x14ac:dyDescent="0.3">
      <c r="A222" s="11"/>
      <c r="B222" s="11"/>
      <c r="C222" s="11"/>
      <c r="D222" s="18"/>
      <c r="E222" s="11"/>
      <c r="F222" s="11"/>
      <c r="G222" s="11"/>
      <c r="H222" s="11"/>
      <c r="I222" s="11"/>
      <c r="J222" s="11"/>
      <c r="K222" s="11"/>
      <c r="L222" s="71"/>
      <c r="M222" s="11"/>
      <c r="N222" s="11"/>
      <c r="O222" s="11"/>
      <c r="P222" s="11"/>
      <c r="Q222" s="11"/>
      <c r="R222" s="11"/>
      <c r="S222" s="11"/>
    </row>
    <row r="223" spans="1:19" x14ac:dyDescent="0.3">
      <c r="A223" s="11"/>
      <c r="B223" s="11"/>
      <c r="C223" s="60" t="s">
        <v>214</v>
      </c>
      <c r="D223" s="57">
        <f>-K269</f>
        <v>9315.1737915160757</v>
      </c>
      <c r="E223" s="11" t="s">
        <v>149</v>
      </c>
      <c r="F223" s="11"/>
      <c r="G223" s="11"/>
      <c r="H223" s="11"/>
      <c r="I223" s="11"/>
      <c r="J223" s="11"/>
      <c r="K223" s="11"/>
      <c r="L223" s="71"/>
      <c r="M223" s="11"/>
      <c r="N223" s="11"/>
      <c r="O223" s="11"/>
      <c r="P223" s="11"/>
      <c r="Q223" s="11"/>
      <c r="R223" s="11"/>
      <c r="S223" s="11"/>
    </row>
    <row r="224" spans="1:19" x14ac:dyDescent="0.3">
      <c r="A224" s="11"/>
      <c r="B224" s="11"/>
      <c r="C224" s="60" t="s">
        <v>215</v>
      </c>
      <c r="D224" s="57">
        <f>F208</f>
        <v>28.965115935299998</v>
      </c>
      <c r="E224" s="11" t="s">
        <v>314</v>
      </c>
      <c r="F224" s="11"/>
      <c r="G224" s="11"/>
      <c r="H224" s="11"/>
      <c r="I224" s="11"/>
      <c r="J224" s="11"/>
      <c r="K224" s="11"/>
      <c r="L224" s="71"/>
      <c r="M224" s="11"/>
      <c r="N224" s="11"/>
      <c r="O224" s="11"/>
      <c r="P224" s="11"/>
      <c r="Q224" s="11"/>
      <c r="R224" s="11"/>
      <c r="S224" s="11"/>
    </row>
    <row r="225" spans="1:19" x14ac:dyDescent="0.3">
      <c r="A225" s="11"/>
      <c r="B225" s="11"/>
      <c r="C225" s="60" t="s">
        <v>216</v>
      </c>
      <c r="D225" s="57">
        <f>D203</f>
        <v>0.209476</v>
      </c>
      <c r="E225" s="11"/>
      <c r="F225" s="11"/>
      <c r="G225" s="11"/>
      <c r="H225" s="11"/>
      <c r="I225" s="11"/>
      <c r="J225" s="11"/>
      <c r="K225" s="11"/>
      <c r="L225" s="71"/>
      <c r="M225" s="11"/>
      <c r="N225" s="11"/>
      <c r="O225" s="11"/>
      <c r="P225" s="11"/>
      <c r="Q225" s="11"/>
      <c r="R225" s="11"/>
      <c r="S225" s="11"/>
    </row>
    <row r="226" spans="1:19" x14ac:dyDescent="0.3">
      <c r="A226" s="11"/>
      <c r="B226" s="11"/>
      <c r="C226" s="60" t="s">
        <v>334</v>
      </c>
      <c r="D226" s="85">
        <f>(-K269*28.9651785/0.209476)</f>
        <v>1288050.5243072473</v>
      </c>
      <c r="E226" s="11" t="s">
        <v>187</v>
      </c>
      <c r="F226" s="11"/>
      <c r="G226" s="11"/>
      <c r="H226" s="11"/>
      <c r="I226" s="11"/>
      <c r="J226" s="11"/>
      <c r="K226" s="11"/>
      <c r="L226" s="71"/>
      <c r="M226" s="11"/>
      <c r="N226" s="11"/>
      <c r="O226" s="11"/>
      <c r="P226" s="11"/>
      <c r="Q226" s="11"/>
      <c r="R226" s="11"/>
      <c r="S226" s="11"/>
    </row>
    <row r="227" spans="1:19" x14ac:dyDescent="0.3">
      <c r="A227" s="11"/>
      <c r="B227" s="11"/>
      <c r="C227" s="60" t="s">
        <v>217</v>
      </c>
      <c r="D227" s="57">
        <f>F183</f>
        <v>2.6333903697947268E-2</v>
      </c>
      <c r="E227" s="11" t="s">
        <v>315</v>
      </c>
      <c r="F227" s="11"/>
      <c r="G227" s="11"/>
      <c r="H227" s="11"/>
      <c r="I227" s="11"/>
      <c r="J227" s="11"/>
      <c r="K227" s="11"/>
      <c r="L227" s="71"/>
      <c r="M227" s="11"/>
      <c r="N227" s="11"/>
      <c r="O227" s="11"/>
      <c r="P227" s="11"/>
      <c r="Q227" s="11"/>
      <c r="R227" s="11"/>
      <c r="S227" s="11"/>
    </row>
    <row r="228" spans="1:19" x14ac:dyDescent="0.3">
      <c r="A228" s="11"/>
      <c r="B228" s="11"/>
      <c r="C228" s="60" t="s">
        <v>218</v>
      </c>
      <c r="D228" s="57" t="e">
        <f>F185</f>
        <v>#NAME?</v>
      </c>
      <c r="E228" s="11" t="s">
        <v>187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 spans="1:19" x14ac:dyDescent="0.3">
      <c r="A229" s="11"/>
      <c r="B229" s="11"/>
      <c r="C229" s="60"/>
      <c r="D229" s="57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 spans="1:19" x14ac:dyDescent="0.3">
      <c r="A230" s="11"/>
      <c r="B230" s="11"/>
      <c r="C230" s="60" t="s">
        <v>219</v>
      </c>
      <c r="D230" s="196" t="e">
        <f ca="1">D153+D151</f>
        <v>#NAME?</v>
      </c>
      <c r="E230" s="11" t="s">
        <v>187</v>
      </c>
      <c r="F230" s="201" t="e">
        <f ca="1">D230*0.453592</f>
        <v>#NAME?</v>
      </c>
      <c r="G230" s="11" t="s">
        <v>148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 spans="1:19" x14ac:dyDescent="0.3">
      <c r="A231" s="11"/>
      <c r="B231" s="11"/>
      <c r="C231" s="60" t="s">
        <v>220</v>
      </c>
      <c r="D231" s="57">
        <f>D137</f>
        <v>0</v>
      </c>
      <c r="E231" s="11" t="s">
        <v>187</v>
      </c>
      <c r="F231" s="196">
        <f t="shared" ref="F231:F239" si="7">D231*0.453592</f>
        <v>0</v>
      </c>
      <c r="G231" s="11" t="s">
        <v>148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x14ac:dyDescent="0.3">
      <c r="A232" s="11"/>
      <c r="B232" s="11"/>
      <c r="C232" s="60" t="s">
        <v>221</v>
      </c>
      <c r="D232" s="57" t="e">
        <f ca="1">D165</f>
        <v>#NAME?</v>
      </c>
      <c r="E232" s="11" t="s">
        <v>187</v>
      </c>
      <c r="F232" s="196" t="e">
        <f t="shared" ca="1" si="7"/>
        <v>#NAME?</v>
      </c>
      <c r="G232" s="11" t="s">
        <v>148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x14ac:dyDescent="0.3">
      <c r="A233" s="11"/>
      <c r="B233" s="11"/>
      <c r="C233" s="60" t="s">
        <v>222</v>
      </c>
      <c r="D233" s="57" t="e">
        <f>F185</f>
        <v>#NAME?</v>
      </c>
      <c r="E233" s="11" t="s">
        <v>187</v>
      </c>
      <c r="F233" s="196" t="e">
        <f t="shared" si="7"/>
        <v>#NAME?</v>
      </c>
      <c r="G233" s="11" t="s">
        <v>148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x14ac:dyDescent="0.3">
      <c r="A234" s="11"/>
      <c r="B234" s="11"/>
      <c r="C234" s="60"/>
      <c r="D234" s="57"/>
      <c r="E234" s="11"/>
      <c r="F234" s="7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x14ac:dyDescent="0.3">
      <c r="A235" s="11"/>
      <c r="B235" s="11"/>
      <c r="C235" s="60" t="s">
        <v>223</v>
      </c>
      <c r="D235" s="57">
        <f>G132</f>
        <v>77382.25</v>
      </c>
      <c r="E235" s="11" t="s">
        <v>187</v>
      </c>
      <c r="F235" s="196" t="s">
        <v>370</v>
      </c>
      <c r="G235" s="11" t="s">
        <v>148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x14ac:dyDescent="0.3">
      <c r="A236" s="11"/>
      <c r="B236" s="11"/>
      <c r="C236" s="60" t="s">
        <v>224</v>
      </c>
      <c r="D236" s="57">
        <f>D132</f>
        <v>0</v>
      </c>
      <c r="E236" s="11" t="s">
        <v>187</v>
      </c>
      <c r="F236" s="196">
        <f t="shared" si="7"/>
        <v>0</v>
      </c>
      <c r="G236" s="11" t="s">
        <v>148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x14ac:dyDescent="0.3">
      <c r="A237" s="11"/>
      <c r="B237" s="11"/>
      <c r="C237" s="60" t="s">
        <v>225</v>
      </c>
      <c r="D237" s="57" t="e">
        <f>D158</f>
        <v>#NAME?</v>
      </c>
      <c r="E237" s="11" t="s">
        <v>187</v>
      </c>
      <c r="F237" s="196" t="e">
        <f t="shared" si="7"/>
        <v>#NAME?</v>
      </c>
      <c r="G237" s="11" t="s">
        <v>148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x14ac:dyDescent="0.3">
      <c r="A238" s="11"/>
      <c r="B238" s="11"/>
      <c r="C238" s="60"/>
      <c r="D238" s="57"/>
      <c r="E238" s="11"/>
      <c r="F238" s="7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x14ac:dyDescent="0.3">
      <c r="A239" s="11"/>
      <c r="B239" s="11"/>
      <c r="C239" s="60" t="s">
        <v>226</v>
      </c>
      <c r="D239" s="196" t="e">
        <f ca="1">D171</f>
        <v>#NAME?</v>
      </c>
      <c r="E239" s="11" t="s">
        <v>187</v>
      </c>
      <c r="F239" s="201" t="e">
        <f t="shared" ca="1" si="7"/>
        <v>#NAME?</v>
      </c>
      <c r="G239" s="11" t="s">
        <v>148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x14ac:dyDescent="0.3">
      <c r="A240" s="11"/>
      <c r="B240" s="11"/>
      <c r="C240" s="11"/>
      <c r="D240" s="18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x14ac:dyDescent="0.3">
      <c r="A241" s="11"/>
      <c r="B241" s="11"/>
      <c r="C241" s="62" t="s">
        <v>227</v>
      </c>
      <c r="D241" s="18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x14ac:dyDescent="0.3">
      <c r="A242" s="11"/>
      <c r="B242" s="11"/>
      <c r="C242" s="11"/>
      <c r="D242" s="18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x14ac:dyDescent="0.3">
      <c r="A243" s="11"/>
      <c r="B243" s="11"/>
      <c r="C243" s="11" t="s">
        <v>146</v>
      </c>
      <c r="D243" s="57">
        <f>G132</f>
        <v>77382.25</v>
      </c>
      <c r="E243" s="11" t="s">
        <v>187</v>
      </c>
      <c r="F243" s="7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x14ac:dyDescent="0.3">
      <c r="A244" s="11"/>
      <c r="B244" s="11"/>
      <c r="C244" s="11" t="s">
        <v>147</v>
      </c>
      <c r="D244" s="57">
        <f>D243/G268</f>
        <v>4396.9365000359094</v>
      </c>
      <c r="E244" s="11" t="s">
        <v>149</v>
      </c>
      <c r="F244" s="7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s="22" customFormat="1" x14ac:dyDescent="0.3">
      <c r="A245" s="123"/>
      <c r="B245" s="10"/>
      <c r="C245" s="10"/>
      <c r="D245" s="10"/>
      <c r="E245" s="10" t="s">
        <v>139</v>
      </c>
      <c r="F245" s="10" t="s">
        <v>140</v>
      </c>
      <c r="G245" s="10" t="s">
        <v>143</v>
      </c>
      <c r="H245" s="10" t="s">
        <v>144</v>
      </c>
      <c r="I245" s="10" t="s">
        <v>145</v>
      </c>
      <c r="J245" s="10" t="s">
        <v>151</v>
      </c>
      <c r="K245" s="10" t="s">
        <v>152</v>
      </c>
      <c r="L245" s="10" t="s">
        <v>153</v>
      </c>
      <c r="M245" s="10" t="s">
        <v>154</v>
      </c>
      <c r="N245" s="10" t="s">
        <v>155</v>
      </c>
      <c r="O245" s="10" t="s">
        <v>156</v>
      </c>
      <c r="P245" s="10" t="s">
        <v>157</v>
      </c>
      <c r="Q245" s="10" t="s">
        <v>158</v>
      </c>
      <c r="R245" s="10" t="s">
        <v>159</v>
      </c>
      <c r="S245" s="123" t="s">
        <v>284</v>
      </c>
    </row>
    <row r="246" spans="1:19" ht="25.5" customHeight="1" x14ac:dyDescent="0.3">
      <c r="A246" s="11"/>
      <c r="B246" s="11"/>
      <c r="C246" s="262" t="s">
        <v>15</v>
      </c>
      <c r="D246" s="262" t="s">
        <v>14</v>
      </c>
      <c r="E246" s="262" t="s">
        <v>16</v>
      </c>
      <c r="F246" s="254" t="s">
        <v>137</v>
      </c>
      <c r="G246" s="254" t="s">
        <v>138</v>
      </c>
      <c r="H246" s="252" t="s">
        <v>141</v>
      </c>
      <c r="I246" s="254" t="s">
        <v>142</v>
      </c>
      <c r="J246" s="252" t="s">
        <v>150</v>
      </c>
      <c r="K246" s="254" t="s">
        <v>161</v>
      </c>
      <c r="L246" s="252" t="s">
        <v>160</v>
      </c>
      <c r="M246" s="254" t="s">
        <v>162</v>
      </c>
      <c r="N246" s="252" t="s">
        <v>163</v>
      </c>
      <c r="O246" s="254" t="s">
        <v>189</v>
      </c>
      <c r="P246" s="252" t="s">
        <v>188</v>
      </c>
      <c r="Q246" s="254" t="s">
        <v>190</v>
      </c>
      <c r="R246" s="252" t="s">
        <v>192</v>
      </c>
      <c r="S246" s="254" t="s">
        <v>191</v>
      </c>
    </row>
    <row r="247" spans="1:19" x14ac:dyDescent="0.3">
      <c r="A247" s="11"/>
      <c r="B247" s="11"/>
      <c r="C247" s="262"/>
      <c r="D247" s="262"/>
      <c r="E247" s="262"/>
      <c r="F247" s="254"/>
      <c r="G247" s="252"/>
      <c r="H247" s="252"/>
      <c r="I247" s="254"/>
      <c r="J247" s="252"/>
      <c r="K247" s="254"/>
      <c r="L247" s="252"/>
      <c r="M247" s="254"/>
      <c r="N247" s="252"/>
      <c r="O247" s="254"/>
      <c r="P247" s="252"/>
      <c r="Q247" s="254"/>
      <c r="R247" s="252"/>
      <c r="S247" s="254"/>
    </row>
    <row r="248" spans="1:19" x14ac:dyDescent="0.3">
      <c r="A248" s="11"/>
      <c r="B248" s="11"/>
      <c r="C248" s="82" t="s">
        <v>21</v>
      </c>
      <c r="D248" s="83" t="s">
        <v>3</v>
      </c>
      <c r="E248" s="84">
        <f>IFERROR(VLOOKUP(D248,J125:K141,2,FALSE),"0")</f>
        <v>0.91025999999999996</v>
      </c>
      <c r="F248" s="69">
        <f>VLOOKUP(D248,gases,3,FALSE)</f>
        <v>16.042459999999998</v>
      </c>
      <c r="G248" s="57">
        <f>E248*F248</f>
        <v>14.602809639599998</v>
      </c>
      <c r="H248" s="57">
        <v>0</v>
      </c>
      <c r="I248" s="57">
        <f>$D$244*E248*H248</f>
        <v>0</v>
      </c>
      <c r="J248" s="57">
        <v>-2</v>
      </c>
      <c r="K248" s="57">
        <f>$D$244*E248*J248</f>
        <v>-8004.7108370453734</v>
      </c>
      <c r="L248" s="57">
        <v>1</v>
      </c>
      <c r="M248" s="57">
        <f>$D$244*E248*L248</f>
        <v>4002.3554185226867</v>
      </c>
      <c r="N248" s="57">
        <v>2</v>
      </c>
      <c r="O248" s="57">
        <f>$D$244*E248*N248</f>
        <v>8004.7108370453734</v>
      </c>
      <c r="P248" s="57">
        <v>0</v>
      </c>
      <c r="Q248" s="57">
        <f>$D$244*E248*P248</f>
        <v>0</v>
      </c>
      <c r="R248" s="57">
        <v>0</v>
      </c>
      <c r="S248" s="57">
        <f>$D$244*E248*R248</f>
        <v>0</v>
      </c>
    </row>
    <row r="249" spans="1:19" x14ac:dyDescent="0.3">
      <c r="A249" s="11"/>
      <c r="B249" s="11"/>
      <c r="C249" s="82" t="s">
        <v>22</v>
      </c>
      <c r="D249" s="83" t="s">
        <v>4</v>
      </c>
      <c r="E249" s="84">
        <f>IFERROR(VLOOKUP(D249,J126:K142,2,FALSE),"0")</f>
        <v>6.5329999999999999E-2</v>
      </c>
      <c r="F249" s="69">
        <f t="shared" ref="F249:F264" si="8">VLOOKUP(D249,gases,3,FALSE)</f>
        <v>30.069040000000001</v>
      </c>
      <c r="G249" s="57">
        <f t="shared" ref="G249:G265" si="9">E249*F249</f>
        <v>1.9644103831999999</v>
      </c>
      <c r="H249" s="57">
        <v>0</v>
      </c>
      <c r="I249" s="57">
        <f t="shared" ref="I249:I264" si="10">$D$244*E249*H249</f>
        <v>0</v>
      </c>
      <c r="J249" s="57">
        <v>-3.5</v>
      </c>
      <c r="K249" s="57">
        <f t="shared" ref="K249:K265" si="11">$D$244*E249*J249</f>
        <v>-1005.381515415711</v>
      </c>
      <c r="L249" s="57">
        <v>2</v>
      </c>
      <c r="M249" s="57">
        <f t="shared" ref="M249:M265" si="12">$D$244*E249*L249</f>
        <v>574.50372309469196</v>
      </c>
      <c r="N249" s="57">
        <v>3</v>
      </c>
      <c r="O249" s="57">
        <f t="shared" ref="O249:O265" si="13">$D$244*E249*N249</f>
        <v>861.755584642038</v>
      </c>
      <c r="P249" s="57">
        <v>0</v>
      </c>
      <c r="Q249" s="57">
        <f t="shared" ref="Q249:Q265" si="14">$D$244*E249*P249</f>
        <v>0</v>
      </c>
      <c r="R249" s="57">
        <v>0</v>
      </c>
      <c r="S249" s="57">
        <f t="shared" ref="S249:S265" si="15">$D$244*E249*R249</f>
        <v>0</v>
      </c>
    </row>
    <row r="250" spans="1:19" x14ac:dyDescent="0.3">
      <c r="A250" s="11"/>
      <c r="B250" s="11"/>
      <c r="C250" s="82" t="s">
        <v>23</v>
      </c>
      <c r="D250" s="83" t="s">
        <v>5</v>
      </c>
      <c r="E250" s="84">
        <f t="shared" ref="E250:E265" si="16">IFERROR(VLOOKUP(D250,J127:K143,2,FALSE),"0")</f>
        <v>1.1000000000000001E-2</v>
      </c>
      <c r="F250" s="69">
        <f>VLOOKUP(D250,gases,3,FALSE)</f>
        <v>44.095619999999997</v>
      </c>
      <c r="G250" s="57">
        <f>E250*F250</f>
        <v>0.48505182000000002</v>
      </c>
      <c r="H250" s="57">
        <v>0</v>
      </c>
      <c r="I250" s="57">
        <f t="shared" si="10"/>
        <v>0</v>
      </c>
      <c r="J250" s="57">
        <v>-5</v>
      </c>
      <c r="K250" s="57">
        <f t="shared" si="11"/>
        <v>-241.83150750197507</v>
      </c>
      <c r="L250" s="57">
        <v>3</v>
      </c>
      <c r="M250" s="57">
        <f t="shared" si="12"/>
        <v>145.09890450118502</v>
      </c>
      <c r="N250" s="57">
        <v>4</v>
      </c>
      <c r="O250" s="57">
        <f t="shared" si="13"/>
        <v>193.46520600158004</v>
      </c>
      <c r="P250" s="57">
        <v>0</v>
      </c>
      <c r="Q250" s="57">
        <f t="shared" si="14"/>
        <v>0</v>
      </c>
      <c r="R250" s="57">
        <v>0</v>
      </c>
      <c r="S250" s="57">
        <f t="shared" si="15"/>
        <v>0</v>
      </c>
    </row>
    <row r="251" spans="1:19" x14ac:dyDescent="0.3">
      <c r="A251" s="11"/>
      <c r="B251" s="11"/>
      <c r="C251" s="82" t="s">
        <v>24</v>
      </c>
      <c r="D251" s="83" t="s">
        <v>6</v>
      </c>
      <c r="E251" s="84">
        <f>IFERROR(VLOOKUP(D251,J128:K144,2,FALSE),"0")</f>
        <v>8.1000000000000006E-4</v>
      </c>
      <c r="F251" s="69">
        <f t="shared" si="8"/>
        <v>58.122199999999999</v>
      </c>
      <c r="G251" s="57">
        <f t="shared" si="9"/>
        <v>4.7078982000000005E-2</v>
      </c>
      <c r="H251" s="57">
        <v>0</v>
      </c>
      <c r="I251" s="57">
        <f t="shared" si="10"/>
        <v>0</v>
      </c>
      <c r="J251" s="57">
        <v>-6.5</v>
      </c>
      <c r="K251" s="57">
        <f t="shared" si="11"/>
        <v>-23.149870672689065</v>
      </c>
      <c r="L251" s="57">
        <v>4</v>
      </c>
      <c r="M251" s="57">
        <f t="shared" si="12"/>
        <v>14.246074260116348</v>
      </c>
      <c r="N251" s="57">
        <v>5</v>
      </c>
      <c r="O251" s="57">
        <f t="shared" si="13"/>
        <v>17.807592825145434</v>
      </c>
      <c r="P251" s="57">
        <v>0</v>
      </c>
      <c r="Q251" s="57">
        <f t="shared" si="14"/>
        <v>0</v>
      </c>
      <c r="R251" s="57">
        <v>0</v>
      </c>
      <c r="S251" s="57">
        <f t="shared" si="15"/>
        <v>0</v>
      </c>
    </row>
    <row r="252" spans="1:19" x14ac:dyDescent="0.3">
      <c r="A252" s="11"/>
      <c r="B252" s="11"/>
      <c r="C252" s="82" t="s">
        <v>25</v>
      </c>
      <c r="D252" s="83" t="s">
        <v>7</v>
      </c>
      <c r="E252" s="84">
        <f t="shared" si="16"/>
        <v>8.0000000000000004E-4</v>
      </c>
      <c r="F252" s="69">
        <f t="shared" si="8"/>
        <v>58.122199999999999</v>
      </c>
      <c r="G252" s="57">
        <f t="shared" si="9"/>
        <v>4.6497759999999999E-2</v>
      </c>
      <c r="H252" s="57">
        <v>0</v>
      </c>
      <c r="I252" s="57">
        <f t="shared" si="10"/>
        <v>0</v>
      </c>
      <c r="J252" s="57">
        <v>-6.5</v>
      </c>
      <c r="K252" s="57">
        <f t="shared" si="11"/>
        <v>-22.86406980018673</v>
      </c>
      <c r="L252" s="57">
        <v>4</v>
      </c>
      <c r="M252" s="57">
        <f t="shared" si="12"/>
        <v>14.07019680011491</v>
      </c>
      <c r="N252" s="57">
        <v>5</v>
      </c>
      <c r="O252" s="57">
        <f t="shared" si="13"/>
        <v>17.587746000143639</v>
      </c>
      <c r="P252" s="57">
        <v>0</v>
      </c>
      <c r="Q252" s="57">
        <f t="shared" si="14"/>
        <v>0</v>
      </c>
      <c r="R252" s="57">
        <v>0</v>
      </c>
      <c r="S252" s="57">
        <f t="shared" si="15"/>
        <v>0</v>
      </c>
    </row>
    <row r="253" spans="1:19" x14ac:dyDescent="0.3">
      <c r="A253" s="11"/>
      <c r="B253" s="11"/>
      <c r="C253" s="82" t="s">
        <v>26</v>
      </c>
      <c r="D253" s="83" t="s">
        <v>8</v>
      </c>
      <c r="E253" s="84">
        <f>IFERROR(VLOOKUP(D253,J130:K146,2,FALSE),"0")</f>
        <v>2.7E-4</v>
      </c>
      <c r="F253" s="69">
        <f t="shared" si="8"/>
        <v>72.148780000000002</v>
      </c>
      <c r="G253" s="57">
        <f t="shared" si="9"/>
        <v>1.9480170599999999E-2</v>
      </c>
      <c r="H253" s="57">
        <v>0</v>
      </c>
      <c r="I253" s="57">
        <f t="shared" si="10"/>
        <v>0</v>
      </c>
      <c r="J253" s="57">
        <v>-8</v>
      </c>
      <c r="K253" s="57">
        <f t="shared" si="11"/>
        <v>-9.4973828400775648</v>
      </c>
      <c r="L253" s="57">
        <v>5</v>
      </c>
      <c r="M253" s="57">
        <f t="shared" si="12"/>
        <v>5.9358642750484778</v>
      </c>
      <c r="N253" s="57">
        <v>6</v>
      </c>
      <c r="O253" s="57">
        <f t="shared" si="13"/>
        <v>7.1230371300581741</v>
      </c>
      <c r="P253" s="57">
        <v>0</v>
      </c>
      <c r="Q253" s="57">
        <f t="shared" si="14"/>
        <v>0</v>
      </c>
      <c r="R253" s="57">
        <v>0</v>
      </c>
      <c r="S253" s="57">
        <f t="shared" si="15"/>
        <v>0</v>
      </c>
    </row>
    <row r="254" spans="1:19" x14ac:dyDescent="0.3">
      <c r="A254" s="11"/>
      <c r="B254" s="11"/>
      <c r="C254" s="82" t="s">
        <v>27</v>
      </c>
      <c r="D254" s="83" t="s">
        <v>9</v>
      </c>
      <c r="E254" s="84">
        <f t="shared" si="16"/>
        <v>2.1999999999999998E-4</v>
      </c>
      <c r="F254" s="69">
        <f t="shared" si="8"/>
        <v>72.148780000000002</v>
      </c>
      <c r="G254" s="57">
        <f t="shared" si="9"/>
        <v>1.5872731599999999E-2</v>
      </c>
      <c r="H254" s="57">
        <v>0</v>
      </c>
      <c r="I254" s="57">
        <f t="shared" si="10"/>
        <v>0</v>
      </c>
      <c r="J254" s="57">
        <v>-8</v>
      </c>
      <c r="K254" s="57">
        <f t="shared" si="11"/>
        <v>-7.7386082400631997</v>
      </c>
      <c r="L254" s="57">
        <v>5</v>
      </c>
      <c r="M254" s="57">
        <f t="shared" si="12"/>
        <v>4.8366301500394995</v>
      </c>
      <c r="N254" s="57">
        <v>6</v>
      </c>
      <c r="O254" s="57">
        <f t="shared" si="13"/>
        <v>5.8039561800473995</v>
      </c>
      <c r="P254" s="57">
        <v>0</v>
      </c>
      <c r="Q254" s="57">
        <f t="shared" si="14"/>
        <v>0</v>
      </c>
      <c r="R254" s="57">
        <v>0</v>
      </c>
      <c r="S254" s="57">
        <f t="shared" si="15"/>
        <v>0</v>
      </c>
    </row>
    <row r="255" spans="1:19" x14ac:dyDescent="0.3">
      <c r="A255" s="11"/>
      <c r="B255" s="11"/>
      <c r="C255" s="82" t="s">
        <v>28</v>
      </c>
      <c r="D255" s="83" t="s">
        <v>10</v>
      </c>
      <c r="E255" s="84">
        <f t="shared" si="16"/>
        <v>0</v>
      </c>
      <c r="F255" s="69">
        <f t="shared" si="8"/>
        <v>86.175359999999998</v>
      </c>
      <c r="G255" s="57">
        <f t="shared" si="9"/>
        <v>0</v>
      </c>
      <c r="H255" s="57">
        <v>0</v>
      </c>
      <c r="I255" s="57">
        <f t="shared" si="10"/>
        <v>0</v>
      </c>
      <c r="J255" s="57">
        <v>-9.5</v>
      </c>
      <c r="K255" s="57">
        <f t="shared" si="11"/>
        <v>0</v>
      </c>
      <c r="L255" s="57">
        <v>6</v>
      </c>
      <c r="M255" s="57">
        <f t="shared" si="12"/>
        <v>0</v>
      </c>
      <c r="N255" s="57">
        <v>7</v>
      </c>
      <c r="O255" s="57">
        <f t="shared" si="13"/>
        <v>0</v>
      </c>
      <c r="P255" s="57">
        <v>0</v>
      </c>
      <c r="Q255" s="57">
        <f t="shared" si="14"/>
        <v>0</v>
      </c>
      <c r="R255" s="57">
        <v>0</v>
      </c>
      <c r="S255" s="57">
        <f t="shared" si="15"/>
        <v>0</v>
      </c>
    </row>
    <row r="256" spans="1:19" x14ac:dyDescent="0.3">
      <c r="A256" s="11"/>
      <c r="B256" s="11"/>
      <c r="C256" s="82" t="s">
        <v>30</v>
      </c>
      <c r="D256" s="83" t="s">
        <v>19</v>
      </c>
      <c r="E256" s="84">
        <f t="shared" si="16"/>
        <v>4.9899999999999996E-3</v>
      </c>
      <c r="F256" s="69">
        <f t="shared" si="8"/>
        <v>28.013400000000001</v>
      </c>
      <c r="G256" s="57">
        <f t="shared" si="9"/>
        <v>0.13978686599999998</v>
      </c>
      <c r="H256" s="57">
        <v>1</v>
      </c>
      <c r="I256" s="57">
        <f>$D$244*E256*H256</f>
        <v>21.940713135179188</v>
      </c>
      <c r="J256" s="57">
        <v>0</v>
      </c>
      <c r="K256" s="57">
        <f t="shared" si="11"/>
        <v>0</v>
      </c>
      <c r="L256" s="57">
        <v>0</v>
      </c>
      <c r="M256" s="57">
        <f t="shared" si="12"/>
        <v>0</v>
      </c>
      <c r="N256" s="57">
        <v>0</v>
      </c>
      <c r="O256" s="57">
        <f t="shared" si="13"/>
        <v>0</v>
      </c>
      <c r="P256" s="57">
        <v>0</v>
      </c>
      <c r="Q256" s="57">
        <f t="shared" si="14"/>
        <v>0</v>
      </c>
      <c r="R256" s="57"/>
      <c r="S256" s="57">
        <f t="shared" si="15"/>
        <v>0</v>
      </c>
    </row>
    <row r="257" spans="1:19" x14ac:dyDescent="0.3">
      <c r="A257" s="11"/>
      <c r="B257" s="11"/>
      <c r="C257" s="82" t="s">
        <v>63</v>
      </c>
      <c r="D257" s="83" t="s">
        <v>39</v>
      </c>
      <c r="E257" s="84">
        <f t="shared" si="16"/>
        <v>0</v>
      </c>
      <c r="F257" s="69">
        <f t="shared" si="8"/>
        <v>28.010100000000001</v>
      </c>
      <c r="G257" s="57">
        <f t="shared" si="9"/>
        <v>0</v>
      </c>
      <c r="H257" s="57">
        <v>0</v>
      </c>
      <c r="I257" s="57">
        <f t="shared" si="10"/>
        <v>0</v>
      </c>
      <c r="J257" s="57">
        <v>-0.5</v>
      </c>
      <c r="K257" s="57">
        <f t="shared" si="11"/>
        <v>0</v>
      </c>
      <c r="L257" s="57">
        <v>1</v>
      </c>
      <c r="M257" s="57">
        <f t="shared" si="12"/>
        <v>0</v>
      </c>
      <c r="N257" s="57">
        <v>0</v>
      </c>
      <c r="O257" s="57">
        <f t="shared" si="13"/>
        <v>0</v>
      </c>
      <c r="P257" s="57">
        <v>0</v>
      </c>
      <c r="Q257" s="57">
        <f t="shared" si="14"/>
        <v>0</v>
      </c>
      <c r="R257" s="57"/>
      <c r="S257" s="57">
        <f t="shared" si="15"/>
        <v>0</v>
      </c>
    </row>
    <row r="258" spans="1:19" x14ac:dyDescent="0.3">
      <c r="A258" s="11"/>
      <c r="B258" s="11"/>
      <c r="C258" s="82" t="s">
        <v>31</v>
      </c>
      <c r="D258" s="83" t="s">
        <v>11</v>
      </c>
      <c r="E258" s="84">
        <f t="shared" si="16"/>
        <v>6.3200000000000001E-3</v>
      </c>
      <c r="F258" s="69">
        <f t="shared" si="8"/>
        <v>44.009500000000003</v>
      </c>
      <c r="G258" s="57">
        <f t="shared" si="9"/>
        <v>0.27814004000000003</v>
      </c>
      <c r="H258" s="57">
        <v>0</v>
      </c>
      <c r="I258" s="57">
        <f t="shared" si="10"/>
        <v>0</v>
      </c>
      <c r="J258" s="57">
        <v>0</v>
      </c>
      <c r="K258" s="57">
        <f t="shared" si="11"/>
        <v>0</v>
      </c>
      <c r="L258" s="57">
        <v>1</v>
      </c>
      <c r="M258" s="57">
        <f t="shared" si="12"/>
        <v>27.788638680226949</v>
      </c>
      <c r="N258" s="57">
        <v>0</v>
      </c>
      <c r="O258" s="57">
        <f t="shared" si="13"/>
        <v>0</v>
      </c>
      <c r="P258" s="57">
        <v>0</v>
      </c>
      <c r="Q258" s="57">
        <f t="shared" si="14"/>
        <v>0</v>
      </c>
      <c r="R258" s="57"/>
      <c r="S258" s="57">
        <f t="shared" si="15"/>
        <v>0</v>
      </c>
    </row>
    <row r="259" spans="1:19" x14ac:dyDescent="0.3">
      <c r="A259" s="11"/>
      <c r="B259" s="11"/>
      <c r="C259" s="82" t="s">
        <v>53</v>
      </c>
      <c r="D259" s="83" t="s">
        <v>44</v>
      </c>
      <c r="E259" s="84">
        <f t="shared" si="16"/>
        <v>0</v>
      </c>
      <c r="F259" s="69">
        <f t="shared" si="8"/>
        <v>18.015280000000001</v>
      </c>
      <c r="G259" s="57">
        <f t="shared" si="9"/>
        <v>0</v>
      </c>
      <c r="H259" s="57">
        <v>0</v>
      </c>
      <c r="I259" s="57">
        <f t="shared" si="10"/>
        <v>0</v>
      </c>
      <c r="J259" s="57">
        <v>0</v>
      </c>
      <c r="K259" s="57">
        <f t="shared" si="11"/>
        <v>0</v>
      </c>
      <c r="L259" s="57">
        <v>0</v>
      </c>
      <c r="M259" s="57">
        <f t="shared" si="12"/>
        <v>0</v>
      </c>
      <c r="N259" s="57">
        <v>1</v>
      </c>
      <c r="O259" s="57">
        <f t="shared" si="13"/>
        <v>0</v>
      </c>
      <c r="P259" s="57">
        <v>0</v>
      </c>
      <c r="Q259" s="57">
        <f t="shared" si="14"/>
        <v>0</v>
      </c>
      <c r="R259" s="57"/>
      <c r="S259" s="57">
        <f t="shared" si="15"/>
        <v>0</v>
      </c>
    </row>
    <row r="260" spans="1:19" x14ac:dyDescent="0.3">
      <c r="A260" s="11"/>
      <c r="B260" s="11"/>
      <c r="C260" s="82" t="s">
        <v>50</v>
      </c>
      <c r="D260" s="83" t="s">
        <v>228</v>
      </c>
      <c r="E260" s="84">
        <f t="shared" si="16"/>
        <v>0</v>
      </c>
      <c r="F260" s="69">
        <f t="shared" si="8"/>
        <v>34.080880000000001</v>
      </c>
      <c r="G260" s="57">
        <f t="shared" si="9"/>
        <v>0</v>
      </c>
      <c r="H260" s="57">
        <v>0</v>
      </c>
      <c r="I260" s="57">
        <f t="shared" si="10"/>
        <v>0</v>
      </c>
      <c r="J260" s="57">
        <v>-1.5</v>
      </c>
      <c r="K260" s="57">
        <f t="shared" si="11"/>
        <v>0</v>
      </c>
      <c r="L260" s="57">
        <v>0</v>
      </c>
      <c r="M260" s="57">
        <f t="shared" si="12"/>
        <v>0</v>
      </c>
      <c r="N260" s="57">
        <v>1</v>
      </c>
      <c r="O260" s="57">
        <f t="shared" si="13"/>
        <v>0</v>
      </c>
      <c r="P260" s="57">
        <v>0</v>
      </c>
      <c r="Q260" s="57">
        <f t="shared" si="14"/>
        <v>0</v>
      </c>
      <c r="R260" s="57"/>
      <c r="S260" s="57">
        <f t="shared" si="15"/>
        <v>0</v>
      </c>
    </row>
    <row r="261" spans="1:19" x14ac:dyDescent="0.3">
      <c r="A261" s="11"/>
      <c r="B261" s="11"/>
      <c r="C261" s="82" t="s">
        <v>51</v>
      </c>
      <c r="D261" s="83" t="s">
        <v>42</v>
      </c>
      <c r="E261" s="84">
        <f t="shared" si="16"/>
        <v>0</v>
      </c>
      <c r="F261" s="69">
        <f t="shared" si="8"/>
        <v>2.0158800000000001</v>
      </c>
      <c r="G261" s="57">
        <f t="shared" si="9"/>
        <v>0</v>
      </c>
      <c r="H261" s="57">
        <v>0</v>
      </c>
      <c r="I261" s="57">
        <f t="shared" si="10"/>
        <v>0</v>
      </c>
      <c r="J261" s="57">
        <v>-0.5</v>
      </c>
      <c r="K261" s="57">
        <f t="shared" si="11"/>
        <v>0</v>
      </c>
      <c r="L261" s="57">
        <v>0</v>
      </c>
      <c r="M261" s="57">
        <f t="shared" si="12"/>
        <v>0</v>
      </c>
      <c r="N261" s="57">
        <v>1</v>
      </c>
      <c r="O261" s="57">
        <f t="shared" si="13"/>
        <v>0</v>
      </c>
      <c r="P261" s="57">
        <v>0</v>
      </c>
      <c r="Q261" s="57">
        <f t="shared" si="14"/>
        <v>0</v>
      </c>
      <c r="R261" s="57"/>
      <c r="S261" s="57">
        <f t="shared" si="15"/>
        <v>0</v>
      </c>
    </row>
    <row r="262" spans="1:19" x14ac:dyDescent="0.3">
      <c r="A262" s="11"/>
      <c r="B262" s="11"/>
      <c r="C262" s="82" t="s">
        <v>54</v>
      </c>
      <c r="D262" s="83" t="s">
        <v>45</v>
      </c>
      <c r="E262" s="84">
        <f t="shared" si="16"/>
        <v>0</v>
      </c>
      <c r="F262" s="69">
        <f t="shared" si="8"/>
        <v>4.0026000000000002</v>
      </c>
      <c r="G262" s="57">
        <f t="shared" si="9"/>
        <v>0</v>
      </c>
      <c r="H262" s="57">
        <v>0</v>
      </c>
      <c r="I262" s="57">
        <f t="shared" si="10"/>
        <v>0</v>
      </c>
      <c r="J262" s="57">
        <v>0</v>
      </c>
      <c r="K262" s="57">
        <f t="shared" si="11"/>
        <v>0</v>
      </c>
      <c r="L262" s="57">
        <v>0</v>
      </c>
      <c r="M262" s="57">
        <f t="shared" si="12"/>
        <v>0</v>
      </c>
      <c r="N262" s="57">
        <v>0</v>
      </c>
      <c r="O262" s="57">
        <f t="shared" si="13"/>
        <v>0</v>
      </c>
      <c r="P262" s="57">
        <v>1</v>
      </c>
      <c r="Q262" s="57">
        <f t="shared" si="14"/>
        <v>0</v>
      </c>
      <c r="R262" s="57"/>
      <c r="S262" s="57">
        <f t="shared" si="15"/>
        <v>0</v>
      </c>
    </row>
    <row r="263" spans="1:19" x14ac:dyDescent="0.3">
      <c r="A263" s="11"/>
      <c r="B263" s="11"/>
      <c r="C263" s="82" t="s">
        <v>52</v>
      </c>
      <c r="D263" s="83" t="s">
        <v>43</v>
      </c>
      <c r="E263" s="84">
        <f t="shared" si="16"/>
        <v>0</v>
      </c>
      <c r="F263" s="69">
        <f t="shared" si="8"/>
        <v>31.998799999999999</v>
      </c>
      <c r="G263" s="57">
        <f t="shared" si="9"/>
        <v>0</v>
      </c>
      <c r="H263" s="57">
        <v>0</v>
      </c>
      <c r="I263" s="57">
        <f t="shared" si="10"/>
        <v>0</v>
      </c>
      <c r="J263" s="57">
        <v>1</v>
      </c>
      <c r="K263" s="57">
        <f t="shared" si="11"/>
        <v>0</v>
      </c>
      <c r="L263" s="57">
        <v>0</v>
      </c>
      <c r="M263" s="57">
        <f t="shared" si="12"/>
        <v>0</v>
      </c>
      <c r="N263" s="57">
        <v>0</v>
      </c>
      <c r="O263" s="57">
        <f t="shared" si="13"/>
        <v>0</v>
      </c>
      <c r="P263" s="57">
        <v>0</v>
      </c>
      <c r="Q263" s="57">
        <f t="shared" si="14"/>
        <v>0</v>
      </c>
      <c r="R263" s="57"/>
      <c r="S263" s="57">
        <f t="shared" si="15"/>
        <v>0</v>
      </c>
    </row>
    <row r="264" spans="1:19" x14ac:dyDescent="0.3">
      <c r="A264" s="11"/>
      <c r="B264" s="11"/>
      <c r="C264" s="82" t="s">
        <v>55</v>
      </c>
      <c r="D264" s="83" t="s">
        <v>46</v>
      </c>
      <c r="E264" s="84">
        <f t="shared" si="16"/>
        <v>0</v>
      </c>
      <c r="F264" s="69">
        <f t="shared" si="8"/>
        <v>39.948</v>
      </c>
      <c r="G264" s="57">
        <f t="shared" si="9"/>
        <v>0</v>
      </c>
      <c r="H264" s="57">
        <v>0</v>
      </c>
      <c r="I264" s="57">
        <f t="shared" si="10"/>
        <v>0</v>
      </c>
      <c r="J264" s="57">
        <v>0</v>
      </c>
      <c r="K264" s="57">
        <f t="shared" si="11"/>
        <v>0</v>
      </c>
      <c r="L264" s="57">
        <v>0</v>
      </c>
      <c r="M264" s="57">
        <f t="shared" si="12"/>
        <v>0</v>
      </c>
      <c r="N264" s="57">
        <v>0</v>
      </c>
      <c r="O264" s="57">
        <f t="shared" si="13"/>
        <v>0</v>
      </c>
      <c r="P264" s="57">
        <v>1</v>
      </c>
      <c r="Q264" s="57">
        <f t="shared" si="14"/>
        <v>0</v>
      </c>
      <c r="R264" s="57"/>
      <c r="S264" s="57">
        <f t="shared" si="15"/>
        <v>0</v>
      </c>
    </row>
    <row r="265" spans="1:19" x14ac:dyDescent="0.3">
      <c r="A265" s="11"/>
      <c r="B265" s="11"/>
      <c r="C265" s="82" t="s">
        <v>29</v>
      </c>
      <c r="D265" s="83" t="s">
        <v>20</v>
      </c>
      <c r="E265" s="84" t="str">
        <f t="shared" si="16"/>
        <v>0</v>
      </c>
      <c r="F265" s="57">
        <v>100.20189999999999</v>
      </c>
      <c r="G265" s="57">
        <f t="shared" si="9"/>
        <v>0</v>
      </c>
      <c r="H265" s="57">
        <v>0</v>
      </c>
      <c r="I265" s="57">
        <f>$D$244*E265*H265</f>
        <v>0</v>
      </c>
      <c r="J265" s="57">
        <v>0</v>
      </c>
      <c r="K265" s="57">
        <f t="shared" si="11"/>
        <v>0</v>
      </c>
      <c r="L265" s="57">
        <v>0</v>
      </c>
      <c r="M265" s="57">
        <f t="shared" si="12"/>
        <v>0</v>
      </c>
      <c r="N265" s="57">
        <v>0</v>
      </c>
      <c r="O265" s="57">
        <f t="shared" si="13"/>
        <v>0</v>
      </c>
      <c r="P265" s="57">
        <v>0</v>
      </c>
      <c r="Q265" s="57">
        <f t="shared" si="14"/>
        <v>0</v>
      </c>
      <c r="R265" s="57">
        <v>0</v>
      </c>
      <c r="S265" s="57">
        <f t="shared" si="15"/>
        <v>0</v>
      </c>
    </row>
    <row r="266" spans="1:19" x14ac:dyDescent="0.3">
      <c r="A266" s="11"/>
      <c r="B266" s="11"/>
      <c r="C266" s="11"/>
      <c r="D266" s="11"/>
      <c r="E266" s="11"/>
      <c r="F266" s="11"/>
      <c r="G266" s="66"/>
      <c r="H266" s="11"/>
      <c r="I266" s="66"/>
      <c r="J266" s="11"/>
      <c r="K266" s="11"/>
      <c r="L266" s="11"/>
      <c r="M266" s="66"/>
      <c r="N266" s="11"/>
      <c r="O266" s="66"/>
      <c r="P266" s="11"/>
      <c r="Q266" s="11"/>
      <c r="R266" s="11"/>
      <c r="S266" s="11"/>
    </row>
    <row r="267" spans="1:19" x14ac:dyDescent="0.3">
      <c r="A267" s="11"/>
      <c r="B267" s="11"/>
      <c r="C267" s="11"/>
      <c r="D267" s="11"/>
      <c r="E267" s="11"/>
      <c r="F267" s="11"/>
      <c r="G267" s="66"/>
      <c r="H267" s="11"/>
      <c r="I267" s="11"/>
      <c r="J267" s="11"/>
      <c r="K267" s="11"/>
      <c r="L267" s="11"/>
      <c r="M267" s="66"/>
      <c r="N267" s="11"/>
      <c r="O267" s="66"/>
      <c r="P267" s="11"/>
      <c r="Q267" s="11"/>
      <c r="R267" s="11"/>
      <c r="S267" s="11"/>
    </row>
    <row r="268" spans="1:19" x14ac:dyDescent="0.3">
      <c r="A268" s="11"/>
      <c r="B268" s="11"/>
      <c r="C268" s="11"/>
      <c r="D268" s="18"/>
      <c r="E268" s="73" t="s">
        <v>164</v>
      </c>
      <c r="F268" s="57"/>
      <c r="G268" s="77">
        <f>SUM(G248:G267)</f>
        <v>17.599128392999997</v>
      </c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</row>
    <row r="269" spans="1:19" x14ac:dyDescent="0.3">
      <c r="A269" s="11"/>
      <c r="B269" s="11"/>
      <c r="C269" s="11"/>
      <c r="D269" s="18"/>
      <c r="E269" s="73" t="s">
        <v>165</v>
      </c>
      <c r="F269" s="57"/>
      <c r="G269" s="57"/>
      <c r="H269" s="57"/>
      <c r="I269" s="57">
        <f>SUM(I248:I267)</f>
        <v>21.940713135179188</v>
      </c>
      <c r="J269" s="57"/>
      <c r="K269" s="57">
        <f>SUM(K248:K267)</f>
        <v>-9315.1737915160757</v>
      </c>
      <c r="L269" s="57"/>
      <c r="M269" s="57">
        <f>SUM(M248:M267)</f>
        <v>4788.8354502841084</v>
      </c>
      <c r="N269" s="57"/>
      <c r="O269" s="57">
        <f>SUM(O248:O267)</f>
        <v>9108.2539598243857</v>
      </c>
      <c r="P269" s="57"/>
      <c r="Q269" s="57">
        <f>SUM(Q248:Q267)</f>
        <v>0</v>
      </c>
      <c r="R269" s="57"/>
      <c r="S269" s="57">
        <f>SUM(S248:S267)</f>
        <v>0</v>
      </c>
    </row>
    <row r="270" spans="1:19" x14ac:dyDescent="0.3">
      <c r="A270" s="11"/>
      <c r="B270" s="11"/>
      <c r="C270" s="11"/>
      <c r="D270" s="18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3">
      <c r="A271" s="11"/>
      <c r="B271" s="11"/>
      <c r="C271" s="11"/>
      <c r="D271" s="18"/>
      <c r="E271" s="11"/>
      <c r="F271" s="11"/>
      <c r="G271" s="11"/>
      <c r="H271" s="11"/>
      <c r="I271" s="11"/>
      <c r="J271" s="11"/>
      <c r="K271" s="74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3">
      <c r="A272" s="11"/>
      <c r="B272" s="11"/>
      <c r="C272" s="11"/>
      <c r="D272" s="18"/>
      <c r="E272" s="11"/>
      <c r="F272" s="11"/>
      <c r="G272" s="75"/>
      <c r="H272" s="11"/>
      <c r="I272" s="11"/>
      <c r="J272" s="11"/>
      <c r="K272" s="70"/>
      <c r="L272" s="11"/>
      <c r="M272" s="11"/>
      <c r="N272" s="11"/>
      <c r="O272" s="11"/>
      <c r="P272" s="11"/>
      <c r="Q272" s="11"/>
      <c r="R272" s="11"/>
      <c r="S272" s="11"/>
    </row>
    <row r="273" spans="1:23" x14ac:dyDescent="0.3">
      <c r="A273" s="11"/>
      <c r="B273" s="11"/>
      <c r="C273" s="11" t="s">
        <v>198</v>
      </c>
      <c r="D273" s="85">
        <f>D132</f>
        <v>0</v>
      </c>
      <c r="E273" s="11" t="s">
        <v>187</v>
      </c>
      <c r="F273" s="196">
        <f>D273*0.453592</f>
        <v>0</v>
      </c>
      <c r="G273" s="11" t="s">
        <v>148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23" x14ac:dyDescent="0.3">
      <c r="A274" s="11"/>
      <c r="B274" s="11"/>
      <c r="C274" s="11" t="s">
        <v>193</v>
      </c>
      <c r="D274" s="85">
        <f>D243</f>
        <v>77382.25</v>
      </c>
      <c r="E274" s="11" t="s">
        <v>187</v>
      </c>
      <c r="F274" s="196">
        <f t="shared" ref="F274:F278" si="17">D274*0.453592</f>
        <v>35099.969541999999</v>
      </c>
      <c r="G274" s="11" t="s">
        <v>148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23" x14ac:dyDescent="0.3">
      <c r="A275" s="11"/>
      <c r="B275" s="11"/>
      <c r="C275" s="11" t="s">
        <v>194</v>
      </c>
      <c r="D275" s="85" t="e">
        <f>F185</f>
        <v>#NAME?</v>
      </c>
      <c r="E275" s="11" t="s">
        <v>187</v>
      </c>
      <c r="F275" s="196" t="e">
        <f t="shared" si="17"/>
        <v>#NAME?</v>
      </c>
      <c r="G275" s="11" t="s">
        <v>148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23" x14ac:dyDescent="0.3">
      <c r="A276" s="11"/>
      <c r="B276" s="11"/>
      <c r="C276" s="11" t="s">
        <v>195</v>
      </c>
      <c r="D276" s="85" t="e">
        <f>K290</f>
        <v>#NAME?</v>
      </c>
      <c r="E276" s="11" t="s">
        <v>187</v>
      </c>
      <c r="F276" s="196" t="e">
        <f t="shared" si="17"/>
        <v>#NAME?</v>
      </c>
      <c r="G276" s="11" t="s">
        <v>148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23" x14ac:dyDescent="0.3">
      <c r="A277" s="11"/>
      <c r="B277" s="11"/>
      <c r="C277" s="11" t="s">
        <v>196</v>
      </c>
      <c r="D277" s="85" t="e">
        <f ca="1">F186</f>
        <v>#NAME?</v>
      </c>
      <c r="E277" s="11" t="s">
        <v>187</v>
      </c>
      <c r="F277" s="196" t="e">
        <f t="shared" ca="1" si="17"/>
        <v>#NAME?</v>
      </c>
      <c r="G277" s="11" t="s">
        <v>148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23" x14ac:dyDescent="0.3">
      <c r="A278" s="11"/>
      <c r="B278" s="11"/>
      <c r="C278" s="11" t="s">
        <v>197</v>
      </c>
      <c r="D278" s="85" t="e">
        <f ca="1">D143</f>
        <v>#NAME?</v>
      </c>
      <c r="E278" s="11" t="s">
        <v>187</v>
      </c>
      <c r="F278" s="196" t="e">
        <f t="shared" ca="1" si="17"/>
        <v>#NAME?</v>
      </c>
      <c r="G278" s="11" t="s">
        <v>148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23" x14ac:dyDescent="0.3">
      <c r="A279" s="11"/>
      <c r="B279" s="11"/>
      <c r="C279" s="11"/>
      <c r="D279" s="18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23" x14ac:dyDescent="0.3">
      <c r="A280" s="11"/>
      <c r="B280" s="11"/>
      <c r="C280" s="11" t="s">
        <v>207</v>
      </c>
      <c r="D280" s="18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23" x14ac:dyDescent="0.3">
      <c r="A281" s="11"/>
      <c r="B281" s="11"/>
      <c r="C281" s="11"/>
      <c r="D281" s="18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23" s="29" customFormat="1" x14ac:dyDescent="0.3">
      <c r="A282" s="123"/>
      <c r="B282" s="10"/>
      <c r="C282" s="10" t="s">
        <v>199</v>
      </c>
      <c r="D282" s="10" t="s">
        <v>200</v>
      </c>
      <c r="E282" s="10" t="s">
        <v>201</v>
      </c>
      <c r="F282" s="10" t="s">
        <v>202</v>
      </c>
      <c r="G282" s="10" t="s">
        <v>203</v>
      </c>
      <c r="H282" s="10" t="s">
        <v>204</v>
      </c>
      <c r="I282" s="10" t="s">
        <v>205</v>
      </c>
      <c r="J282" s="10" t="s">
        <v>206</v>
      </c>
      <c r="K282" s="10" t="s">
        <v>237</v>
      </c>
      <c r="L282" s="10"/>
      <c r="M282" s="10"/>
      <c r="N282" s="10"/>
      <c r="O282" s="10"/>
      <c r="P282" s="10"/>
      <c r="Q282" s="10"/>
      <c r="R282" s="10"/>
      <c r="S282" s="123"/>
    </row>
    <row r="283" spans="1:23" s="39" customFormat="1" ht="41.4" x14ac:dyDescent="0.3">
      <c r="A283" s="123"/>
      <c r="B283" s="10"/>
      <c r="C283" s="10" t="s">
        <v>109</v>
      </c>
      <c r="D283" s="63" t="s">
        <v>302</v>
      </c>
      <c r="E283" s="63" t="s">
        <v>303</v>
      </c>
      <c r="F283" s="63" t="s">
        <v>304</v>
      </c>
      <c r="G283" s="63" t="s">
        <v>305</v>
      </c>
      <c r="H283" s="63" t="s">
        <v>307</v>
      </c>
      <c r="I283" s="63" t="s">
        <v>306</v>
      </c>
      <c r="J283" s="63" t="s">
        <v>308</v>
      </c>
      <c r="K283" s="10"/>
      <c r="L283" s="10"/>
      <c r="M283" s="10"/>
      <c r="N283" s="10"/>
      <c r="O283" s="10"/>
      <c r="P283" s="10"/>
      <c r="Q283" s="10"/>
      <c r="R283" s="10"/>
      <c r="S283" s="123"/>
    </row>
    <row r="284" spans="1:23" x14ac:dyDescent="0.3">
      <c r="A284" s="11"/>
      <c r="B284" s="11"/>
      <c r="C284" s="18" t="s">
        <v>30</v>
      </c>
      <c r="D284" s="77" t="e">
        <f>H191</f>
        <v>#NAME?</v>
      </c>
      <c r="E284" s="77">
        <f>I269</f>
        <v>21.940713135179188</v>
      </c>
      <c r="F284" s="77">
        <v>0</v>
      </c>
      <c r="G284" s="77" t="e">
        <f>D284+E284+F284</f>
        <v>#NAME?</v>
      </c>
      <c r="H284" s="77" t="e">
        <f>G284/$G$290</f>
        <v>#NAME?</v>
      </c>
      <c r="I284" s="77">
        <f>F213</f>
        <v>28.013400000000001</v>
      </c>
      <c r="J284" s="65" t="e">
        <f>G284*I284/$D$276</f>
        <v>#NAME?</v>
      </c>
      <c r="K284" s="57" t="e">
        <f>G284*I284</f>
        <v>#NAME?</v>
      </c>
      <c r="L284" s="11"/>
      <c r="M284" s="11"/>
      <c r="N284" s="11"/>
      <c r="O284" s="11"/>
      <c r="P284" s="11"/>
      <c r="Q284" s="11"/>
      <c r="R284" s="11"/>
      <c r="S284" s="11"/>
      <c r="U284" s="3"/>
      <c r="W284" s="3"/>
    </row>
    <row r="285" spans="1:23" x14ac:dyDescent="0.3">
      <c r="A285" s="11"/>
      <c r="B285" s="11"/>
      <c r="C285" s="18" t="s">
        <v>52</v>
      </c>
      <c r="D285" s="77" t="e">
        <f>H192</f>
        <v>#NAME?</v>
      </c>
      <c r="E285" s="77">
        <f>K269</f>
        <v>-9315.1737915160757</v>
      </c>
      <c r="F285" s="77">
        <v>0</v>
      </c>
      <c r="G285" s="77">
        <v>0</v>
      </c>
      <c r="H285" s="77" t="e">
        <f t="shared" ref="H285:H289" si="18">G285/$G$290</f>
        <v>#NAME?</v>
      </c>
      <c r="I285" s="77">
        <f>F214</f>
        <v>31.998799999999999</v>
      </c>
      <c r="J285" s="65" t="e">
        <f t="shared" ref="J285:J289" si="19">G285*I285/$D$276</f>
        <v>#NAME?</v>
      </c>
      <c r="K285" s="57">
        <f t="shared" ref="K285:K289" si="20">G285*I285</f>
        <v>0</v>
      </c>
      <c r="L285" s="11"/>
      <c r="M285" s="11"/>
      <c r="N285" s="11"/>
      <c r="O285" s="11"/>
      <c r="P285" s="11"/>
      <c r="Q285" s="11"/>
      <c r="R285" s="11"/>
      <c r="S285" s="11"/>
      <c r="U285" s="3"/>
      <c r="W285" s="3"/>
    </row>
    <row r="286" spans="1:23" x14ac:dyDescent="0.3">
      <c r="A286" s="11"/>
      <c r="B286" s="11"/>
      <c r="C286" s="18" t="s">
        <v>31</v>
      </c>
      <c r="D286" s="77" t="e">
        <f>H193</f>
        <v>#NAME?</v>
      </c>
      <c r="E286" s="77">
        <f>M269</f>
        <v>4788.8354502841084</v>
      </c>
      <c r="F286" s="77">
        <v>0</v>
      </c>
      <c r="G286" s="77" t="e">
        <f t="shared" ref="G286:G289" si="21">D286+E286+F286</f>
        <v>#NAME?</v>
      </c>
      <c r="H286" s="77" t="e">
        <f t="shared" si="18"/>
        <v>#NAME?</v>
      </c>
      <c r="I286" s="77">
        <f>F215</f>
        <v>44.009500000000003</v>
      </c>
      <c r="J286" s="65" t="e">
        <f t="shared" si="19"/>
        <v>#NAME?</v>
      </c>
      <c r="K286" s="57" t="e">
        <f t="shared" si="20"/>
        <v>#NAME?</v>
      </c>
      <c r="L286" s="11"/>
      <c r="M286" s="11"/>
      <c r="N286" s="11"/>
      <c r="O286" s="11"/>
      <c r="P286" s="11"/>
      <c r="Q286" s="11"/>
      <c r="R286" s="11"/>
      <c r="S286" s="11"/>
      <c r="U286" s="3"/>
      <c r="W286" s="3"/>
    </row>
    <row r="287" spans="1:23" x14ac:dyDescent="0.3">
      <c r="A287" s="11"/>
      <c r="B287" s="11"/>
      <c r="C287" s="18" t="s">
        <v>53</v>
      </c>
      <c r="D287" s="77" t="e">
        <f>H194</f>
        <v>#NAME?</v>
      </c>
      <c r="E287" s="77">
        <f>O269</f>
        <v>9108.2539598243857</v>
      </c>
      <c r="F287" s="77">
        <f>D273/I287</f>
        <v>0</v>
      </c>
      <c r="G287" s="77" t="e">
        <f t="shared" si="21"/>
        <v>#NAME?</v>
      </c>
      <c r="H287" s="77" t="e">
        <f t="shared" si="18"/>
        <v>#NAME?</v>
      </c>
      <c r="I287" s="77">
        <f>F216</f>
        <v>18.015280000000001</v>
      </c>
      <c r="J287" s="65" t="e">
        <f t="shared" si="19"/>
        <v>#NAME?</v>
      </c>
      <c r="K287" s="57" t="e">
        <f t="shared" si="20"/>
        <v>#NAME?</v>
      </c>
      <c r="L287" s="11"/>
      <c r="M287" s="11"/>
      <c r="N287" s="11"/>
      <c r="O287" s="11"/>
      <c r="P287" s="11"/>
      <c r="Q287" s="11"/>
      <c r="R287" s="11"/>
      <c r="S287" s="11"/>
      <c r="U287" s="3"/>
      <c r="W287" s="3"/>
    </row>
    <row r="288" spans="1:23" x14ac:dyDescent="0.3">
      <c r="A288" s="11"/>
      <c r="B288" s="11"/>
      <c r="C288" s="18" t="s">
        <v>55</v>
      </c>
      <c r="D288" s="77" t="e">
        <f>H195</f>
        <v>#NAME?</v>
      </c>
      <c r="E288" s="77">
        <f>Q269</f>
        <v>0</v>
      </c>
      <c r="F288" s="77">
        <v>0</v>
      </c>
      <c r="G288" s="77" t="e">
        <f t="shared" si="21"/>
        <v>#NAME?</v>
      </c>
      <c r="H288" s="77" t="e">
        <f t="shared" si="18"/>
        <v>#NAME?</v>
      </c>
      <c r="I288" s="77">
        <f>F217</f>
        <v>39.948</v>
      </c>
      <c r="J288" s="65" t="e">
        <f t="shared" si="19"/>
        <v>#NAME?</v>
      </c>
      <c r="K288" s="57" t="e">
        <f t="shared" si="20"/>
        <v>#NAME?</v>
      </c>
      <c r="L288" s="11"/>
      <c r="M288" s="11"/>
      <c r="N288" s="11"/>
      <c r="O288" s="11"/>
      <c r="P288" s="11"/>
      <c r="Q288" s="11"/>
      <c r="R288" s="11"/>
      <c r="S288" s="11"/>
      <c r="U288" s="3"/>
      <c r="W288" s="3"/>
    </row>
    <row r="289" spans="1:23" x14ac:dyDescent="0.3">
      <c r="A289" s="11"/>
      <c r="B289" s="11"/>
      <c r="C289" s="18" t="s">
        <v>166</v>
      </c>
      <c r="D289" s="77">
        <v>0</v>
      </c>
      <c r="E289" s="77">
        <f>S269</f>
        <v>0</v>
      </c>
      <c r="F289" s="77">
        <v>0</v>
      </c>
      <c r="G289" s="77">
        <f t="shared" si="21"/>
        <v>0</v>
      </c>
      <c r="H289" s="77" t="e">
        <f t="shared" si="18"/>
        <v>#NAME?</v>
      </c>
      <c r="I289" s="77">
        <v>64.063800000000001</v>
      </c>
      <c r="J289" s="65" t="e">
        <f t="shared" si="19"/>
        <v>#NAME?</v>
      </c>
      <c r="K289" s="57">
        <f t="shared" si="20"/>
        <v>0</v>
      </c>
      <c r="L289" s="11"/>
      <c r="M289" s="11"/>
      <c r="N289" s="11"/>
      <c r="O289" s="11"/>
      <c r="P289" s="11"/>
      <c r="Q289" s="11"/>
      <c r="R289" s="11"/>
      <c r="S289" s="11"/>
      <c r="U289" s="3"/>
      <c r="W289" s="3"/>
    </row>
    <row r="290" spans="1:23" x14ac:dyDescent="0.3">
      <c r="A290" s="11"/>
      <c r="B290" s="11"/>
      <c r="C290" s="11"/>
      <c r="D290" s="18"/>
      <c r="E290" s="11"/>
      <c r="F290" s="60" t="s">
        <v>229</v>
      </c>
      <c r="G290" s="57" t="e">
        <f>SUM(G284:G289)</f>
        <v>#NAME?</v>
      </c>
      <c r="H290" s="69"/>
      <c r="I290" s="69">
        <f>SUM(I284:I289)</f>
        <v>226.04878000000002</v>
      </c>
      <c r="J290" s="59" t="e">
        <f>SUM(J284:J289)</f>
        <v>#NAME?</v>
      </c>
      <c r="K290" s="57" t="e">
        <f>SUM(K284:K289)</f>
        <v>#NAME?</v>
      </c>
      <c r="L290" s="11"/>
      <c r="M290" s="11"/>
      <c r="N290" s="11"/>
      <c r="O290" s="11"/>
      <c r="P290" s="11"/>
      <c r="Q290" s="11"/>
      <c r="R290" s="11"/>
      <c r="S290" s="11"/>
      <c r="W290" s="3"/>
    </row>
    <row r="291" spans="1:23" x14ac:dyDescent="0.3">
      <c r="A291" s="11"/>
      <c r="B291" s="11"/>
      <c r="C291" s="11"/>
      <c r="D291" s="18"/>
      <c r="E291" s="11"/>
      <c r="F291" s="60"/>
      <c r="G291" s="57"/>
      <c r="H291" s="69"/>
      <c r="I291" s="69"/>
      <c r="J291" s="59"/>
      <c r="K291" s="57"/>
      <c r="L291" s="11"/>
      <c r="M291" s="11"/>
      <c r="N291" s="11"/>
      <c r="O291" s="11"/>
      <c r="P291" s="11"/>
      <c r="Q291" s="11"/>
      <c r="R291" s="11"/>
      <c r="S291" s="11"/>
      <c r="W291" s="3"/>
    </row>
    <row r="292" spans="1:23" x14ac:dyDescent="0.3">
      <c r="A292" s="11"/>
      <c r="B292" s="11"/>
      <c r="C292" s="11" t="s">
        <v>208</v>
      </c>
      <c r="D292" s="18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23" x14ac:dyDescent="0.3">
      <c r="A293" s="11"/>
      <c r="B293" s="11"/>
      <c r="C293" s="11"/>
      <c r="D293" s="18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23" s="39" customFormat="1" x14ac:dyDescent="0.3">
      <c r="A294" s="123"/>
      <c r="B294" s="10"/>
      <c r="C294" s="10" t="s">
        <v>199</v>
      </c>
      <c r="D294" s="10" t="s">
        <v>230</v>
      </c>
      <c r="E294" s="10" t="s">
        <v>231</v>
      </c>
      <c r="F294" s="10" t="s">
        <v>232</v>
      </c>
      <c r="G294" s="10" t="s">
        <v>233</v>
      </c>
      <c r="H294" s="10" t="s">
        <v>234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3"/>
    </row>
    <row r="295" spans="1:23" s="39" customFormat="1" ht="52.5" customHeight="1" x14ac:dyDescent="0.3">
      <c r="A295" s="123"/>
      <c r="B295" s="10"/>
      <c r="C295" s="10" t="s">
        <v>109</v>
      </c>
      <c r="D295" s="63" t="s">
        <v>309</v>
      </c>
      <c r="E295" s="63" t="s">
        <v>310</v>
      </c>
      <c r="F295" s="63" t="s">
        <v>311</v>
      </c>
      <c r="G295" s="63" t="s">
        <v>312</v>
      </c>
      <c r="H295" s="63" t="s">
        <v>313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3"/>
    </row>
    <row r="296" spans="1:23" x14ac:dyDescent="0.3">
      <c r="A296" s="11"/>
      <c r="B296" s="11"/>
      <c r="C296" s="18" t="s">
        <v>30</v>
      </c>
      <c r="D296" s="57" t="e">
        <f ca="1">H213</f>
        <v>#NAME?</v>
      </c>
      <c r="E296" s="57" t="e">
        <f t="shared" ref="E296:E301" ca="1" si="22">G284+D296</f>
        <v>#NAME?</v>
      </c>
      <c r="F296" s="65" t="e">
        <f ca="1">E296/$E$303</f>
        <v>#NAME?</v>
      </c>
      <c r="G296" s="65" t="e">
        <f ca="1">E296/$E$304</f>
        <v>#NAME?</v>
      </c>
      <c r="H296" s="65" t="e">
        <f ca="1">E296*I284/$D$278</f>
        <v>#NAME?</v>
      </c>
      <c r="I296" s="66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23" x14ac:dyDescent="0.3">
      <c r="A297" s="11"/>
      <c r="B297" s="11"/>
      <c r="C297" s="18" t="s">
        <v>52</v>
      </c>
      <c r="D297" s="57" t="e">
        <f ca="1">H214</f>
        <v>#NAME?</v>
      </c>
      <c r="E297" s="57" t="e">
        <f t="shared" ca="1" si="22"/>
        <v>#NAME?</v>
      </c>
      <c r="F297" s="65" t="e">
        <f t="shared" ref="F297:F301" ca="1" si="23">E297/$E$303</f>
        <v>#NAME?</v>
      </c>
      <c r="G297" s="65" t="e">
        <f ca="1">E297/$E$304</f>
        <v>#NAME?</v>
      </c>
      <c r="H297" s="65" t="e">
        <f ca="1">E297*I285/$D$278</f>
        <v>#NAME?</v>
      </c>
      <c r="I297" s="66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 spans="1:23" x14ac:dyDescent="0.3">
      <c r="A298" s="11"/>
      <c r="B298" s="11"/>
      <c r="C298" s="18" t="s">
        <v>31</v>
      </c>
      <c r="D298" s="57" t="e">
        <f ca="1">H215</f>
        <v>#NAME?</v>
      </c>
      <c r="E298" s="57" t="e">
        <f t="shared" ca="1" si="22"/>
        <v>#NAME?</v>
      </c>
      <c r="F298" s="65" t="e">
        <f t="shared" ca="1" si="23"/>
        <v>#NAME?</v>
      </c>
      <c r="G298" s="65" t="e">
        <f ca="1">E298/$E$304</f>
        <v>#NAME?</v>
      </c>
      <c r="H298" s="65" t="e">
        <f ca="1">E298*I286/$D$278</f>
        <v>#NAME?</v>
      </c>
      <c r="I298" s="66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 spans="1:23" x14ac:dyDescent="0.3">
      <c r="A299" s="11"/>
      <c r="B299" s="11"/>
      <c r="C299" s="18" t="s">
        <v>53</v>
      </c>
      <c r="D299" s="57" t="e">
        <f ca="1">H216</f>
        <v>#NAME?</v>
      </c>
      <c r="E299" s="57" t="e">
        <f t="shared" ca="1" si="22"/>
        <v>#NAME?</v>
      </c>
      <c r="F299" s="65" t="e">
        <f t="shared" ca="1" si="23"/>
        <v>#NAME?</v>
      </c>
      <c r="G299" s="65"/>
      <c r="H299" s="65" t="e">
        <f ca="1">E299*I287/$D$278</f>
        <v>#NAME?</v>
      </c>
      <c r="I299" s="66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23" x14ac:dyDescent="0.3">
      <c r="A300" s="11"/>
      <c r="B300" s="11"/>
      <c r="C300" s="18" t="s">
        <v>55</v>
      </c>
      <c r="D300" s="57" t="e">
        <f ca="1">H217</f>
        <v>#NAME?</v>
      </c>
      <c r="E300" s="57" t="e">
        <f t="shared" ca="1" si="22"/>
        <v>#NAME?</v>
      </c>
      <c r="F300" s="65" t="e">
        <f t="shared" ca="1" si="23"/>
        <v>#NAME?</v>
      </c>
      <c r="G300" s="65" t="e">
        <f ca="1">E300/$E$304</f>
        <v>#NAME?</v>
      </c>
      <c r="H300" s="65" t="e">
        <f ca="1">E300*I288/$D$278</f>
        <v>#NAME?</v>
      </c>
      <c r="I300" s="66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23" x14ac:dyDescent="0.3">
      <c r="A301" s="11"/>
      <c r="B301" s="11"/>
      <c r="C301" s="18" t="s">
        <v>166</v>
      </c>
      <c r="D301" s="57">
        <v>0</v>
      </c>
      <c r="E301" s="57">
        <f t="shared" si="22"/>
        <v>0</v>
      </c>
      <c r="F301" s="65" t="e">
        <f t="shared" ca="1" si="23"/>
        <v>#NAME?</v>
      </c>
      <c r="G301" s="65">
        <v>0</v>
      </c>
      <c r="H301" s="65"/>
      <c r="I301" s="66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23" x14ac:dyDescent="0.3">
      <c r="A302" s="11"/>
      <c r="B302" s="11"/>
      <c r="C302" s="18"/>
      <c r="D302" s="57" t="e">
        <f ca="1">SUM(D296:D301)</f>
        <v>#NAME?</v>
      </c>
      <c r="E302" s="71"/>
      <c r="F302" s="11"/>
      <c r="G302" s="11"/>
      <c r="H302" s="11"/>
      <c r="I302" s="66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23" x14ac:dyDescent="0.3">
      <c r="A303" s="11"/>
      <c r="B303" s="11"/>
      <c r="C303" s="11"/>
      <c r="D303" s="60" t="s">
        <v>235</v>
      </c>
      <c r="E303" s="57" t="e">
        <f ca="1">SUM(E296:E301)</f>
        <v>#NAME?</v>
      </c>
      <c r="F303" s="57" t="e">
        <f t="shared" ref="F303:H303" ca="1" si="24">SUM(F296:F301)</f>
        <v>#NAME?</v>
      </c>
      <c r="G303" s="57" t="e">
        <f t="shared" ca="1" si="24"/>
        <v>#NAME?</v>
      </c>
      <c r="H303" s="57" t="e">
        <f t="shared" ca="1" si="24"/>
        <v>#NAME?</v>
      </c>
      <c r="I303" s="66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23" x14ac:dyDescent="0.3">
      <c r="A304" s="11"/>
      <c r="B304" s="11"/>
      <c r="C304" s="11"/>
      <c r="D304" s="60" t="s">
        <v>236</v>
      </c>
      <c r="E304" s="57" t="e">
        <f ca="1">E296+E297+E298+E300</f>
        <v>#NAME?</v>
      </c>
      <c r="F304" s="60"/>
      <c r="G304" s="60"/>
      <c r="H304" s="60"/>
      <c r="I304" s="66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x14ac:dyDescent="0.3">
      <c r="A305" s="11"/>
      <c r="B305" s="11"/>
      <c r="C305" s="11"/>
      <c r="D305" s="78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:19" ht="16.5" customHeight="1" x14ac:dyDescent="0.3">
      <c r="A306" s="11"/>
      <c r="B306" s="11"/>
      <c r="C306" s="62" t="s">
        <v>299</v>
      </c>
      <c r="D306" s="18"/>
      <c r="E306" s="11"/>
      <c r="F306" s="7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x14ac:dyDescent="0.3">
      <c r="A307" s="11"/>
      <c r="B307" s="11"/>
      <c r="C307" s="11"/>
      <c r="D307" s="18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x14ac:dyDescent="0.25">
      <c r="A308" s="11"/>
      <c r="B308" s="11"/>
      <c r="C308" s="79" t="s">
        <v>300</v>
      </c>
      <c r="D308" s="57">
        <f>D141</f>
        <v>1058</v>
      </c>
      <c r="E308" s="11" t="s">
        <v>252</v>
      </c>
      <c r="F308" s="11"/>
      <c r="G308" s="80"/>
      <c r="H308" s="79" t="s">
        <v>285</v>
      </c>
      <c r="I308" s="57">
        <v>80</v>
      </c>
      <c r="J308" s="11" t="s">
        <v>252</v>
      </c>
      <c r="K308" s="11"/>
      <c r="L308" s="80"/>
      <c r="M308" s="11"/>
      <c r="N308" s="11"/>
      <c r="O308" s="11"/>
      <c r="P308" s="11"/>
      <c r="Q308" s="11"/>
      <c r="R308" s="11"/>
      <c r="S308" s="11"/>
    </row>
    <row r="309" spans="1:19" x14ac:dyDescent="0.3">
      <c r="A309" s="11"/>
      <c r="B309" s="11"/>
      <c r="C309" s="11"/>
      <c r="D309" s="57">
        <f>((D308-32)*(5/9))+273.15</f>
        <v>843.15</v>
      </c>
      <c r="E309" s="11" t="s">
        <v>35</v>
      </c>
      <c r="F309" s="11"/>
      <c r="G309" s="11"/>
      <c r="H309" s="11"/>
      <c r="I309" s="57">
        <f>((I308-32)*(5/9))+273.15</f>
        <v>299.81666666666666</v>
      </c>
      <c r="J309" s="11" t="s">
        <v>35</v>
      </c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:19" x14ac:dyDescent="0.3">
      <c r="A310" s="11"/>
      <c r="B310" s="11"/>
      <c r="C310" s="11"/>
      <c r="D310" s="18"/>
      <c r="E310" s="11"/>
      <c r="F310" s="11"/>
      <c r="G310" s="11"/>
      <c r="H310" s="11"/>
      <c r="I310" s="18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:19" s="39" customFormat="1" x14ac:dyDescent="0.3">
      <c r="A311" s="123"/>
      <c r="B311" s="10"/>
      <c r="C311" s="10" t="s">
        <v>170</v>
      </c>
      <c r="D311" s="10" t="s">
        <v>171</v>
      </c>
      <c r="E311" s="10" t="s">
        <v>172</v>
      </c>
      <c r="F311" s="10" t="s">
        <v>173</v>
      </c>
      <c r="G311" s="10"/>
      <c r="H311" s="10" t="s">
        <v>170</v>
      </c>
      <c r="I311" s="10" t="s">
        <v>171</v>
      </c>
      <c r="J311" s="10" t="s">
        <v>172</v>
      </c>
      <c r="K311" s="10" t="s">
        <v>173</v>
      </c>
      <c r="L311" s="10"/>
      <c r="M311" s="10"/>
      <c r="N311" s="10"/>
      <c r="O311" s="10"/>
      <c r="P311" s="10"/>
      <c r="Q311" s="10"/>
      <c r="R311" s="10"/>
      <c r="S311" s="123"/>
    </row>
    <row r="312" spans="1:19" s="39" customFormat="1" x14ac:dyDescent="0.3">
      <c r="A312" s="123"/>
      <c r="B312" s="10"/>
      <c r="C312" s="10" t="s">
        <v>109</v>
      </c>
      <c r="D312" s="10"/>
      <c r="E312" s="10"/>
      <c r="F312" s="10"/>
      <c r="G312" s="10"/>
      <c r="H312" s="10" t="s">
        <v>109</v>
      </c>
      <c r="I312" s="10"/>
      <c r="J312" s="10"/>
      <c r="K312" s="10"/>
      <c r="L312" s="10"/>
      <c r="M312" s="11"/>
      <c r="N312" s="10"/>
      <c r="O312" s="10"/>
      <c r="P312" s="10"/>
      <c r="Q312" s="10"/>
      <c r="R312" s="10"/>
      <c r="S312" s="123"/>
    </row>
    <row r="313" spans="1:19" x14ac:dyDescent="0.3">
      <c r="A313" s="11"/>
      <c r="B313" s="11"/>
      <c r="C313" s="18" t="s">
        <v>30</v>
      </c>
      <c r="D313" s="65" t="e">
        <f t="shared" ref="D313:D318" si="25">J284</f>
        <v>#NAME?</v>
      </c>
      <c r="E313" s="77">
        <f t="shared" ref="E313:E318" si="26">((((((-D354/$D$309)+(E354*(LN($D$309)))+(F354*$D$309)+(G354*(($D$309^2)/2))+(H354*(($D$309^3)/3))+(I354*(($D$309^4)/4))+(J354*(($D$309^5)/5))+K354)*8.31451-L354)/M354)/2.326))</f>
        <v>251.82403861153932</v>
      </c>
      <c r="F313" s="77" t="e">
        <f>D313*E313</f>
        <v>#NAME?</v>
      </c>
      <c r="G313" s="11"/>
      <c r="H313" s="18" t="s">
        <v>30</v>
      </c>
      <c r="I313" s="65" t="e">
        <f>D313</f>
        <v>#NAME?</v>
      </c>
      <c r="J313" s="77">
        <f t="shared" ref="J313:J318" si="27">((((((-D354/$I$309)+(E354*(LN($I$309)))+(F354*$I$309)+(G354*(($I$309^2)/2))+(H354*(($I$309^3)/3))+(I354*(($I$309^4)/4))+(J354*(($I$309^5)/5))+K354)*8.31451-L354)/M354)/2.326))</f>
        <v>0.74501090172834317</v>
      </c>
      <c r="K313" s="77" t="e">
        <f>I313*J313</f>
        <v>#NAME?</v>
      </c>
      <c r="L313" s="11"/>
      <c r="M313" s="81"/>
      <c r="N313" s="11"/>
      <c r="O313" s="11"/>
      <c r="P313" s="11"/>
      <c r="Q313" s="11"/>
      <c r="R313" s="11"/>
      <c r="S313" s="11"/>
    </row>
    <row r="314" spans="1:19" x14ac:dyDescent="0.3">
      <c r="A314" s="11"/>
      <c r="B314" s="11"/>
      <c r="C314" s="18" t="s">
        <v>52</v>
      </c>
      <c r="D314" s="65" t="e">
        <f t="shared" si="25"/>
        <v>#NAME?</v>
      </c>
      <c r="E314" s="77">
        <f t="shared" si="26"/>
        <v>232.44085169797907</v>
      </c>
      <c r="F314" s="77" t="e">
        <f t="shared" ref="F314:F318" si="28">D314*E314</f>
        <v>#NAME?</v>
      </c>
      <c r="G314" s="11"/>
      <c r="H314" s="18" t="s">
        <v>52</v>
      </c>
      <c r="I314" s="65" t="e">
        <f t="shared" ref="I314:I318" si="29">D314</f>
        <v>#NAME?</v>
      </c>
      <c r="J314" s="77">
        <f t="shared" si="27"/>
        <v>0.65794685342874704</v>
      </c>
      <c r="K314" s="77" t="e">
        <f t="shared" ref="K314:K318" si="30">I314*J314</f>
        <v>#NAME?</v>
      </c>
      <c r="L314" s="11"/>
      <c r="M314" s="11"/>
      <c r="N314" s="11"/>
      <c r="O314" s="11"/>
      <c r="P314" s="11"/>
      <c r="Q314" s="11"/>
      <c r="R314" s="11"/>
      <c r="S314" s="11"/>
    </row>
    <row r="315" spans="1:19" x14ac:dyDescent="0.3">
      <c r="A315" s="11"/>
      <c r="B315" s="11"/>
      <c r="C315" s="18" t="s">
        <v>31</v>
      </c>
      <c r="D315" s="65" t="e">
        <f t="shared" si="25"/>
        <v>#NAME?</v>
      </c>
      <c r="E315" s="77">
        <f t="shared" si="26"/>
        <v>244.64589574340508</v>
      </c>
      <c r="F315" s="77" t="e">
        <f t="shared" si="28"/>
        <v>#NAME?</v>
      </c>
      <c r="G315" s="11"/>
      <c r="H315" s="18" t="s">
        <v>31</v>
      </c>
      <c r="I315" s="65" t="e">
        <f t="shared" si="29"/>
        <v>#NAME?</v>
      </c>
      <c r="J315" s="77">
        <f t="shared" si="27"/>
        <v>0.60524009712244486</v>
      </c>
      <c r="K315" s="77" t="e">
        <f t="shared" si="30"/>
        <v>#NAME?</v>
      </c>
      <c r="L315" s="11"/>
      <c r="M315" s="81"/>
      <c r="N315" s="11"/>
      <c r="O315" s="11"/>
      <c r="P315" s="11"/>
      <c r="Q315" s="11"/>
      <c r="R315" s="11"/>
      <c r="S315" s="11"/>
    </row>
    <row r="316" spans="1:19" x14ac:dyDescent="0.3">
      <c r="A316" s="11"/>
      <c r="B316" s="11"/>
      <c r="C316" s="18" t="s">
        <v>53</v>
      </c>
      <c r="D316" s="65" t="e">
        <f t="shared" si="25"/>
        <v>#NAME?</v>
      </c>
      <c r="E316" s="77">
        <f t="shared" si="26"/>
        <v>469.78839593935118</v>
      </c>
      <c r="F316" s="77" t="e">
        <f t="shared" si="28"/>
        <v>#NAME?</v>
      </c>
      <c r="G316" s="11"/>
      <c r="H316" s="18" t="s">
        <v>53</v>
      </c>
      <c r="I316" s="65" t="e">
        <f t="shared" si="29"/>
        <v>#NAME?</v>
      </c>
      <c r="J316" s="77">
        <f t="shared" si="27"/>
        <v>1.3360476786246689</v>
      </c>
      <c r="K316" s="77" t="e">
        <f t="shared" si="30"/>
        <v>#NAME?</v>
      </c>
      <c r="L316" s="11"/>
      <c r="M316" s="81"/>
      <c r="N316" s="11"/>
      <c r="O316" s="11"/>
      <c r="P316" s="11"/>
      <c r="Q316" s="11"/>
      <c r="R316" s="11"/>
      <c r="S316" s="11"/>
    </row>
    <row r="317" spans="1:19" x14ac:dyDescent="0.3">
      <c r="A317" s="11"/>
      <c r="B317" s="11"/>
      <c r="C317" s="18" t="s">
        <v>55</v>
      </c>
      <c r="D317" s="65" t="e">
        <f t="shared" si="25"/>
        <v>#NAME?</v>
      </c>
      <c r="E317" s="77">
        <f t="shared" si="26"/>
        <v>121.91816553049487</v>
      </c>
      <c r="F317" s="77" t="e">
        <f t="shared" si="28"/>
        <v>#NAME?</v>
      </c>
      <c r="G317" s="11"/>
      <c r="H317" s="18" t="s">
        <v>55</v>
      </c>
      <c r="I317" s="65" t="e">
        <f t="shared" si="29"/>
        <v>#NAME?</v>
      </c>
      <c r="J317" s="77">
        <f t="shared" si="27"/>
        <v>0.37283842669875772</v>
      </c>
      <c r="K317" s="77" t="e">
        <f t="shared" si="30"/>
        <v>#NAME?</v>
      </c>
      <c r="L317" s="11"/>
      <c r="M317" s="11"/>
      <c r="N317" s="11"/>
      <c r="O317" s="11"/>
      <c r="P317" s="11"/>
      <c r="Q317" s="11"/>
      <c r="R317" s="11"/>
      <c r="S317" s="11"/>
    </row>
    <row r="318" spans="1:19" x14ac:dyDescent="0.3">
      <c r="A318" s="11"/>
      <c r="B318" s="11"/>
      <c r="C318" s="18" t="s">
        <v>166</v>
      </c>
      <c r="D318" s="65" t="e">
        <f t="shared" si="25"/>
        <v>#NAME?</v>
      </c>
      <c r="E318" s="77">
        <f t="shared" si="26"/>
        <v>174.07693049230789</v>
      </c>
      <c r="F318" s="77" t="e">
        <f t="shared" si="28"/>
        <v>#NAME?</v>
      </c>
      <c r="G318" s="11"/>
      <c r="H318" s="18" t="s">
        <v>166</v>
      </c>
      <c r="I318" s="65" t="e">
        <f t="shared" si="29"/>
        <v>#NAME?</v>
      </c>
      <c r="J318" s="77">
        <f t="shared" si="27"/>
        <v>0.44595485378589428</v>
      </c>
      <c r="K318" s="77" t="e">
        <f t="shared" si="30"/>
        <v>#NAME?</v>
      </c>
      <c r="L318" s="11"/>
      <c r="M318" s="11"/>
      <c r="N318" s="11"/>
      <c r="O318" s="11"/>
      <c r="P318" s="11"/>
      <c r="Q318" s="11"/>
      <c r="R318" s="11"/>
      <c r="S318" s="11"/>
    </row>
    <row r="319" spans="1:19" x14ac:dyDescent="0.3">
      <c r="A319" s="11"/>
      <c r="B319" s="11"/>
      <c r="C319" s="11"/>
      <c r="D319" s="18"/>
      <c r="E319" s="73" t="s">
        <v>174</v>
      </c>
      <c r="F319" s="67" t="e">
        <f>SUM(F313:F318)</f>
        <v>#NAME?</v>
      </c>
      <c r="G319" s="11" t="s">
        <v>264</v>
      </c>
      <c r="H319" s="11"/>
      <c r="I319" s="18"/>
      <c r="J319" s="73" t="s">
        <v>174</v>
      </c>
      <c r="K319" s="67" t="e">
        <f>SUM(K313:K318)</f>
        <v>#NAME?</v>
      </c>
      <c r="L319" s="11" t="s">
        <v>264</v>
      </c>
      <c r="M319" s="11"/>
      <c r="N319" s="11"/>
      <c r="O319" s="81" t="e">
        <f ca="1">P336+K319</f>
        <v>#NAME?</v>
      </c>
      <c r="P319" s="11"/>
      <c r="Q319" s="11"/>
      <c r="R319" s="11"/>
      <c r="S319" s="11"/>
    </row>
    <row r="320" spans="1:19" x14ac:dyDescent="0.3">
      <c r="A320" s="11"/>
      <c r="B320" s="11"/>
      <c r="C320" s="11"/>
      <c r="D320" s="18"/>
      <c r="E320" s="11"/>
      <c r="F320" s="11"/>
      <c r="G320" s="11"/>
      <c r="H320" s="11"/>
      <c r="I320" s="11"/>
      <c r="J320" s="73" t="s">
        <v>292</v>
      </c>
      <c r="K320" s="67" t="e">
        <f>F319-K319</f>
        <v>#NAME?</v>
      </c>
      <c r="L320" s="11" t="s">
        <v>264</v>
      </c>
      <c r="M320" s="11"/>
      <c r="N320" s="11"/>
      <c r="O320" s="11"/>
      <c r="P320" s="11"/>
      <c r="Q320" s="11"/>
      <c r="R320" s="11"/>
      <c r="S320" s="11"/>
    </row>
    <row r="321" spans="1:19" x14ac:dyDescent="0.3">
      <c r="A321" s="11"/>
      <c r="B321" s="11"/>
      <c r="C321" s="62"/>
      <c r="D321" s="18"/>
      <c r="E321" s="11"/>
      <c r="F321" s="81" t="e">
        <f>F319-K319</f>
        <v>#NAME?</v>
      </c>
      <c r="G321" s="11"/>
      <c r="H321" s="11"/>
      <c r="I321" s="11"/>
      <c r="J321" s="73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x14ac:dyDescent="0.3">
      <c r="A322" s="11"/>
      <c r="B322" s="11"/>
      <c r="C322" s="79" t="s">
        <v>298</v>
      </c>
      <c r="D322" s="18"/>
      <c r="E322" s="11"/>
      <c r="F322" s="11"/>
      <c r="G322" s="11"/>
      <c r="H322" s="11"/>
      <c r="I322" s="11"/>
      <c r="J322" s="73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x14ac:dyDescent="0.3">
      <c r="A323" s="11"/>
      <c r="B323" s="11"/>
      <c r="C323" s="11"/>
      <c r="D323" s="18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x14ac:dyDescent="0.3">
      <c r="A324" s="11"/>
      <c r="B324" s="11"/>
      <c r="C324" s="79" t="s">
        <v>286</v>
      </c>
      <c r="D324" s="57">
        <f>D126</f>
        <v>88.682000000000002</v>
      </c>
      <c r="E324" s="11" t="s">
        <v>252</v>
      </c>
      <c r="F324" s="11"/>
      <c r="G324" s="11"/>
      <c r="H324" s="79" t="s">
        <v>293</v>
      </c>
      <c r="I324" s="57">
        <f>D138</f>
        <v>600</v>
      </c>
      <c r="J324" s="11" t="s">
        <v>252</v>
      </c>
      <c r="K324" s="11"/>
      <c r="L324" s="11"/>
      <c r="M324" s="79" t="s">
        <v>294</v>
      </c>
      <c r="N324" s="57">
        <f>D141</f>
        <v>1058</v>
      </c>
      <c r="O324" s="11" t="s">
        <v>252</v>
      </c>
      <c r="P324" s="11"/>
      <c r="Q324" s="11"/>
      <c r="R324" s="11"/>
      <c r="S324" s="11"/>
    </row>
    <row r="325" spans="1:19" x14ac:dyDescent="0.3">
      <c r="A325" s="11"/>
      <c r="B325" s="11"/>
      <c r="C325" s="11"/>
      <c r="D325" s="57">
        <f>((D324-32)*(5/9))+273.15</f>
        <v>304.64</v>
      </c>
      <c r="E325" s="11" t="s">
        <v>35</v>
      </c>
      <c r="F325" s="11" t="s">
        <v>291</v>
      </c>
      <c r="G325" s="11"/>
      <c r="H325" s="11"/>
      <c r="I325" s="57">
        <f>((I324-32)*(5/9))+273.15</f>
        <v>588.70555555555552</v>
      </c>
      <c r="J325" s="11" t="s">
        <v>35</v>
      </c>
      <c r="K325" s="11"/>
      <c r="L325" s="11"/>
      <c r="M325" s="11"/>
      <c r="N325" s="57">
        <f>((N324-32)*(5/9))+273.15</f>
        <v>843.15</v>
      </c>
      <c r="O325" s="11" t="s">
        <v>35</v>
      </c>
      <c r="P325" s="11"/>
      <c r="Q325" s="11"/>
      <c r="R325" s="11"/>
      <c r="S325" s="11"/>
    </row>
    <row r="326" spans="1:19" x14ac:dyDescent="0.3">
      <c r="A326" s="11"/>
      <c r="B326" s="11"/>
      <c r="C326" s="11"/>
      <c r="D326" s="18"/>
      <c r="E326" s="11"/>
      <c r="F326" s="11"/>
      <c r="G326" s="11"/>
      <c r="H326" s="11"/>
      <c r="I326" s="18"/>
      <c r="J326" s="11"/>
      <c r="K326" s="11"/>
      <c r="L326" s="11"/>
      <c r="M326" s="11"/>
      <c r="N326" s="18"/>
      <c r="O326" s="11"/>
      <c r="P326" s="11"/>
      <c r="Q326" s="11"/>
      <c r="R326" s="11"/>
      <c r="S326" s="11"/>
    </row>
    <row r="327" spans="1:19" x14ac:dyDescent="0.3">
      <c r="A327" s="11"/>
      <c r="B327" s="11"/>
      <c r="C327" s="10" t="s">
        <v>287</v>
      </c>
      <c r="D327" s="10" t="s">
        <v>288</v>
      </c>
      <c r="E327" s="10" t="s">
        <v>289</v>
      </c>
      <c r="F327" s="10" t="s">
        <v>290</v>
      </c>
      <c r="G327" s="10"/>
      <c r="H327" s="10" t="s">
        <v>287</v>
      </c>
      <c r="I327" s="10" t="s">
        <v>288</v>
      </c>
      <c r="J327" s="10" t="s">
        <v>289</v>
      </c>
      <c r="K327" s="10" t="s">
        <v>290</v>
      </c>
      <c r="L327" s="10"/>
      <c r="M327" s="10" t="s">
        <v>287</v>
      </c>
      <c r="N327" s="10" t="s">
        <v>288</v>
      </c>
      <c r="O327" s="10" t="s">
        <v>289</v>
      </c>
      <c r="P327" s="10" t="s">
        <v>290</v>
      </c>
      <c r="Q327" s="10"/>
      <c r="R327" s="11"/>
      <c r="S327" s="11"/>
    </row>
    <row r="328" spans="1:19" x14ac:dyDescent="0.3">
      <c r="A328" s="11"/>
      <c r="B328" s="11"/>
      <c r="C328" s="10" t="s">
        <v>109</v>
      </c>
      <c r="D328" s="10"/>
      <c r="E328" s="10"/>
      <c r="F328" s="10"/>
      <c r="G328" s="10"/>
      <c r="H328" s="10" t="s">
        <v>109</v>
      </c>
      <c r="I328" s="10"/>
      <c r="J328" s="10"/>
      <c r="K328" s="10"/>
      <c r="L328" s="10"/>
      <c r="M328" s="10" t="s">
        <v>109</v>
      </c>
      <c r="N328" s="10"/>
      <c r="O328" s="10"/>
      <c r="P328" s="10"/>
      <c r="Q328" s="10"/>
      <c r="R328" s="11"/>
      <c r="S328" s="11"/>
    </row>
    <row r="329" spans="1:19" x14ac:dyDescent="0.3">
      <c r="A329" s="11"/>
      <c r="B329" s="11"/>
      <c r="C329" s="18" t="s">
        <v>30</v>
      </c>
      <c r="D329" s="65">
        <f>I191</f>
        <v>0.73580702297648948</v>
      </c>
      <c r="E329" s="77" t="e" cm="1">
        <f t="array" aca="1" ref="E329" ca="1">((((((-D354/$D$325)+(E354*(LN($D$325)))+(F354*$D$325)+(G354*(($D$325^2)/2))+(K253H354*(($D$325^3)/3))+F191(I354*(($D$325^4)/4))+(J354*(($D$325^5)/5))+K354)*8.31451-L354)/M354)/2.326))</f>
        <v>#NAME?</v>
      </c>
      <c r="F329" s="77" t="e">
        <f ca="1">D329*E329</f>
        <v>#NAME?</v>
      </c>
      <c r="G329" s="11"/>
      <c r="H329" s="18" t="s">
        <v>30</v>
      </c>
      <c r="I329" s="65">
        <f>D329</f>
        <v>0.73580702297648948</v>
      </c>
      <c r="J329" s="77">
        <f t="shared" ref="J329:J334" si="31">((((((-D354/$I$325)+(E354*(LN($I$325)))+(F354*$I$325)+(G354*(($I$325^2)/2))+(H354*(($I$325^3)/3))+(I354*(($I$325^4)/4))+(J354*(($I$325^5)/5))+K354)*8.31451-L354)/M354)/2.326))</f>
        <v>131.28390084101119</v>
      </c>
      <c r="K329" s="77">
        <f>I329*J329</f>
        <v>96.599616242565091</v>
      </c>
      <c r="L329" s="11"/>
      <c r="M329" s="18" t="s">
        <v>30</v>
      </c>
      <c r="N329" s="65">
        <f>D329</f>
        <v>0.73580702297648948</v>
      </c>
      <c r="O329" s="77">
        <f t="shared" ref="O329:O334" si="32">((((((-D354/$N$325)+(E354*(LN($N$325)))+(F354*$N$325)+(G354*(($N$325^2)/2))+(H354*(($N$325^3)/3))+(I354*(($N$325^4)/4))+(J354*(($N$325^5)/5))+K354)*8.31451-L354)/M354)/2.326))</f>
        <v>251.82403861153932</v>
      </c>
      <c r="P329" s="77">
        <f>N329*O329</f>
        <v>185.2938961646733</v>
      </c>
      <c r="Q329" s="11"/>
      <c r="R329" s="11"/>
      <c r="S329" s="11"/>
    </row>
    <row r="330" spans="1:19" x14ac:dyDescent="0.3">
      <c r="A330" s="11"/>
      <c r="B330" s="11"/>
      <c r="C330" s="18" t="s">
        <v>52</v>
      </c>
      <c r="D330" s="65">
        <f>I192</f>
        <v>0.22547791885108703</v>
      </c>
      <c r="E330" s="77">
        <f t="shared" ref="E330:E334" si="33">((((((-D355/$D$325)+(E355*(LN($D$325)))+(F355*$D$325)+(G355*(($D$325^2)/2))+(H355*(($D$325^3)/3))+(I355*(($D$325^4)/4))+(J355*(($D$325^5)/5))+K355)*8.31451-L355)/M355)/2.326))</f>
        <v>2.5631186731795803</v>
      </c>
      <c r="F330" s="77">
        <f t="shared" ref="F330:F334" si="34">D330*E330</f>
        <v>0.57792666419689132</v>
      </c>
      <c r="G330" s="11"/>
      <c r="H330" s="18" t="s">
        <v>52</v>
      </c>
      <c r="I330" s="65">
        <f t="shared" ref="I330:I334" si="35">D330</f>
        <v>0.22547791885108703</v>
      </c>
      <c r="J330" s="77">
        <f t="shared" si="31"/>
        <v>119.35132892555792</v>
      </c>
      <c r="K330" s="77">
        <f t="shared" ref="K330:K334" si="36">I330*J330</f>
        <v>26.911089258246346</v>
      </c>
      <c r="L330" s="11"/>
      <c r="M330" s="18" t="s">
        <v>52</v>
      </c>
      <c r="N330" s="65">
        <f t="shared" ref="N330:N334" si="37">D330</f>
        <v>0.22547791885108703</v>
      </c>
      <c r="O330" s="77">
        <f t="shared" si="32"/>
        <v>232.44085169797907</v>
      </c>
      <c r="P330" s="77">
        <f t="shared" ref="P330:P334" si="38">N330*O330</f>
        <v>52.410279496834484</v>
      </c>
      <c r="Q330" s="11"/>
      <c r="R330" s="11"/>
      <c r="S330" s="11"/>
    </row>
    <row r="331" spans="1:19" x14ac:dyDescent="0.3">
      <c r="A331" s="11"/>
      <c r="B331" s="11"/>
      <c r="C331" s="18" t="s">
        <v>31</v>
      </c>
      <c r="D331" s="65">
        <f>I193</f>
        <v>4.7225130954818795E-4</v>
      </c>
      <c r="E331" s="77">
        <f t="shared" si="33"/>
        <v>2.3637785039329082</v>
      </c>
      <c r="F331" s="77">
        <f t="shared" si="34"/>
        <v>1.1162974939641723E-3</v>
      </c>
      <c r="G331" s="11"/>
      <c r="H331" s="18" t="s">
        <v>31</v>
      </c>
      <c r="I331" s="65">
        <f t="shared" si="35"/>
        <v>4.7225130954818795E-4</v>
      </c>
      <c r="J331" s="77">
        <f t="shared" si="31"/>
        <v>120.89618563312472</v>
      </c>
      <c r="K331" s="77">
        <f t="shared" si="36"/>
        <v>5.7093381984623971E-2</v>
      </c>
      <c r="L331" s="11"/>
      <c r="M331" s="18" t="s">
        <v>31</v>
      </c>
      <c r="N331" s="65">
        <f t="shared" si="37"/>
        <v>4.7225130954818795E-4</v>
      </c>
      <c r="O331" s="77">
        <f t="shared" si="32"/>
        <v>244.64589574340508</v>
      </c>
      <c r="P331" s="77">
        <f t="shared" si="38"/>
        <v>0.11553434464041251</v>
      </c>
      <c r="Q331" s="11"/>
      <c r="R331" s="11"/>
      <c r="S331" s="11"/>
    </row>
    <row r="332" spans="1:19" x14ac:dyDescent="0.3">
      <c r="A332" s="11"/>
      <c r="B332" s="11"/>
      <c r="C332" s="18" t="s">
        <v>53</v>
      </c>
      <c r="D332" s="65">
        <f>I194</f>
        <v>2.5658222506140152E-2</v>
      </c>
      <c r="E332" s="77">
        <f t="shared" si="33"/>
        <v>5.2042990111792067</v>
      </c>
      <c r="F332" s="77">
        <f t="shared" si="34"/>
        <v>0.13353306201732126</v>
      </c>
      <c r="G332" s="11"/>
      <c r="H332" s="18" t="s">
        <v>53</v>
      </c>
      <c r="I332" s="65">
        <f t="shared" si="35"/>
        <v>2.5658222506140152E-2</v>
      </c>
      <c r="J332" s="77">
        <f t="shared" si="31"/>
        <v>240.83526197664614</v>
      </c>
      <c r="K332" s="77">
        <f t="shared" si="36"/>
        <v>6.1794047391213418</v>
      </c>
      <c r="L332" s="11"/>
      <c r="M332" s="18" t="s">
        <v>53</v>
      </c>
      <c r="N332" s="65">
        <f t="shared" si="37"/>
        <v>2.5658222506140152E-2</v>
      </c>
      <c r="O332" s="77">
        <f t="shared" si="32"/>
        <v>469.78839593935118</v>
      </c>
      <c r="P332" s="77">
        <f t="shared" si="38"/>
        <v>12.05393519381454</v>
      </c>
      <c r="Q332" s="11"/>
      <c r="R332" s="11"/>
      <c r="S332" s="11"/>
    </row>
    <row r="333" spans="1:19" x14ac:dyDescent="0.3">
      <c r="A333" s="11"/>
      <c r="B333" s="11"/>
      <c r="C333" s="18" t="s">
        <v>55</v>
      </c>
      <c r="D333" s="65">
        <f>I195</f>
        <v>1.2584584356735134E-2</v>
      </c>
      <c r="E333" s="77">
        <f t="shared" si="33"/>
        <v>1.4518328335649675</v>
      </c>
      <c r="F333" s="77">
        <f t="shared" si="34"/>
        <v>1.8270712765876135E-2</v>
      </c>
      <c r="G333" s="11"/>
      <c r="H333" s="18" t="s">
        <v>55</v>
      </c>
      <c r="I333" s="65">
        <f t="shared" si="35"/>
        <v>1.2584584356735134E-2</v>
      </c>
      <c r="J333" s="77">
        <f t="shared" si="31"/>
        <v>64.99816572115067</v>
      </c>
      <c r="K333" s="77">
        <f t="shared" si="36"/>
        <v>0.81797489955087055</v>
      </c>
      <c r="L333" s="11"/>
      <c r="M333" s="18" t="s">
        <v>55</v>
      </c>
      <c r="N333" s="65">
        <f t="shared" si="37"/>
        <v>1.2584584356735134E-2</v>
      </c>
      <c r="O333" s="77">
        <f t="shared" si="32"/>
        <v>121.91816553049487</v>
      </c>
      <c r="P333" s="77">
        <f t="shared" si="38"/>
        <v>1.5342894387369104</v>
      </c>
      <c r="Q333" s="11"/>
      <c r="R333" s="11"/>
      <c r="S333" s="11"/>
    </row>
    <row r="334" spans="1:19" x14ac:dyDescent="0.3">
      <c r="A334" s="11"/>
      <c r="B334" s="11"/>
      <c r="C334" s="18" t="s">
        <v>166</v>
      </c>
      <c r="D334" s="65">
        <f>I197</f>
        <v>0</v>
      </c>
      <c r="E334" s="77">
        <f t="shared" si="33"/>
        <v>1.7403829265030251</v>
      </c>
      <c r="F334" s="77">
        <f t="shared" si="34"/>
        <v>0</v>
      </c>
      <c r="G334" s="11"/>
      <c r="H334" s="18" t="s">
        <v>166</v>
      </c>
      <c r="I334" s="65">
        <f t="shared" si="35"/>
        <v>0</v>
      </c>
      <c r="J334" s="77">
        <f t="shared" si="31"/>
        <v>87.035267838381927</v>
      </c>
      <c r="K334" s="77">
        <f t="shared" si="36"/>
        <v>0</v>
      </c>
      <c r="L334" s="11"/>
      <c r="M334" s="18" t="s">
        <v>166</v>
      </c>
      <c r="N334" s="65">
        <f t="shared" si="37"/>
        <v>0</v>
      </c>
      <c r="O334" s="77">
        <f t="shared" si="32"/>
        <v>174.07693049230789</v>
      </c>
      <c r="P334" s="77">
        <f t="shared" si="38"/>
        <v>0</v>
      </c>
      <c r="Q334" s="11"/>
      <c r="R334" s="11"/>
      <c r="S334" s="11"/>
    </row>
    <row r="335" spans="1:19" x14ac:dyDescent="0.3">
      <c r="A335" s="11"/>
      <c r="B335" s="11"/>
      <c r="C335" s="11"/>
      <c r="D335" s="18"/>
      <c r="E335" s="73" t="s">
        <v>174</v>
      </c>
      <c r="F335" s="67" t="e">
        <f ca="1">SUM(F329:F334)</f>
        <v>#NAME?</v>
      </c>
      <c r="G335" s="11" t="s">
        <v>264</v>
      </c>
      <c r="H335" s="11"/>
      <c r="I335" s="18"/>
      <c r="J335" s="73" t="s">
        <v>174</v>
      </c>
      <c r="K335" s="67">
        <f>SUM(K329:K334)</f>
        <v>130.56517852146828</v>
      </c>
      <c r="L335" s="11" t="s">
        <v>264</v>
      </c>
      <c r="M335" s="11"/>
      <c r="N335" s="18"/>
      <c r="O335" s="73" t="s">
        <v>174</v>
      </c>
      <c r="P335" s="67">
        <f>SUM(P329:P334)</f>
        <v>251.40793463869966</v>
      </c>
      <c r="Q335" s="11" t="s">
        <v>264</v>
      </c>
      <c r="R335" s="11"/>
      <c r="S335" s="11"/>
    </row>
    <row r="336" spans="1:19" x14ac:dyDescent="0.3">
      <c r="A336" s="11"/>
      <c r="B336" s="11"/>
      <c r="C336" s="11"/>
      <c r="D336" s="18"/>
      <c r="E336" s="11"/>
      <c r="F336" s="11"/>
      <c r="G336" s="11"/>
      <c r="H336" s="11"/>
      <c r="I336" s="11"/>
      <c r="J336" s="11"/>
      <c r="K336" s="67" t="e">
        <f ca="1">K335-F335</f>
        <v>#NAME?</v>
      </c>
      <c r="L336" s="11"/>
      <c r="M336" s="11"/>
      <c r="N336" s="11"/>
      <c r="O336" s="11"/>
      <c r="P336" s="67" t="e">
        <f ca="1">P335-F335</f>
        <v>#NAME?</v>
      </c>
      <c r="Q336" s="11" t="s">
        <v>264</v>
      </c>
      <c r="R336" s="11"/>
      <c r="S336" s="11"/>
    </row>
    <row r="337" spans="1:19" x14ac:dyDescent="0.3">
      <c r="A337" s="11"/>
      <c r="B337" s="11"/>
      <c r="C337" s="11"/>
      <c r="D337" s="18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67"/>
      <c r="Q337" s="11"/>
      <c r="R337" s="11"/>
      <c r="S337" s="11"/>
    </row>
    <row r="338" spans="1:19" x14ac:dyDescent="0.25">
      <c r="A338" s="11"/>
      <c r="B338" s="11"/>
      <c r="C338" s="79" t="s">
        <v>297</v>
      </c>
      <c r="D338" s="57">
        <f>D308</f>
        <v>1058</v>
      </c>
      <c r="E338" s="11" t="s">
        <v>252</v>
      </c>
      <c r="F338" s="11"/>
      <c r="G338" s="80"/>
      <c r="H338" s="79" t="s">
        <v>285</v>
      </c>
      <c r="I338" s="57">
        <f>I308</f>
        <v>80</v>
      </c>
      <c r="J338" s="11" t="s">
        <v>252</v>
      </c>
      <c r="K338" s="11"/>
      <c r="L338" s="80"/>
      <c r="M338" s="11"/>
      <c r="N338" s="11"/>
      <c r="O338" s="11"/>
      <c r="P338" s="11"/>
      <c r="Q338" s="11"/>
      <c r="R338" s="11"/>
      <c r="S338" s="11"/>
    </row>
    <row r="339" spans="1:19" x14ac:dyDescent="0.3">
      <c r="A339" s="11"/>
      <c r="B339" s="11"/>
      <c r="C339" s="11"/>
      <c r="D339" s="57">
        <f>((D338-32)*(5/9))+273.15</f>
        <v>843.15</v>
      </c>
      <c r="E339" s="11" t="s">
        <v>35</v>
      </c>
      <c r="F339" s="11"/>
      <c r="G339" s="11"/>
      <c r="H339" s="11"/>
      <c r="I339" s="57">
        <f>((I338-32)*(5/9))+273.15</f>
        <v>299.81666666666666</v>
      </c>
      <c r="J339" s="11" t="s">
        <v>35</v>
      </c>
      <c r="K339" s="11"/>
      <c r="L339" s="11"/>
      <c r="M339" s="11"/>
      <c r="N339" s="11"/>
      <c r="O339" s="11"/>
      <c r="P339" s="11"/>
      <c r="Q339" s="11"/>
      <c r="R339" s="11"/>
      <c r="S339" s="11"/>
    </row>
    <row r="340" spans="1:19" x14ac:dyDescent="0.3">
      <c r="A340" s="11"/>
      <c r="B340" s="11"/>
      <c r="C340" s="11"/>
      <c r="D340" s="18"/>
      <c r="E340" s="11"/>
      <c r="F340" s="11"/>
      <c r="G340" s="11"/>
      <c r="H340" s="11"/>
      <c r="I340" s="18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 spans="1:19" x14ac:dyDescent="0.3">
      <c r="A341" s="11"/>
      <c r="B341" s="11"/>
      <c r="C341" s="10" t="s">
        <v>170</v>
      </c>
      <c r="D341" s="10" t="s">
        <v>171</v>
      </c>
      <c r="E341" s="10" t="s">
        <v>172</v>
      </c>
      <c r="F341" s="10" t="s">
        <v>173</v>
      </c>
      <c r="G341" s="10"/>
      <c r="H341" s="10" t="s">
        <v>170</v>
      </c>
      <c r="I341" s="10" t="s">
        <v>171</v>
      </c>
      <c r="J341" s="10" t="s">
        <v>172</v>
      </c>
      <c r="K341" s="10" t="s">
        <v>173</v>
      </c>
      <c r="L341" s="10"/>
      <c r="M341" s="11"/>
      <c r="N341" s="11"/>
      <c r="O341" s="11"/>
      <c r="P341" s="11"/>
      <c r="Q341" s="11"/>
      <c r="R341" s="11"/>
      <c r="S341" s="11"/>
    </row>
    <row r="342" spans="1:19" x14ac:dyDescent="0.3">
      <c r="A342" s="11"/>
      <c r="B342" s="11"/>
      <c r="C342" s="10" t="s">
        <v>109</v>
      </c>
      <c r="D342" s="10"/>
      <c r="E342" s="10"/>
      <c r="F342" s="10"/>
      <c r="G342" s="10"/>
      <c r="H342" s="10" t="s">
        <v>109</v>
      </c>
      <c r="I342" s="10"/>
      <c r="J342" s="10"/>
      <c r="K342" s="10"/>
      <c r="L342" s="10"/>
      <c r="M342" s="11"/>
      <c r="N342" s="11"/>
      <c r="O342" s="11"/>
      <c r="P342" s="11"/>
      <c r="Q342" s="11"/>
      <c r="R342" s="11"/>
      <c r="S342" s="11"/>
    </row>
    <row r="343" spans="1:19" x14ac:dyDescent="0.3">
      <c r="A343" s="11"/>
      <c r="B343" s="11"/>
      <c r="C343" s="18" t="s">
        <v>30</v>
      </c>
      <c r="D343" s="65" t="e">
        <f ca="1">H296</f>
        <v>#NAME?</v>
      </c>
      <c r="E343" s="77">
        <f t="shared" ref="E343:E348" si="39">((((((-D354/$D$339)+(E354*(LN($D$339)))+(F354*$D$339)+(G354*(($D$339^2)/2))+(H354*(($D$339^3)/3))+(I354*(($D$339^4)/4))+(J354*(($D$339^5)/5))+K354)*8.31451-L354)/M354)/2.326))</f>
        <v>251.82403861153932</v>
      </c>
      <c r="F343" s="77" t="e">
        <f ca="1">D343*E343</f>
        <v>#NAME?</v>
      </c>
      <c r="G343" s="11"/>
      <c r="H343" s="18" t="s">
        <v>30</v>
      </c>
      <c r="I343" s="65" t="e">
        <f ca="1">D343</f>
        <v>#NAME?</v>
      </c>
      <c r="J343" s="77">
        <f t="shared" ref="J343:J348" si="40">((((((-D354/$I$339)+(E354*(LN($I$339)))+(F354*$I$339)+(G354*(($I$339^2)/2))+(H354*(($I$339^3)/3))+(I354*(($I$339^4)/4))+(J354*(($I$339^5)/5))+K354)*8.31451-L354)/M354)/2.326))</f>
        <v>0.74501090172834317</v>
      </c>
      <c r="K343" s="77" t="e">
        <f ca="1">I343*J343</f>
        <v>#NAME?</v>
      </c>
      <c r="L343" s="11"/>
      <c r="M343" s="11"/>
      <c r="N343" s="11"/>
      <c r="O343" s="11"/>
      <c r="P343" s="11"/>
      <c r="Q343" s="11"/>
      <c r="R343" s="11"/>
      <c r="S343" s="11"/>
    </row>
    <row r="344" spans="1:19" x14ac:dyDescent="0.3">
      <c r="A344" s="11"/>
      <c r="B344" s="11"/>
      <c r="C344" s="18" t="s">
        <v>52</v>
      </c>
      <c r="D344" s="65" t="e">
        <f t="shared" ref="D344:D348" ca="1" si="41">H297</f>
        <v>#NAME?</v>
      </c>
      <c r="E344" s="77">
        <f t="shared" si="39"/>
        <v>232.44085169797907</v>
      </c>
      <c r="F344" s="77" t="e">
        <f t="shared" ref="F344:F348" ca="1" si="42">D344*E344</f>
        <v>#NAME?</v>
      </c>
      <c r="G344" s="11"/>
      <c r="H344" s="18" t="s">
        <v>52</v>
      </c>
      <c r="I344" s="65" t="e">
        <f t="shared" ref="I344:I348" ca="1" si="43">D344</f>
        <v>#NAME?</v>
      </c>
      <c r="J344" s="77">
        <f t="shared" si="40"/>
        <v>0.65794685342874704</v>
      </c>
      <c r="K344" s="77" t="e">
        <f t="shared" ref="K344:K348" ca="1" si="44">I344*J344</f>
        <v>#NAME?</v>
      </c>
      <c r="L344" s="11"/>
      <c r="M344" s="11"/>
      <c r="N344" s="11"/>
      <c r="O344" s="11"/>
      <c r="P344" s="11"/>
      <c r="Q344" s="11"/>
      <c r="R344" s="11"/>
      <c r="S344" s="11"/>
    </row>
    <row r="345" spans="1:19" x14ac:dyDescent="0.3">
      <c r="A345" s="11"/>
      <c r="B345" s="11"/>
      <c r="C345" s="18" t="s">
        <v>31</v>
      </c>
      <c r="D345" s="65" t="e">
        <f t="shared" ca="1" si="41"/>
        <v>#NAME?</v>
      </c>
      <c r="E345" s="77">
        <f t="shared" si="39"/>
        <v>244.64589574340508</v>
      </c>
      <c r="F345" s="77" t="e">
        <f t="shared" ca="1" si="42"/>
        <v>#NAME?</v>
      </c>
      <c r="G345" s="11"/>
      <c r="H345" s="18" t="s">
        <v>31</v>
      </c>
      <c r="I345" s="65" t="e">
        <f t="shared" ca="1" si="43"/>
        <v>#NAME?</v>
      </c>
      <c r="J345" s="77">
        <f t="shared" si="40"/>
        <v>0.60524009712244486</v>
      </c>
      <c r="K345" s="77" t="e">
        <f t="shared" ca="1" si="44"/>
        <v>#NAME?</v>
      </c>
      <c r="L345" s="11"/>
      <c r="M345" s="11">
        <v>84.6</v>
      </c>
      <c r="N345" s="11"/>
      <c r="O345" s="11"/>
      <c r="P345" s="11"/>
      <c r="Q345" s="11"/>
      <c r="R345" s="11"/>
      <c r="S345" s="11"/>
    </row>
    <row r="346" spans="1:19" x14ac:dyDescent="0.3">
      <c r="A346" s="11"/>
      <c r="B346" s="11"/>
      <c r="C346" s="18" t="s">
        <v>53</v>
      </c>
      <c r="D346" s="65" t="e">
        <f t="shared" ca="1" si="41"/>
        <v>#NAME?</v>
      </c>
      <c r="E346" s="77">
        <f t="shared" si="39"/>
        <v>469.78839593935118</v>
      </c>
      <c r="F346" s="77" t="e">
        <f t="shared" ca="1" si="42"/>
        <v>#NAME?</v>
      </c>
      <c r="G346" s="11"/>
      <c r="H346" s="18" t="s">
        <v>53</v>
      </c>
      <c r="I346" s="65" t="e">
        <f t="shared" ca="1" si="43"/>
        <v>#NAME?</v>
      </c>
      <c r="J346" s="77">
        <f t="shared" si="40"/>
        <v>1.3360476786246689</v>
      </c>
      <c r="K346" s="77" t="e">
        <f t="shared" ca="1" si="44"/>
        <v>#NAME?</v>
      </c>
      <c r="L346" s="11"/>
      <c r="M346" s="11">
        <v>2.3260000000000001</v>
      </c>
      <c r="N346" s="11"/>
      <c r="O346" s="11"/>
      <c r="P346" s="11"/>
      <c r="Q346" s="11"/>
      <c r="R346" s="11"/>
      <c r="S346" s="11"/>
    </row>
    <row r="347" spans="1:19" x14ac:dyDescent="0.3">
      <c r="A347" s="11"/>
      <c r="B347" s="11"/>
      <c r="C347" s="18" t="s">
        <v>55</v>
      </c>
      <c r="D347" s="65" t="e">
        <f t="shared" ca="1" si="41"/>
        <v>#NAME?</v>
      </c>
      <c r="E347" s="77">
        <f t="shared" si="39"/>
        <v>121.91816553049487</v>
      </c>
      <c r="F347" s="77" t="e">
        <f t="shared" ca="1" si="42"/>
        <v>#NAME?</v>
      </c>
      <c r="G347" s="11"/>
      <c r="H347" s="18" t="s">
        <v>55</v>
      </c>
      <c r="I347" s="65" t="e">
        <f t="shared" ca="1" si="43"/>
        <v>#NAME?</v>
      </c>
      <c r="J347" s="77">
        <f t="shared" si="40"/>
        <v>0.37283842669875772</v>
      </c>
      <c r="K347" s="77" t="e">
        <f t="shared" ca="1" si="44"/>
        <v>#NAME?</v>
      </c>
      <c r="L347" s="11"/>
      <c r="M347" s="11">
        <f>M345/M346</f>
        <v>36.371453138435079</v>
      </c>
      <c r="N347" s="11"/>
      <c r="O347" s="11"/>
      <c r="P347" s="11"/>
      <c r="Q347" s="11"/>
      <c r="R347" s="11"/>
      <c r="S347" s="11"/>
    </row>
    <row r="348" spans="1:19" x14ac:dyDescent="0.3">
      <c r="A348" s="11"/>
      <c r="B348" s="11"/>
      <c r="C348" s="18" t="s">
        <v>166</v>
      </c>
      <c r="D348" s="65">
        <f t="shared" si="41"/>
        <v>0</v>
      </c>
      <c r="E348" s="77">
        <f t="shared" si="39"/>
        <v>174.07693049230789</v>
      </c>
      <c r="F348" s="77">
        <f t="shared" si="42"/>
        <v>0</v>
      </c>
      <c r="G348" s="11"/>
      <c r="H348" s="18" t="s">
        <v>166</v>
      </c>
      <c r="I348" s="65">
        <f t="shared" si="43"/>
        <v>0</v>
      </c>
      <c r="J348" s="77">
        <f t="shared" si="40"/>
        <v>0.44595485378589428</v>
      </c>
      <c r="K348" s="77">
        <f t="shared" si="44"/>
        <v>0</v>
      </c>
      <c r="L348" s="11"/>
      <c r="M348" s="11"/>
      <c r="N348" s="11"/>
      <c r="O348" s="11"/>
      <c r="P348" s="11"/>
      <c r="Q348" s="11"/>
      <c r="R348" s="11"/>
      <c r="S348" s="11"/>
    </row>
    <row r="349" spans="1:19" x14ac:dyDescent="0.3">
      <c r="A349" s="11"/>
      <c r="B349" s="11"/>
      <c r="C349" s="11"/>
      <c r="D349" s="18"/>
      <c r="E349" s="77" t="s">
        <v>296</v>
      </c>
      <c r="F349" s="67" t="e">
        <f ca="1">SUM(F343:F348)</f>
        <v>#NAME?</v>
      </c>
      <c r="G349" s="11" t="s">
        <v>264</v>
      </c>
      <c r="H349" s="11"/>
      <c r="I349" s="18"/>
      <c r="J349" s="73" t="s">
        <v>174</v>
      </c>
      <c r="K349" s="67" t="e">
        <f ca="1">SUM(K343:K348)</f>
        <v>#NAME?</v>
      </c>
      <c r="L349" s="11" t="s">
        <v>264</v>
      </c>
      <c r="M349" s="11" t="e">
        <f ca="1">K349*2.326</f>
        <v>#NAME?</v>
      </c>
      <c r="N349" s="11"/>
      <c r="O349" s="11"/>
      <c r="P349" s="11"/>
      <c r="Q349" s="11"/>
      <c r="R349" s="11"/>
      <c r="S349" s="11"/>
    </row>
    <row r="350" spans="1:19" x14ac:dyDescent="0.3">
      <c r="A350" s="11"/>
      <c r="B350" s="11"/>
      <c r="C350" s="11"/>
      <c r="D350" s="18"/>
      <c r="E350" s="11"/>
      <c r="F350" s="11"/>
      <c r="G350" s="11"/>
      <c r="H350" s="11"/>
      <c r="I350" s="11"/>
      <c r="J350" s="73" t="s">
        <v>292</v>
      </c>
      <c r="K350" s="67" t="e">
        <f ca="1">F349-K349</f>
        <v>#NAME?</v>
      </c>
      <c r="L350" s="11" t="s">
        <v>264</v>
      </c>
      <c r="M350" s="11"/>
      <c r="N350" s="11"/>
      <c r="O350" s="11"/>
      <c r="P350" s="11"/>
      <c r="Q350" s="11"/>
      <c r="R350" s="11"/>
      <c r="S350" s="11"/>
    </row>
    <row r="351" spans="1:19" x14ac:dyDescent="0.3">
      <c r="A351" s="11"/>
      <c r="B351" s="11"/>
      <c r="C351" s="11"/>
      <c r="D351" s="18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:19" x14ac:dyDescent="0.3">
      <c r="A352" s="11"/>
      <c r="B352" s="11"/>
      <c r="C352" s="11"/>
      <c r="D352" s="18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:19" ht="14.4" x14ac:dyDescent="0.3">
      <c r="A353" s="11"/>
      <c r="B353" s="11"/>
      <c r="C353" s="46" t="s">
        <v>169</v>
      </c>
      <c r="D353" s="46" t="s">
        <v>102</v>
      </c>
      <c r="E353" s="46" t="s">
        <v>100</v>
      </c>
      <c r="F353" s="46" t="s">
        <v>99</v>
      </c>
      <c r="G353" s="46" t="s">
        <v>101</v>
      </c>
      <c r="H353" s="46" t="s">
        <v>103</v>
      </c>
      <c r="I353" s="46" t="s">
        <v>104</v>
      </c>
      <c r="J353" s="46" t="s">
        <v>105</v>
      </c>
      <c r="K353" s="46" t="s">
        <v>106</v>
      </c>
      <c r="L353" s="92" t="s">
        <v>167</v>
      </c>
      <c r="M353" s="46" t="s">
        <v>168</v>
      </c>
      <c r="N353" s="11"/>
      <c r="O353" s="11"/>
      <c r="P353" s="11"/>
      <c r="Q353" s="11"/>
      <c r="R353" s="11"/>
      <c r="S353" s="11"/>
    </row>
    <row r="354" spans="1:19" x14ac:dyDescent="0.3">
      <c r="A354" s="11"/>
      <c r="B354" s="11"/>
      <c r="C354" s="45" t="s">
        <v>30</v>
      </c>
      <c r="D354" s="93">
        <v>22103.715</v>
      </c>
      <c r="E354" s="93">
        <v>-381.846182</v>
      </c>
      <c r="F354" s="93">
        <v>6.0827383599999996</v>
      </c>
      <c r="G354" s="93">
        <v>-8.5309140000000006E-3</v>
      </c>
      <c r="H354" s="93">
        <f>1.38465/100000</f>
        <v>1.3846499999999999E-5</v>
      </c>
      <c r="I354" s="93">
        <f>-9.62579/1000000000</f>
        <v>-9.6257900000000005E-9</v>
      </c>
      <c r="J354" s="93">
        <f>2.51971/1000000000000</f>
        <v>2.51971E-12</v>
      </c>
      <c r="K354" s="93">
        <v>710.84608600000001</v>
      </c>
      <c r="L354" s="93">
        <v>0</v>
      </c>
      <c r="M354" s="93">
        <f>IFERROR(VLOOKUP(C354,'ASME PTC 22'!D7:E28,2,FALSE),"0")</f>
        <v>28.013400000000001</v>
      </c>
      <c r="N354" s="11"/>
      <c r="O354" s="11"/>
      <c r="P354" s="11"/>
      <c r="Q354" s="11"/>
      <c r="R354" s="11"/>
      <c r="S354" s="11"/>
    </row>
    <row r="355" spans="1:19" x14ac:dyDescent="0.3">
      <c r="A355" s="11"/>
      <c r="B355" s="11"/>
      <c r="C355" s="45" t="s">
        <v>52</v>
      </c>
      <c r="D355" s="93">
        <v>-34255.6342</v>
      </c>
      <c r="E355" s="93">
        <v>484.70009700000003</v>
      </c>
      <c r="F355" s="93">
        <v>1.11901096</v>
      </c>
      <c r="G355" s="93">
        <v>4.2938890000000004E-3</v>
      </c>
      <c r="H355" s="93">
        <f>-6.8363/10000000</f>
        <v>-6.8362999999999999E-7</v>
      </c>
      <c r="I355" s="93">
        <f>-2.02337/1000000000</f>
        <v>-2.0233699999999998E-9</v>
      </c>
      <c r="J355" s="93">
        <f>1.03904/1000000000000</f>
        <v>1.03904E-12</v>
      </c>
      <c r="K355" s="93">
        <v>-3391.4549000000002</v>
      </c>
      <c r="L355" s="93">
        <v>0</v>
      </c>
      <c r="M355" s="93">
        <f>IFERROR(VLOOKUP(C355,'ASME PTC 22'!D8:E29,2,FALSE),"0")</f>
        <v>31.998799999999999</v>
      </c>
      <c r="N355" s="11"/>
      <c r="O355" s="11"/>
      <c r="P355" s="11"/>
      <c r="Q355" s="11"/>
      <c r="R355" s="11"/>
      <c r="S355" s="11"/>
    </row>
    <row r="356" spans="1:19" s="39" customFormat="1" x14ac:dyDescent="0.3">
      <c r="A356" s="123"/>
      <c r="B356" s="10"/>
      <c r="C356" s="45" t="s">
        <v>31</v>
      </c>
      <c r="D356" s="93">
        <v>49436.505400000002</v>
      </c>
      <c r="E356" s="93">
        <v>-626.41160100000002</v>
      </c>
      <c r="F356" s="93">
        <v>5.3017252399999997</v>
      </c>
      <c r="G356" s="93">
        <v>2.503814E-3</v>
      </c>
      <c r="H356" s="93">
        <f>-2.1273/10000000</f>
        <v>-2.1273E-7</v>
      </c>
      <c r="I356" s="94">
        <f>-7.68999/10000000000</f>
        <v>-7.6899900000000002E-10</v>
      </c>
      <c r="J356" s="93">
        <f>2.84968/10000000000000</f>
        <v>2.84968E-13</v>
      </c>
      <c r="K356" s="93">
        <v>-45281.984600000003</v>
      </c>
      <c r="L356" s="93">
        <v>-393510</v>
      </c>
      <c r="M356" s="93">
        <f>IFERROR(VLOOKUP(C356,'ASME PTC 22'!D9:E30,2,FALSE),"0")</f>
        <v>44.009500000000003</v>
      </c>
      <c r="N356" s="10"/>
      <c r="O356" s="10"/>
      <c r="P356" s="10"/>
      <c r="Q356" s="10"/>
      <c r="R356" s="10"/>
      <c r="S356" s="123"/>
    </row>
    <row r="357" spans="1:19" x14ac:dyDescent="0.3">
      <c r="A357" s="11"/>
      <c r="B357" s="11"/>
      <c r="C357" s="45" t="s">
        <v>53</v>
      </c>
      <c r="D357" s="93">
        <v>-39479.6083</v>
      </c>
      <c r="E357" s="93">
        <v>575.57310199999995</v>
      </c>
      <c r="F357" s="93">
        <v>0.93178265299999996</v>
      </c>
      <c r="G357" s="93">
        <v>7.2227130000000004E-3</v>
      </c>
      <c r="H357" s="93">
        <f>-7.34256/1000000</f>
        <v>-7.3425599999999995E-6</v>
      </c>
      <c r="I357" s="93">
        <f>4.95504/1000000000</f>
        <v>4.9550400000000007E-9</v>
      </c>
      <c r="J357" s="93">
        <f>-1.33693/1000000000000</f>
        <v>-1.33693E-12</v>
      </c>
      <c r="K357" s="93">
        <v>-33039.7431</v>
      </c>
      <c r="L357" s="93">
        <v>-241826</v>
      </c>
      <c r="M357" s="93">
        <f>IFERROR(VLOOKUP(C357,'ASME PTC 22'!D10:E31,2,FALSE),"0")</f>
        <v>18.015280000000001</v>
      </c>
      <c r="N357" s="11"/>
      <c r="O357" s="11"/>
      <c r="P357" s="11"/>
      <c r="Q357" s="11"/>
      <c r="R357" s="11"/>
      <c r="S357" s="11"/>
    </row>
    <row r="358" spans="1:19" x14ac:dyDescent="0.3">
      <c r="A358" s="11"/>
      <c r="B358" s="11"/>
      <c r="C358" s="45" t="s">
        <v>55</v>
      </c>
      <c r="D358" s="93">
        <v>0</v>
      </c>
      <c r="E358" s="93">
        <v>0</v>
      </c>
      <c r="F358" s="93">
        <v>2.5</v>
      </c>
      <c r="G358" s="93">
        <v>0</v>
      </c>
      <c r="H358" s="93">
        <v>0</v>
      </c>
      <c r="I358" s="93">
        <v>0</v>
      </c>
      <c r="J358" s="93">
        <v>0</v>
      </c>
      <c r="K358" s="93">
        <v>-745.375</v>
      </c>
      <c r="L358" s="93">
        <v>0</v>
      </c>
      <c r="M358" s="93">
        <f>IFERROR(VLOOKUP(C358,'ASME PTC 22'!D11:E32,2,FALSE),"0")</f>
        <v>39.948</v>
      </c>
      <c r="N358" s="11"/>
      <c r="O358" s="11"/>
      <c r="P358" s="11"/>
      <c r="Q358" s="11"/>
      <c r="R358" s="11"/>
      <c r="S358" s="11"/>
    </row>
    <row r="359" spans="1:19" x14ac:dyDescent="0.3">
      <c r="A359" s="11"/>
      <c r="B359" s="11"/>
      <c r="C359" s="45" t="s">
        <v>166</v>
      </c>
      <c r="D359" s="93">
        <v>-53108.421399999999</v>
      </c>
      <c r="E359" s="93">
        <v>909.03116699999998</v>
      </c>
      <c r="F359" s="93">
        <v>-2.3568912439999998</v>
      </c>
      <c r="G359" s="95">
        <v>2.2044500000000002E-2</v>
      </c>
      <c r="H359" s="94">
        <f>-2.51078/100000</f>
        <v>-2.51078E-5</v>
      </c>
      <c r="I359" s="93">
        <f>1.4463/100000000</f>
        <v>1.4462999999999999E-8</v>
      </c>
      <c r="J359" s="93">
        <f>-3.36907/1000000000000</f>
        <v>-3.3690699999999999E-12</v>
      </c>
      <c r="K359" s="93">
        <v>-41137.521200000003</v>
      </c>
      <c r="L359" s="93">
        <v>-296810</v>
      </c>
      <c r="M359" s="93">
        <v>64.063800000000001</v>
      </c>
      <c r="N359" s="11"/>
      <c r="O359" s="11"/>
      <c r="P359" s="11"/>
      <c r="Q359" s="11"/>
      <c r="R359" s="11"/>
      <c r="S359" s="11"/>
    </row>
    <row r="360" spans="1:19" x14ac:dyDescent="0.3">
      <c r="A360" s="11"/>
      <c r="B360" s="11"/>
      <c r="C360" s="11"/>
      <c r="D360" s="18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:19" x14ac:dyDescent="0.3">
      <c r="A361" s="11"/>
      <c r="B361" s="11"/>
      <c r="C361" s="11"/>
      <c r="D361" s="18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:19" x14ac:dyDescent="0.3">
      <c r="A362" s="11"/>
      <c r="B362" s="11"/>
      <c r="C362" s="62" t="s">
        <v>323</v>
      </c>
      <c r="D362" s="18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:19" x14ac:dyDescent="0.25">
      <c r="A363" s="11"/>
      <c r="B363" s="11"/>
      <c r="C363" s="11"/>
      <c r="D363" s="18"/>
      <c r="E363" s="11"/>
      <c r="F363" s="11"/>
      <c r="G363" s="8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:19" x14ac:dyDescent="0.3">
      <c r="A364" s="11"/>
      <c r="B364" s="11"/>
      <c r="C364" s="11" t="s">
        <v>13</v>
      </c>
      <c r="D364" s="57">
        <f>G133</f>
        <v>80.599999999999994</v>
      </c>
      <c r="E364" s="11" t="s">
        <v>252</v>
      </c>
      <c r="F364" s="11"/>
      <c r="G364" s="11"/>
      <c r="H364" s="11" t="s">
        <v>285</v>
      </c>
      <c r="I364" s="57">
        <f>D140</f>
        <v>80</v>
      </c>
      <c r="J364" s="11" t="s">
        <v>252</v>
      </c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:19" x14ac:dyDescent="0.3">
      <c r="A365" s="11"/>
      <c r="B365" s="11"/>
      <c r="C365" s="11"/>
      <c r="D365" s="57">
        <f>((D364-32)*(5/9))+273.15</f>
        <v>300.14999999999998</v>
      </c>
      <c r="E365" s="11" t="s">
        <v>35</v>
      </c>
      <c r="F365" s="11"/>
      <c r="G365" s="11"/>
      <c r="H365" s="11"/>
      <c r="I365" s="57">
        <f>((I364-32)*(5/9))+273.15</f>
        <v>299.81666666666666</v>
      </c>
      <c r="J365" s="11" t="s">
        <v>35</v>
      </c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:19" x14ac:dyDescent="0.3">
      <c r="A366" s="11"/>
      <c r="B366" s="11"/>
      <c r="C366" s="11"/>
      <c r="D366" s="76">
        <f>D364+459.67</f>
        <v>540.27</v>
      </c>
      <c r="E366" s="11" t="s">
        <v>328</v>
      </c>
      <c r="F366" s="11"/>
      <c r="G366" s="11"/>
      <c r="H366" s="11"/>
      <c r="I366" s="76">
        <f>I364+459.67</f>
        <v>539.67000000000007</v>
      </c>
      <c r="J366" s="11" t="s">
        <v>328</v>
      </c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:19" x14ac:dyDescent="0.3">
      <c r="A367" s="11"/>
      <c r="B367" s="11"/>
      <c r="C367" s="11"/>
      <c r="D367" s="18"/>
      <c r="E367" s="11"/>
      <c r="F367" s="11"/>
      <c r="G367" s="11"/>
      <c r="H367" s="11"/>
      <c r="I367" s="18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:19" s="38" customFormat="1" ht="28.5" customHeight="1" x14ac:dyDescent="0.3">
      <c r="A368" s="122"/>
      <c r="B368" s="63"/>
      <c r="C368" s="96" t="s">
        <v>15</v>
      </c>
      <c r="D368" s="96" t="s">
        <v>109</v>
      </c>
      <c r="E368" s="63" t="s">
        <v>324</v>
      </c>
      <c r="F368" s="63" t="s">
        <v>325</v>
      </c>
      <c r="G368" s="63" t="s">
        <v>326</v>
      </c>
      <c r="H368" s="96" t="s">
        <v>15</v>
      </c>
      <c r="I368" s="96" t="s">
        <v>109</v>
      </c>
      <c r="J368" s="63" t="s">
        <v>324</v>
      </c>
      <c r="K368" s="63" t="s">
        <v>325</v>
      </c>
      <c r="L368" s="63" t="s">
        <v>326</v>
      </c>
      <c r="M368" s="63"/>
      <c r="N368" s="63"/>
      <c r="O368" s="63"/>
      <c r="P368" s="63"/>
      <c r="Q368" s="63"/>
      <c r="R368" s="63"/>
      <c r="S368" s="122"/>
    </row>
    <row r="369" spans="1:19" x14ac:dyDescent="0.3">
      <c r="A369" s="11"/>
      <c r="B369" s="11"/>
      <c r="C369" s="82" t="s">
        <v>21</v>
      </c>
      <c r="D369" s="83" t="s">
        <v>3</v>
      </c>
      <c r="E369" s="69">
        <f t="shared" ref="E369:E371" si="45">IFERROR(VLOOKUP(D369,D395:H412,5,FALSE),"0")</f>
        <v>0.82974618478311823</v>
      </c>
      <c r="F369" s="77">
        <f t="shared" ref="F369:F385" si="46">((((((-E58/$D$365)+(F58*(LN($D$365)))+(G58*$D$365)+(H58*(($D$365^2)/2))+(I58*(($D$365^3)/3))+(J58*(($D$365^4)/4))+(K58*(($D$365^5)/5))+L58)*8.31451-M58)/N58)/2.326))</f>
        <v>1.9150623605460944</v>
      </c>
      <c r="G369" s="69">
        <f>E369*F369</f>
        <v>1.5890156872848742</v>
      </c>
      <c r="H369" s="82" t="s">
        <v>21</v>
      </c>
      <c r="I369" s="83" t="s">
        <v>3</v>
      </c>
      <c r="J369" s="69">
        <f t="shared" ref="J369:J371" si="47">IFERROR(VLOOKUP(I369,D395:H412,5,FALSE),"0")</f>
        <v>0.82974618478311823</v>
      </c>
      <c r="K369" s="69">
        <f t="shared" ref="K369:K385" si="48">((((((-E58/$I$365)+(F58*(LN($I$365)))+(G58*$I$365)+(H58*(($I$365^2)/2))+(I58*(($I$365^3)/3))+(J58*(($I$365^4)/4))+(K58*(($I$365^5)/5))+L58)*8.31451-M58)/N58)/2.326))</f>
        <v>1.5956188798223996</v>
      </c>
      <c r="L369" s="69">
        <f>J369*K369</f>
        <v>1.323958677900549</v>
      </c>
      <c r="M369" s="11"/>
      <c r="N369" s="11"/>
      <c r="O369" s="11"/>
      <c r="P369" s="11"/>
      <c r="Q369" s="11"/>
      <c r="R369" s="11"/>
      <c r="S369" s="11"/>
    </row>
    <row r="370" spans="1:19" x14ac:dyDescent="0.3">
      <c r="A370" s="11"/>
      <c r="B370" s="11"/>
      <c r="C370" s="82" t="s">
        <v>22</v>
      </c>
      <c r="D370" s="83" t="s">
        <v>4</v>
      </c>
      <c r="E370" s="69">
        <f t="shared" si="45"/>
        <v>0.11161975407721547</v>
      </c>
      <c r="F370" s="77">
        <f t="shared" si="46"/>
        <v>1.5048165601955374</v>
      </c>
      <c r="G370" s="69">
        <f t="shared" ref="G370:G385" si="49">E370*F370</f>
        <v>0.16796725438034721</v>
      </c>
      <c r="H370" s="82" t="s">
        <v>22</v>
      </c>
      <c r="I370" s="83" t="s">
        <v>4</v>
      </c>
      <c r="J370" s="69">
        <f t="shared" si="47"/>
        <v>0.11161975407721547</v>
      </c>
      <c r="K370" s="69">
        <f t="shared" si="48"/>
        <v>1.2535391199103878</v>
      </c>
      <c r="L370" s="69">
        <f t="shared" ref="L370:L385" si="50">J370*K370</f>
        <v>0.13991972829056659</v>
      </c>
      <c r="M370" s="11"/>
      <c r="N370" s="11"/>
      <c r="O370" s="11"/>
      <c r="P370" s="11"/>
      <c r="Q370" s="11"/>
      <c r="R370" s="11"/>
      <c r="S370" s="11"/>
    </row>
    <row r="371" spans="1:19" x14ac:dyDescent="0.3">
      <c r="A371" s="11"/>
      <c r="B371" s="11"/>
      <c r="C371" s="82" t="s">
        <v>23</v>
      </c>
      <c r="D371" s="83" t="s">
        <v>5</v>
      </c>
      <c r="E371" s="69">
        <f t="shared" si="45"/>
        <v>2.756112741315803E-2</v>
      </c>
      <c r="F371" s="77">
        <f t="shared" si="46"/>
        <v>1.438686110246564</v>
      </c>
      <c r="G371" s="69">
        <f t="shared" si="49"/>
        <v>3.965181119204627E-2</v>
      </c>
      <c r="H371" s="82" t="s">
        <v>23</v>
      </c>
      <c r="I371" s="83" t="s">
        <v>5</v>
      </c>
      <c r="J371" s="69">
        <f t="shared" si="47"/>
        <v>2.756112741315803E-2</v>
      </c>
      <c r="K371" s="69">
        <f t="shared" si="48"/>
        <v>1.19834667104402</v>
      </c>
      <c r="L371" s="69">
        <f t="shared" si="50"/>
        <v>3.3027785285778009E-2</v>
      </c>
      <c r="M371" s="11"/>
      <c r="N371" s="11"/>
      <c r="O371" s="11"/>
      <c r="P371" s="11"/>
      <c r="Q371" s="11"/>
      <c r="R371" s="11"/>
      <c r="S371" s="11"/>
    </row>
    <row r="372" spans="1:19" x14ac:dyDescent="0.3">
      <c r="A372" s="11"/>
      <c r="B372" s="11"/>
      <c r="C372" s="82" t="s">
        <v>24</v>
      </c>
      <c r="D372" s="83" t="s">
        <v>6</v>
      </c>
      <c r="E372" s="69">
        <f t="shared" ref="E372:E385" si="51">IFERROR(VLOOKUP(D372,D398:H416,5,FALSE),"0")</f>
        <v>2.6750746371465494E-3</v>
      </c>
      <c r="F372" s="77">
        <f t="shared" si="46"/>
        <v>1.4334603873748368</v>
      </c>
      <c r="G372" s="69">
        <f t="shared" si="49"/>
        <v>3.8346135256206938E-3</v>
      </c>
      <c r="H372" s="82" t="s">
        <v>24</v>
      </c>
      <c r="I372" s="83" t="s">
        <v>6</v>
      </c>
      <c r="J372" s="69">
        <f t="shared" ref="J372:J385" si="52">IFERROR(VLOOKUP(I372,D398:H416,5,FALSE),"0")</f>
        <v>2.6750746371465494E-3</v>
      </c>
      <c r="K372" s="69">
        <f t="shared" si="48"/>
        <v>1.1939416529889506</v>
      </c>
      <c r="L372" s="69">
        <f t="shared" si="50"/>
        <v>3.1938830341435684E-3</v>
      </c>
      <c r="M372" s="11"/>
      <c r="N372" s="11"/>
      <c r="O372" s="11"/>
      <c r="P372" s="11"/>
      <c r="Q372" s="11"/>
      <c r="R372" s="11"/>
      <c r="S372" s="11"/>
    </row>
    <row r="373" spans="1:19" x14ac:dyDescent="0.3">
      <c r="A373" s="11"/>
      <c r="B373" s="11"/>
      <c r="C373" s="82" t="s">
        <v>25</v>
      </c>
      <c r="D373" s="83" t="s">
        <v>7</v>
      </c>
      <c r="E373" s="69">
        <f t="shared" si="51"/>
        <v>2.6420490243422709E-3</v>
      </c>
      <c r="F373" s="77">
        <f t="shared" si="46"/>
        <v>1.4633322605466119</v>
      </c>
      <c r="G373" s="69">
        <f t="shared" si="49"/>
        <v>3.8661955712657459E-3</v>
      </c>
      <c r="H373" s="82" t="s">
        <v>25</v>
      </c>
      <c r="I373" s="83" t="s">
        <v>7</v>
      </c>
      <c r="J373" s="69">
        <f t="shared" si="52"/>
        <v>2.6420490243422709E-3</v>
      </c>
      <c r="K373" s="69">
        <f t="shared" si="48"/>
        <v>1.2189283763452006</v>
      </c>
      <c r="L373" s="69">
        <f t="shared" si="50"/>
        <v>3.2204685274659457E-3</v>
      </c>
      <c r="M373" s="11"/>
      <c r="N373" s="11"/>
      <c r="O373" s="11"/>
      <c r="P373" s="11"/>
      <c r="Q373" s="11"/>
      <c r="R373" s="11"/>
      <c r="S373" s="11"/>
    </row>
    <row r="374" spans="1:19" x14ac:dyDescent="0.3">
      <c r="A374" s="11"/>
      <c r="B374" s="11"/>
      <c r="C374" s="82" t="s">
        <v>26</v>
      </c>
      <c r="D374" s="83" t="s">
        <v>8</v>
      </c>
      <c r="E374" s="69">
        <f t="shared" si="51"/>
        <v>1.1068826912898812E-3</v>
      </c>
      <c r="F374" s="77">
        <f t="shared" si="46"/>
        <v>1.4206786912042337</v>
      </c>
      <c r="G374" s="69">
        <f t="shared" si="49"/>
        <v>1.5725246531783283E-3</v>
      </c>
      <c r="H374" s="82" t="s">
        <v>26</v>
      </c>
      <c r="I374" s="83" t="s">
        <v>8</v>
      </c>
      <c r="J374" s="69">
        <f t="shared" si="52"/>
        <v>1.1068826912898812E-3</v>
      </c>
      <c r="K374" s="69">
        <f t="shared" si="48"/>
        <v>1.1833325101894732</v>
      </c>
      <c r="L374" s="69">
        <f t="shared" si="50"/>
        <v>1.3098102735693349E-3</v>
      </c>
      <c r="M374" s="11"/>
      <c r="N374" s="11"/>
      <c r="O374" s="11"/>
      <c r="P374" s="11"/>
      <c r="Q374" s="11"/>
      <c r="R374" s="11"/>
      <c r="S374" s="11"/>
    </row>
    <row r="375" spans="1:19" x14ac:dyDescent="0.3">
      <c r="A375" s="11"/>
      <c r="B375" s="11"/>
      <c r="C375" s="82" t="s">
        <v>27</v>
      </c>
      <c r="D375" s="83" t="s">
        <v>9</v>
      </c>
      <c r="E375" s="69">
        <f t="shared" si="51"/>
        <v>9.0190441512508831E-4</v>
      </c>
      <c r="F375" s="77">
        <f t="shared" si="46"/>
        <v>1.4341206273868088</v>
      </c>
      <c r="G375" s="69">
        <f t="shared" si="49"/>
        <v>1.2934397256621245E-3</v>
      </c>
      <c r="H375" s="82" t="s">
        <v>27</v>
      </c>
      <c r="I375" s="83" t="s">
        <v>9</v>
      </c>
      <c r="J375" s="69">
        <f t="shared" si="52"/>
        <v>9.0190441512508831E-4</v>
      </c>
      <c r="K375" s="69">
        <f t="shared" si="48"/>
        <v>1.1945545866026708</v>
      </c>
      <c r="L375" s="69">
        <f t="shared" si="50"/>
        <v>1.0773740557648735E-3</v>
      </c>
      <c r="M375" s="11"/>
      <c r="N375" s="11"/>
      <c r="O375" s="11"/>
      <c r="P375" s="11"/>
      <c r="Q375" s="11"/>
      <c r="R375" s="11"/>
      <c r="S375" s="11"/>
    </row>
    <row r="376" spans="1:19" x14ac:dyDescent="0.3">
      <c r="A376" s="11"/>
      <c r="B376" s="11"/>
      <c r="C376" s="82" t="s">
        <v>28</v>
      </c>
      <c r="D376" s="83" t="s">
        <v>10</v>
      </c>
      <c r="E376" s="69">
        <f t="shared" si="51"/>
        <v>0</v>
      </c>
      <c r="F376" s="77">
        <f t="shared" si="46"/>
        <v>1.4266318017418518</v>
      </c>
      <c r="G376" s="69">
        <f t="shared" si="49"/>
        <v>0</v>
      </c>
      <c r="H376" s="82" t="s">
        <v>28</v>
      </c>
      <c r="I376" s="83" t="s">
        <v>10</v>
      </c>
      <c r="J376" s="69">
        <f t="shared" si="52"/>
        <v>0</v>
      </c>
      <c r="K376" s="69">
        <f t="shared" si="48"/>
        <v>1.1883692148125624</v>
      </c>
      <c r="L376" s="69">
        <f t="shared" si="50"/>
        <v>0</v>
      </c>
      <c r="M376" s="11"/>
      <c r="N376" s="11"/>
      <c r="O376" s="11"/>
      <c r="P376" s="11"/>
      <c r="Q376" s="11"/>
      <c r="R376" s="11"/>
      <c r="S376" s="11"/>
    </row>
    <row r="377" spans="1:19" x14ac:dyDescent="0.3">
      <c r="A377" s="11"/>
      <c r="B377" s="11"/>
      <c r="C377" s="82" t="s">
        <v>30</v>
      </c>
      <c r="D377" s="83" t="s">
        <v>19</v>
      </c>
      <c r="E377" s="69">
        <f t="shared" si="51"/>
        <v>7.9428289218913713E-3</v>
      </c>
      <c r="F377" s="77">
        <f t="shared" si="46"/>
        <v>0.89400610826037541</v>
      </c>
      <c r="G377" s="69">
        <f t="shared" si="49"/>
        <v>7.1009375730380579E-3</v>
      </c>
      <c r="H377" s="82" t="s">
        <v>30</v>
      </c>
      <c r="I377" s="83" t="s">
        <v>19</v>
      </c>
      <c r="J377" s="69">
        <f t="shared" si="52"/>
        <v>7.9428289218913713E-3</v>
      </c>
      <c r="K377" s="69">
        <f t="shared" si="48"/>
        <v>0.74501090172834317</v>
      </c>
      <c r="L377" s="69">
        <f t="shared" si="50"/>
        <v>5.9174941373722539E-3</v>
      </c>
      <c r="M377" s="11"/>
      <c r="N377" s="11"/>
      <c r="O377" s="11"/>
      <c r="P377" s="11"/>
      <c r="Q377" s="11"/>
      <c r="R377" s="11"/>
      <c r="S377" s="11"/>
    </row>
    <row r="378" spans="1:19" x14ac:dyDescent="0.3">
      <c r="A378" s="11"/>
      <c r="B378" s="11"/>
      <c r="C378" s="82" t="s">
        <v>63</v>
      </c>
      <c r="D378" s="83" t="s">
        <v>39</v>
      </c>
      <c r="E378" s="69">
        <f t="shared" si="51"/>
        <v>0</v>
      </c>
      <c r="F378" s="77">
        <f t="shared" si="46"/>
        <v>0.89455157247609474</v>
      </c>
      <c r="G378" s="69">
        <f t="shared" si="49"/>
        <v>0</v>
      </c>
      <c r="H378" s="82" t="s">
        <v>63</v>
      </c>
      <c r="I378" s="83" t="s">
        <v>39</v>
      </c>
      <c r="J378" s="69">
        <f t="shared" si="52"/>
        <v>0</v>
      </c>
      <c r="K378" s="69">
        <f t="shared" si="48"/>
        <v>0.74544883195784939</v>
      </c>
      <c r="L378" s="69">
        <f t="shared" si="50"/>
        <v>0</v>
      </c>
      <c r="M378" s="11"/>
      <c r="N378" s="11"/>
      <c r="O378" s="11"/>
      <c r="P378" s="11"/>
      <c r="Q378" s="11"/>
      <c r="R378" s="11"/>
      <c r="S378" s="11"/>
    </row>
    <row r="379" spans="1:19" x14ac:dyDescent="0.3">
      <c r="A379" s="11"/>
      <c r="B379" s="11"/>
      <c r="C379" s="82" t="s">
        <v>31</v>
      </c>
      <c r="D379" s="83" t="s">
        <v>11</v>
      </c>
      <c r="E379" s="69">
        <f t="shared" si="51"/>
        <v>1.5804194036713171E-2</v>
      </c>
      <c r="F379" s="77">
        <f t="shared" si="46"/>
        <v>0.72643766853891456</v>
      </c>
      <c r="G379" s="69">
        <f t="shared" si="49"/>
        <v>1.1480761869166533E-2</v>
      </c>
      <c r="H379" s="82" t="s">
        <v>31</v>
      </c>
      <c r="I379" s="83" t="s">
        <v>11</v>
      </c>
      <c r="J379" s="69">
        <f t="shared" si="52"/>
        <v>1.5804194036713171E-2</v>
      </c>
      <c r="K379" s="69">
        <f t="shared" si="48"/>
        <v>0.60524080549523485</v>
      </c>
      <c r="L379" s="69">
        <f t="shared" si="50"/>
        <v>9.5653431289832672E-3</v>
      </c>
      <c r="M379" s="11"/>
      <c r="N379" s="11"/>
      <c r="O379" s="11"/>
      <c r="P379" s="11"/>
      <c r="Q379" s="11"/>
      <c r="R379" s="11"/>
      <c r="S379" s="11"/>
    </row>
    <row r="380" spans="1:19" x14ac:dyDescent="0.3">
      <c r="A380" s="11"/>
      <c r="B380" s="11"/>
      <c r="C380" s="82" t="s">
        <v>53</v>
      </c>
      <c r="D380" s="83" t="s">
        <v>44</v>
      </c>
      <c r="E380" s="69">
        <f t="shared" si="51"/>
        <v>0</v>
      </c>
      <c r="F380" s="77">
        <f t="shared" si="46"/>
        <v>1.603295169287503</v>
      </c>
      <c r="G380" s="69">
        <f t="shared" si="49"/>
        <v>0</v>
      </c>
      <c r="H380" s="82" t="s">
        <v>53</v>
      </c>
      <c r="I380" s="83" t="s">
        <v>44</v>
      </c>
      <c r="J380" s="69">
        <f t="shared" si="52"/>
        <v>0</v>
      </c>
      <c r="K380" s="69">
        <f t="shared" si="48"/>
        <v>1.3360476786246689</v>
      </c>
      <c r="L380" s="69">
        <f t="shared" si="50"/>
        <v>0</v>
      </c>
      <c r="M380" s="11"/>
      <c r="N380" s="11"/>
      <c r="O380" s="11"/>
      <c r="P380" s="11"/>
      <c r="Q380" s="11"/>
      <c r="R380" s="11"/>
      <c r="S380" s="11"/>
    </row>
    <row r="381" spans="1:19" x14ac:dyDescent="0.3">
      <c r="A381" s="11"/>
      <c r="B381" s="11"/>
      <c r="C381" s="82" t="s">
        <v>50</v>
      </c>
      <c r="D381" s="83" t="s">
        <v>228</v>
      </c>
      <c r="E381" s="69">
        <f t="shared" si="51"/>
        <v>0</v>
      </c>
      <c r="F381" s="77">
        <f t="shared" si="46"/>
        <v>0.86453823303594746</v>
      </c>
      <c r="G381" s="69">
        <f t="shared" si="49"/>
        <v>0</v>
      </c>
      <c r="H381" s="82" t="s">
        <v>50</v>
      </c>
      <c r="I381" s="83" t="s">
        <v>228</v>
      </c>
      <c r="J381" s="69">
        <f t="shared" si="52"/>
        <v>0</v>
      </c>
      <c r="K381" s="69">
        <f t="shared" si="48"/>
        <v>0.72040667085658272</v>
      </c>
      <c r="L381" s="69">
        <f t="shared" si="50"/>
        <v>0</v>
      </c>
      <c r="M381" s="11"/>
      <c r="N381" s="11"/>
      <c r="O381" s="11"/>
      <c r="P381" s="11"/>
      <c r="Q381" s="11"/>
      <c r="R381" s="11"/>
      <c r="S381" s="11"/>
    </row>
    <row r="382" spans="1:19" x14ac:dyDescent="0.3">
      <c r="A382" s="11"/>
      <c r="B382" s="11"/>
      <c r="C382" s="82" t="s">
        <v>51</v>
      </c>
      <c r="D382" s="83" t="s">
        <v>42</v>
      </c>
      <c r="E382" s="69">
        <f t="shared" si="51"/>
        <v>0</v>
      </c>
      <c r="F382" s="77">
        <f t="shared" si="46"/>
        <v>0.72774764614997156</v>
      </c>
      <c r="G382" s="69">
        <f t="shared" si="49"/>
        <v>0</v>
      </c>
      <c r="H382" s="82" t="s">
        <v>51</v>
      </c>
      <c r="I382" s="83" t="s">
        <v>42</v>
      </c>
      <c r="J382" s="69">
        <f t="shared" si="52"/>
        <v>0</v>
      </c>
      <c r="K382" s="69">
        <f t="shared" si="48"/>
        <v>0.60643962746455504</v>
      </c>
      <c r="L382" s="69">
        <f t="shared" si="50"/>
        <v>0</v>
      </c>
      <c r="M382" s="11"/>
      <c r="N382" s="11"/>
      <c r="O382" s="11"/>
      <c r="P382" s="11"/>
      <c r="Q382" s="11"/>
      <c r="R382" s="11"/>
      <c r="S382" s="11"/>
    </row>
    <row r="383" spans="1:19" x14ac:dyDescent="0.3">
      <c r="A383" s="11"/>
      <c r="B383" s="11"/>
      <c r="C383" s="82" t="s">
        <v>54</v>
      </c>
      <c r="D383" s="83" t="s">
        <v>45</v>
      </c>
      <c r="E383" s="69">
        <f t="shared" si="51"/>
        <v>0</v>
      </c>
      <c r="F383" s="77">
        <f t="shared" si="46"/>
        <v>4.4653423683891802</v>
      </c>
      <c r="G383" s="69">
        <f t="shared" si="49"/>
        <v>0</v>
      </c>
      <c r="H383" s="82" t="s">
        <v>54</v>
      </c>
      <c r="I383" s="83" t="s">
        <v>45</v>
      </c>
      <c r="J383" s="69">
        <f t="shared" si="52"/>
        <v>0</v>
      </c>
      <c r="K383" s="69">
        <f t="shared" si="48"/>
        <v>3.7211186403242826</v>
      </c>
      <c r="L383" s="69">
        <f t="shared" si="50"/>
        <v>0</v>
      </c>
      <c r="M383" s="11"/>
      <c r="N383" s="11"/>
      <c r="O383" s="11"/>
      <c r="P383" s="11"/>
      <c r="Q383" s="11"/>
      <c r="R383" s="11"/>
      <c r="S383" s="11"/>
    </row>
    <row r="384" spans="1:19" x14ac:dyDescent="0.3">
      <c r="A384" s="11"/>
      <c r="B384" s="11"/>
      <c r="C384" s="82" t="s">
        <v>52</v>
      </c>
      <c r="D384" s="83" t="s">
        <v>43</v>
      </c>
      <c r="E384" s="69">
        <f t="shared" si="51"/>
        <v>0</v>
      </c>
      <c r="F384" s="77">
        <f t="shared" si="46"/>
        <v>0.7895592874784455</v>
      </c>
      <c r="G384" s="69">
        <f t="shared" si="49"/>
        <v>0</v>
      </c>
      <c r="H384" s="82" t="s">
        <v>52</v>
      </c>
      <c r="I384" s="83" t="s">
        <v>43</v>
      </c>
      <c r="J384" s="69">
        <f t="shared" si="52"/>
        <v>0</v>
      </c>
      <c r="K384" s="69">
        <f t="shared" si="48"/>
        <v>0.65794685342874704</v>
      </c>
      <c r="L384" s="69">
        <f t="shared" si="50"/>
        <v>0</v>
      </c>
      <c r="M384" s="11"/>
      <c r="N384" s="11"/>
      <c r="O384" s="11"/>
      <c r="P384" s="11"/>
      <c r="Q384" s="11"/>
      <c r="R384" s="11"/>
      <c r="S384" s="11"/>
    </row>
    <row r="385" spans="1:19" x14ac:dyDescent="0.3">
      <c r="A385" s="11"/>
      <c r="B385" s="11"/>
      <c r="C385" s="82" t="s">
        <v>55</v>
      </c>
      <c r="D385" s="83" t="s">
        <v>46</v>
      </c>
      <c r="E385" s="69">
        <f t="shared" si="51"/>
        <v>0</v>
      </c>
      <c r="F385" s="77">
        <f t="shared" si="46"/>
        <v>0.44740611203851338</v>
      </c>
      <c r="G385" s="69">
        <f t="shared" si="49"/>
        <v>0</v>
      </c>
      <c r="H385" s="82" t="s">
        <v>55</v>
      </c>
      <c r="I385" s="83" t="s">
        <v>46</v>
      </c>
      <c r="J385" s="69">
        <f t="shared" si="52"/>
        <v>0</v>
      </c>
      <c r="K385" s="69">
        <f t="shared" si="48"/>
        <v>0.37283842669875772</v>
      </c>
      <c r="L385" s="69">
        <f t="shared" si="50"/>
        <v>0</v>
      </c>
      <c r="M385" s="11"/>
      <c r="N385" s="11"/>
      <c r="O385" s="11"/>
      <c r="P385" s="11"/>
      <c r="Q385" s="11"/>
      <c r="R385" s="11"/>
      <c r="S385" s="11"/>
    </row>
    <row r="386" spans="1:19" x14ac:dyDescent="0.3">
      <c r="A386" s="11"/>
      <c r="B386" s="11"/>
      <c r="C386" s="82"/>
      <c r="D386" s="83"/>
      <c r="E386" s="69"/>
      <c r="F386" s="77"/>
      <c r="G386" s="69"/>
      <c r="H386" s="82"/>
      <c r="I386" s="83"/>
      <c r="J386" s="69"/>
      <c r="K386" s="69"/>
      <c r="L386" s="69"/>
      <c r="M386" s="11"/>
      <c r="N386" s="11"/>
      <c r="O386" s="11"/>
      <c r="P386" s="11"/>
      <c r="Q386" s="11"/>
      <c r="R386" s="11"/>
      <c r="S386" s="11"/>
    </row>
    <row r="387" spans="1:19" x14ac:dyDescent="0.3">
      <c r="A387" s="11"/>
      <c r="B387" s="11"/>
      <c r="C387" s="11"/>
      <c r="D387" s="18"/>
      <c r="E387" s="69"/>
      <c r="F387" s="106" t="s">
        <v>327</v>
      </c>
      <c r="G387" s="69">
        <f>SUM(G369:G385)</f>
        <v>1.8257832257751991</v>
      </c>
      <c r="H387" s="11"/>
      <c r="I387" s="18"/>
      <c r="J387" s="69"/>
      <c r="K387" s="106" t="s">
        <v>327</v>
      </c>
      <c r="L387" s="69">
        <f>SUM(L369:L385)</f>
        <v>1.521190564634193</v>
      </c>
      <c r="M387" s="11"/>
      <c r="N387" s="11"/>
      <c r="O387" s="11"/>
      <c r="P387" s="11"/>
      <c r="Q387" s="11"/>
      <c r="R387" s="11"/>
      <c r="S387" s="11"/>
    </row>
    <row r="388" spans="1:19" x14ac:dyDescent="0.3">
      <c r="A388" s="11"/>
      <c r="B388" s="11"/>
      <c r="C388" s="11"/>
      <c r="D388" s="18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:19" x14ac:dyDescent="0.3">
      <c r="A389" s="11"/>
      <c r="B389" s="11"/>
      <c r="C389" s="62" t="s">
        <v>316</v>
      </c>
      <c r="D389" s="18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:19" x14ac:dyDescent="0.3">
      <c r="A390" s="11"/>
      <c r="B390" s="11"/>
      <c r="C390" s="11"/>
      <c r="D390" s="18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:19" x14ac:dyDescent="0.3">
      <c r="A391" s="11"/>
      <c r="B391" s="11"/>
      <c r="C391" s="11" t="s">
        <v>13</v>
      </c>
      <c r="D391" s="57">
        <f>G133</f>
        <v>80.599999999999994</v>
      </c>
      <c r="E391" s="11" t="s">
        <v>252</v>
      </c>
      <c r="F391" s="11" t="s">
        <v>333</v>
      </c>
      <c r="G391" s="11"/>
      <c r="H391" s="71">
        <f>D140</f>
        <v>80</v>
      </c>
      <c r="I391" s="11" t="s">
        <v>252</v>
      </c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:19" x14ac:dyDescent="0.3">
      <c r="A392" s="11"/>
      <c r="B392" s="11"/>
      <c r="C392" s="11"/>
      <c r="D392" s="18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:19" ht="12.75" customHeight="1" x14ac:dyDescent="0.3">
      <c r="A393" s="11"/>
      <c r="B393" s="11"/>
      <c r="C393" s="262" t="s">
        <v>15</v>
      </c>
      <c r="D393" s="262" t="s">
        <v>109</v>
      </c>
      <c r="E393" s="263" t="s">
        <v>317</v>
      </c>
      <c r="F393" s="82" t="s">
        <v>318</v>
      </c>
      <c r="G393" s="82" t="s">
        <v>319</v>
      </c>
      <c r="H393" s="96" t="s">
        <v>320</v>
      </c>
      <c r="I393" s="96" t="s">
        <v>321</v>
      </c>
      <c r="J393" s="82" t="s">
        <v>322</v>
      </c>
      <c r="K393" s="96" t="s">
        <v>321</v>
      </c>
      <c r="L393" s="11"/>
      <c r="M393" s="11"/>
      <c r="N393" s="11"/>
      <c r="O393" s="11"/>
      <c r="P393" s="11"/>
      <c r="Q393" s="11"/>
      <c r="R393" s="11"/>
      <c r="S393" s="11"/>
    </row>
    <row r="394" spans="1:19" x14ac:dyDescent="0.3">
      <c r="A394" s="11"/>
      <c r="B394" s="11"/>
      <c r="C394" s="262"/>
      <c r="D394" s="262"/>
      <c r="E394" s="263"/>
      <c r="F394" s="82"/>
      <c r="G394" s="82"/>
      <c r="H394" s="82"/>
      <c r="I394" s="82"/>
      <c r="J394" s="82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:19" x14ac:dyDescent="0.3">
      <c r="A395" s="11"/>
      <c r="B395" s="11"/>
      <c r="C395" s="82" t="s">
        <v>21</v>
      </c>
      <c r="D395" s="83" t="s">
        <v>3</v>
      </c>
      <c r="E395" s="69">
        <f>E248</f>
        <v>0.91025999999999996</v>
      </c>
      <c r="F395" s="69">
        <f t="shared" ref="F395:F412" si="53">IFERROR(VLOOKUP(D395,gases,3,FALSE),"0")</f>
        <v>16.042459999999998</v>
      </c>
      <c r="G395" s="69">
        <f>E395*F395</f>
        <v>14.602809639599998</v>
      </c>
      <c r="H395" s="69">
        <f>G395/$G$413</f>
        <v>0.82974618478311823</v>
      </c>
      <c r="I395" s="69">
        <f t="shared" ref="I395:I412" si="54">IFERROR(VLOOKUP(D395,gases,6,FALSE),"0")</f>
        <v>21511.9</v>
      </c>
      <c r="J395" s="69">
        <f>H395*I395</f>
        <v>17849.416952435964</v>
      </c>
      <c r="K395" s="69">
        <f t="shared" ref="K395:K412" si="55">IFERROR(VLOOKUP(D395,gases,5,FALSE),"0")</f>
        <v>23892.2</v>
      </c>
      <c r="L395" s="69">
        <f>H395*K395</f>
        <v>19824.461796075218</v>
      </c>
      <c r="M395" s="11"/>
      <c r="N395" s="11"/>
      <c r="O395" s="11"/>
      <c r="P395" s="11"/>
      <c r="Q395" s="11"/>
      <c r="R395" s="11"/>
      <c r="S395" s="11"/>
    </row>
    <row r="396" spans="1:19" x14ac:dyDescent="0.3">
      <c r="A396" s="11"/>
      <c r="B396" s="11"/>
      <c r="C396" s="82" t="s">
        <v>22</v>
      </c>
      <c r="D396" s="83" t="s">
        <v>4</v>
      </c>
      <c r="E396" s="69">
        <f>E249</f>
        <v>6.5329999999999999E-2</v>
      </c>
      <c r="F396" s="69">
        <f t="shared" si="53"/>
        <v>30.069040000000001</v>
      </c>
      <c r="G396" s="69">
        <f>E396*F396</f>
        <v>1.9644103831999999</v>
      </c>
      <c r="H396" s="69">
        <f>G396/$G$413</f>
        <v>0.11161975407721547</v>
      </c>
      <c r="I396" s="69">
        <f t="shared" si="54"/>
        <v>20429.2</v>
      </c>
      <c r="J396" s="69">
        <f t="shared" ref="J396:J412" si="56">H396*I396</f>
        <v>2280.3022799942505</v>
      </c>
      <c r="K396" s="69">
        <f t="shared" si="55"/>
        <v>22334.1</v>
      </c>
      <c r="L396" s="69">
        <f>H396*K396</f>
        <v>2492.9267495359377</v>
      </c>
      <c r="M396" s="11"/>
      <c r="N396" s="11"/>
      <c r="O396" s="11"/>
      <c r="P396" s="11"/>
      <c r="Q396" s="11"/>
      <c r="R396" s="11"/>
      <c r="S396" s="11"/>
    </row>
    <row r="397" spans="1:19" x14ac:dyDescent="0.3">
      <c r="A397" s="11"/>
      <c r="B397" s="11"/>
      <c r="C397" s="82" t="s">
        <v>23</v>
      </c>
      <c r="D397" s="83" t="s">
        <v>5</v>
      </c>
      <c r="E397" s="69">
        <f t="shared" ref="E397:E412" si="57">E250</f>
        <v>1.1000000000000001E-2</v>
      </c>
      <c r="F397" s="69">
        <f t="shared" si="53"/>
        <v>44.095619999999997</v>
      </c>
      <c r="G397" s="69">
        <f t="shared" ref="G397:G412" si="58">E397*F397</f>
        <v>0.48505182000000002</v>
      </c>
      <c r="H397" s="69">
        <f t="shared" ref="H397:H412" si="59">G397/$G$413</f>
        <v>2.756112741315803E-2</v>
      </c>
      <c r="I397" s="69">
        <f t="shared" si="54"/>
        <v>19922.2</v>
      </c>
      <c r="J397" s="69">
        <f t="shared" si="56"/>
        <v>549.0782925504169</v>
      </c>
      <c r="K397" s="69">
        <f t="shared" si="55"/>
        <v>21654.1</v>
      </c>
      <c r="L397" s="69">
        <f t="shared" ref="L397:L412" si="60">H397*K397</f>
        <v>596.81140911726527</v>
      </c>
      <c r="M397" s="11"/>
      <c r="N397" s="11"/>
      <c r="O397" s="11"/>
      <c r="P397" s="11"/>
      <c r="Q397" s="11"/>
      <c r="R397" s="11"/>
      <c r="S397" s="11"/>
    </row>
    <row r="398" spans="1:19" x14ac:dyDescent="0.3">
      <c r="A398" s="11"/>
      <c r="B398" s="11"/>
      <c r="C398" s="82" t="s">
        <v>24</v>
      </c>
      <c r="D398" s="83" t="s">
        <v>6</v>
      </c>
      <c r="E398" s="69">
        <f t="shared" si="57"/>
        <v>8.1000000000000006E-4</v>
      </c>
      <c r="F398" s="69">
        <f t="shared" si="53"/>
        <v>58.122199999999999</v>
      </c>
      <c r="G398" s="69">
        <f t="shared" si="58"/>
        <v>4.7078982000000005E-2</v>
      </c>
      <c r="H398" s="69">
        <f t="shared" si="59"/>
        <v>2.6750746371465494E-3</v>
      </c>
      <c r="I398" s="69">
        <f t="shared" si="54"/>
        <v>19589.8</v>
      </c>
      <c r="J398" s="69">
        <f t="shared" si="56"/>
        <v>52.404177126773469</v>
      </c>
      <c r="K398" s="69">
        <f t="shared" si="55"/>
        <v>21232.3</v>
      </c>
      <c r="L398" s="69">
        <f t="shared" si="60"/>
        <v>56.797987218286679</v>
      </c>
      <c r="M398" s="11"/>
      <c r="N398" s="11"/>
      <c r="O398" s="11"/>
      <c r="P398" s="11"/>
      <c r="Q398" s="11"/>
      <c r="R398" s="11"/>
      <c r="S398" s="11"/>
    </row>
    <row r="399" spans="1:19" x14ac:dyDescent="0.3">
      <c r="A399" s="11"/>
      <c r="B399" s="11"/>
      <c r="C399" s="82" t="s">
        <v>25</v>
      </c>
      <c r="D399" s="83" t="s">
        <v>7</v>
      </c>
      <c r="E399" s="69">
        <f t="shared" si="57"/>
        <v>8.0000000000000004E-4</v>
      </c>
      <c r="F399" s="69">
        <f t="shared" si="53"/>
        <v>58.122199999999999</v>
      </c>
      <c r="G399" s="69">
        <f t="shared" si="58"/>
        <v>4.6497759999999999E-2</v>
      </c>
      <c r="H399" s="69">
        <f t="shared" si="59"/>
        <v>2.6420490243422709E-3</v>
      </c>
      <c r="I399" s="69">
        <f t="shared" si="54"/>
        <v>19657.8</v>
      </c>
      <c r="J399" s="69">
        <f t="shared" si="56"/>
        <v>51.936871310715489</v>
      </c>
      <c r="K399" s="69">
        <f t="shared" si="55"/>
        <v>21300.2</v>
      </c>
      <c r="L399" s="69">
        <f t="shared" si="60"/>
        <v>56.276172628295242</v>
      </c>
      <c r="M399" s="11"/>
      <c r="N399" s="11"/>
      <c r="O399" s="11"/>
      <c r="P399" s="11"/>
      <c r="Q399" s="11"/>
      <c r="R399" s="11"/>
      <c r="S399" s="11"/>
    </row>
    <row r="400" spans="1:19" x14ac:dyDescent="0.3">
      <c r="A400" s="11"/>
      <c r="B400" s="11"/>
      <c r="C400" s="82" t="s">
        <v>26</v>
      </c>
      <c r="D400" s="83" t="s">
        <v>8</v>
      </c>
      <c r="E400" s="69">
        <f t="shared" si="57"/>
        <v>2.7E-4</v>
      </c>
      <c r="F400" s="69">
        <f t="shared" si="53"/>
        <v>72.148780000000002</v>
      </c>
      <c r="G400" s="69">
        <f t="shared" si="58"/>
        <v>1.9480170599999999E-2</v>
      </c>
      <c r="H400" s="69">
        <f t="shared" si="59"/>
        <v>1.1068826912898812E-3</v>
      </c>
      <c r="I400" s="69">
        <f t="shared" si="54"/>
        <v>19455.900000000001</v>
      </c>
      <c r="J400" s="69">
        <f t="shared" si="56"/>
        <v>21.535398953466803</v>
      </c>
      <c r="K400" s="69">
        <f t="shared" si="55"/>
        <v>21043.7</v>
      </c>
      <c r="L400" s="69">
        <f t="shared" si="60"/>
        <v>23.292907290696874</v>
      </c>
      <c r="M400" s="11"/>
      <c r="N400" s="11"/>
      <c r="O400" s="11"/>
      <c r="P400" s="11"/>
      <c r="Q400" s="11"/>
      <c r="R400" s="11"/>
      <c r="S400" s="11"/>
    </row>
    <row r="401" spans="1:19" x14ac:dyDescent="0.3">
      <c r="A401" s="11"/>
      <c r="B401" s="11"/>
      <c r="C401" s="82" t="s">
        <v>27</v>
      </c>
      <c r="D401" s="83" t="s">
        <v>9</v>
      </c>
      <c r="E401" s="69">
        <f t="shared" si="57"/>
        <v>2.1999999999999998E-4</v>
      </c>
      <c r="F401" s="69">
        <f t="shared" si="53"/>
        <v>72.148780000000002</v>
      </c>
      <c r="G401" s="69">
        <f t="shared" si="58"/>
        <v>1.5872731599999999E-2</v>
      </c>
      <c r="H401" s="69">
        <f t="shared" si="59"/>
        <v>9.0190441512508831E-4</v>
      </c>
      <c r="I401" s="69">
        <f t="shared" si="54"/>
        <v>19497.2</v>
      </c>
      <c r="J401" s="69">
        <f t="shared" si="56"/>
        <v>17.584610762576872</v>
      </c>
      <c r="K401" s="69">
        <f t="shared" si="55"/>
        <v>21085</v>
      </c>
      <c r="L401" s="69">
        <f t="shared" si="60"/>
        <v>19.016654592912488</v>
      </c>
      <c r="M401" s="11"/>
      <c r="N401" s="11"/>
      <c r="O401" s="11"/>
      <c r="P401" s="11"/>
      <c r="Q401" s="11"/>
      <c r="R401" s="11"/>
      <c r="S401" s="11"/>
    </row>
    <row r="402" spans="1:19" x14ac:dyDescent="0.3">
      <c r="A402" s="11"/>
      <c r="B402" s="11"/>
      <c r="C402" s="82" t="s">
        <v>28</v>
      </c>
      <c r="D402" s="83" t="s">
        <v>10</v>
      </c>
      <c r="E402" s="69">
        <f t="shared" si="57"/>
        <v>0</v>
      </c>
      <c r="F402" s="69">
        <f t="shared" si="53"/>
        <v>86.175359999999998</v>
      </c>
      <c r="G402" s="69">
        <f t="shared" si="58"/>
        <v>0</v>
      </c>
      <c r="H402" s="69">
        <f t="shared" si="59"/>
        <v>0</v>
      </c>
      <c r="I402" s="69">
        <f t="shared" si="54"/>
        <v>19392.900000000001</v>
      </c>
      <c r="J402" s="69">
        <f t="shared" si="56"/>
        <v>0</v>
      </c>
      <c r="K402" s="69">
        <f t="shared" si="55"/>
        <v>20943.8</v>
      </c>
      <c r="L402" s="69">
        <f t="shared" si="60"/>
        <v>0</v>
      </c>
      <c r="M402" s="11"/>
      <c r="N402" s="11"/>
      <c r="O402" s="11"/>
      <c r="P402" s="11"/>
      <c r="Q402" s="11"/>
      <c r="R402" s="11"/>
      <c r="S402" s="11"/>
    </row>
    <row r="403" spans="1:19" x14ac:dyDescent="0.3">
      <c r="A403" s="11"/>
      <c r="B403" s="11"/>
      <c r="C403" s="82" t="s">
        <v>30</v>
      </c>
      <c r="D403" s="83" t="s">
        <v>19</v>
      </c>
      <c r="E403" s="69">
        <f t="shared" si="57"/>
        <v>4.9899999999999996E-3</v>
      </c>
      <c r="F403" s="69">
        <f t="shared" si="53"/>
        <v>28.013400000000001</v>
      </c>
      <c r="G403" s="69">
        <f t="shared" si="58"/>
        <v>0.13978686599999998</v>
      </c>
      <c r="H403" s="69">
        <f t="shared" si="59"/>
        <v>7.9428289218913713E-3</v>
      </c>
      <c r="I403" s="69">
        <f t="shared" si="54"/>
        <v>0</v>
      </c>
      <c r="J403" s="69">
        <f t="shared" si="56"/>
        <v>0</v>
      </c>
      <c r="K403" s="69">
        <f t="shared" si="55"/>
        <v>0</v>
      </c>
      <c r="L403" s="69">
        <f t="shared" si="60"/>
        <v>0</v>
      </c>
      <c r="M403" s="11"/>
      <c r="N403" s="11"/>
      <c r="O403" s="11"/>
      <c r="P403" s="11"/>
      <c r="Q403" s="11"/>
      <c r="R403" s="11"/>
      <c r="S403" s="11"/>
    </row>
    <row r="404" spans="1:19" x14ac:dyDescent="0.3">
      <c r="A404" s="11"/>
      <c r="B404" s="11"/>
      <c r="C404" s="82" t="s">
        <v>63</v>
      </c>
      <c r="D404" s="83" t="s">
        <v>39</v>
      </c>
      <c r="E404" s="69">
        <f t="shared" si="57"/>
        <v>0</v>
      </c>
      <c r="F404" s="69">
        <f t="shared" si="53"/>
        <v>28.010100000000001</v>
      </c>
      <c r="G404" s="69">
        <f t="shared" si="58"/>
        <v>0</v>
      </c>
      <c r="H404" s="69">
        <f t="shared" si="59"/>
        <v>0</v>
      </c>
      <c r="I404" s="69">
        <f t="shared" si="54"/>
        <v>4342.2</v>
      </c>
      <c r="J404" s="69">
        <f t="shared" si="56"/>
        <v>0</v>
      </c>
      <c r="K404" s="69">
        <f t="shared" si="55"/>
        <v>4342.2</v>
      </c>
      <c r="L404" s="69">
        <f t="shared" si="60"/>
        <v>0</v>
      </c>
      <c r="M404" s="11"/>
      <c r="N404" s="11"/>
      <c r="O404" s="11"/>
      <c r="P404" s="11"/>
      <c r="Q404" s="11"/>
      <c r="R404" s="11"/>
      <c r="S404" s="11"/>
    </row>
    <row r="405" spans="1:19" x14ac:dyDescent="0.3">
      <c r="A405" s="11"/>
      <c r="B405" s="11"/>
      <c r="C405" s="82" t="s">
        <v>31</v>
      </c>
      <c r="D405" s="83" t="s">
        <v>11</v>
      </c>
      <c r="E405" s="69">
        <f t="shared" si="57"/>
        <v>6.3200000000000001E-3</v>
      </c>
      <c r="F405" s="69">
        <f t="shared" si="53"/>
        <v>44.009500000000003</v>
      </c>
      <c r="G405" s="69">
        <f t="shared" si="58"/>
        <v>0.27814004000000003</v>
      </c>
      <c r="H405" s="69">
        <f t="shared" si="59"/>
        <v>1.5804194036713171E-2</v>
      </c>
      <c r="I405" s="69">
        <f t="shared" si="54"/>
        <v>0</v>
      </c>
      <c r="J405" s="69">
        <f t="shared" si="56"/>
        <v>0</v>
      </c>
      <c r="K405" s="69">
        <f t="shared" si="55"/>
        <v>0</v>
      </c>
      <c r="L405" s="69">
        <f t="shared" si="60"/>
        <v>0</v>
      </c>
      <c r="M405" s="11"/>
      <c r="N405" s="11"/>
      <c r="O405" s="11"/>
      <c r="P405" s="11"/>
      <c r="Q405" s="11"/>
      <c r="R405" s="11"/>
      <c r="S405" s="11"/>
    </row>
    <row r="406" spans="1:19" x14ac:dyDescent="0.3">
      <c r="A406" s="11"/>
      <c r="B406" s="11"/>
      <c r="C406" s="82" t="s">
        <v>53</v>
      </c>
      <c r="D406" s="83" t="s">
        <v>44</v>
      </c>
      <c r="E406" s="69">
        <f t="shared" si="57"/>
        <v>0</v>
      </c>
      <c r="F406" s="69">
        <f t="shared" si="53"/>
        <v>18.015280000000001</v>
      </c>
      <c r="G406" s="69">
        <f t="shared" si="58"/>
        <v>0</v>
      </c>
      <c r="H406" s="69">
        <f t="shared" si="59"/>
        <v>0</v>
      </c>
      <c r="I406" s="69">
        <f t="shared" si="54"/>
        <v>0</v>
      </c>
      <c r="J406" s="69">
        <f t="shared" si="56"/>
        <v>0</v>
      </c>
      <c r="K406" s="69">
        <f t="shared" si="55"/>
        <v>1059.8</v>
      </c>
      <c r="L406" s="69">
        <f t="shared" si="60"/>
        <v>0</v>
      </c>
      <c r="M406" s="11"/>
      <c r="N406" s="11"/>
      <c r="O406" s="11"/>
      <c r="P406" s="11"/>
      <c r="Q406" s="11"/>
      <c r="R406" s="11"/>
      <c r="S406" s="11"/>
    </row>
    <row r="407" spans="1:19" x14ac:dyDescent="0.3">
      <c r="A407" s="11"/>
      <c r="B407" s="11"/>
      <c r="C407" s="82" t="s">
        <v>50</v>
      </c>
      <c r="D407" s="83" t="s">
        <v>228</v>
      </c>
      <c r="E407" s="69">
        <f t="shared" si="57"/>
        <v>0</v>
      </c>
      <c r="F407" s="69">
        <f t="shared" si="53"/>
        <v>34.080880000000001</v>
      </c>
      <c r="G407" s="69">
        <f t="shared" si="58"/>
        <v>0</v>
      </c>
      <c r="H407" s="69">
        <f t="shared" si="59"/>
        <v>0</v>
      </c>
      <c r="I407" s="69">
        <f t="shared" si="54"/>
        <v>6533.8</v>
      </c>
      <c r="J407" s="69">
        <f t="shared" si="56"/>
        <v>0</v>
      </c>
      <c r="K407" s="69">
        <f t="shared" si="55"/>
        <v>7094.1</v>
      </c>
      <c r="L407" s="69">
        <f t="shared" si="60"/>
        <v>0</v>
      </c>
      <c r="M407" s="11"/>
      <c r="N407" s="11"/>
      <c r="O407" s="11"/>
      <c r="P407" s="11"/>
      <c r="Q407" s="11"/>
      <c r="R407" s="11"/>
      <c r="S407" s="11"/>
    </row>
    <row r="408" spans="1:19" x14ac:dyDescent="0.3">
      <c r="A408" s="11"/>
      <c r="B408" s="11"/>
      <c r="C408" s="82" t="s">
        <v>51</v>
      </c>
      <c r="D408" s="83" t="s">
        <v>42</v>
      </c>
      <c r="E408" s="69">
        <f t="shared" si="57"/>
        <v>0</v>
      </c>
      <c r="F408" s="69">
        <f t="shared" si="53"/>
        <v>2.0158800000000001</v>
      </c>
      <c r="G408" s="69">
        <f t="shared" si="58"/>
        <v>0</v>
      </c>
      <c r="H408" s="69">
        <f t="shared" si="59"/>
        <v>0</v>
      </c>
      <c r="I408" s="69">
        <f t="shared" si="54"/>
        <v>51566.7</v>
      </c>
      <c r="J408" s="69">
        <f t="shared" si="56"/>
        <v>0</v>
      </c>
      <c r="K408" s="69">
        <f t="shared" si="55"/>
        <v>61022.3</v>
      </c>
      <c r="L408" s="69">
        <f t="shared" si="60"/>
        <v>0</v>
      </c>
      <c r="M408" s="11"/>
      <c r="N408" s="11"/>
      <c r="O408" s="11"/>
      <c r="P408" s="11"/>
      <c r="Q408" s="11"/>
      <c r="R408" s="11"/>
      <c r="S408" s="11"/>
    </row>
    <row r="409" spans="1:19" x14ac:dyDescent="0.3">
      <c r="A409" s="11"/>
      <c r="B409" s="11"/>
      <c r="C409" s="82" t="s">
        <v>54</v>
      </c>
      <c r="D409" s="83" t="s">
        <v>45</v>
      </c>
      <c r="E409" s="69">
        <f t="shared" si="57"/>
        <v>0</v>
      </c>
      <c r="F409" s="69">
        <f t="shared" si="53"/>
        <v>4.0026000000000002</v>
      </c>
      <c r="G409" s="69">
        <f t="shared" si="58"/>
        <v>0</v>
      </c>
      <c r="H409" s="69">
        <f t="shared" si="59"/>
        <v>0</v>
      </c>
      <c r="I409" s="69">
        <f t="shared" si="54"/>
        <v>0</v>
      </c>
      <c r="J409" s="69">
        <f t="shared" si="56"/>
        <v>0</v>
      </c>
      <c r="K409" s="69">
        <f t="shared" si="55"/>
        <v>0</v>
      </c>
      <c r="L409" s="69">
        <f t="shared" si="60"/>
        <v>0</v>
      </c>
      <c r="M409" s="11"/>
      <c r="N409" s="11"/>
      <c r="O409" s="11"/>
      <c r="P409" s="11"/>
      <c r="Q409" s="11"/>
      <c r="R409" s="11"/>
      <c r="S409" s="11"/>
    </row>
    <row r="410" spans="1:19" x14ac:dyDescent="0.3">
      <c r="A410" s="11"/>
      <c r="B410" s="11"/>
      <c r="C410" s="82" t="s">
        <v>52</v>
      </c>
      <c r="D410" s="83" t="s">
        <v>43</v>
      </c>
      <c r="E410" s="69">
        <f t="shared" si="57"/>
        <v>0</v>
      </c>
      <c r="F410" s="69">
        <f t="shared" si="53"/>
        <v>31.998799999999999</v>
      </c>
      <c r="G410" s="69">
        <f t="shared" si="58"/>
        <v>0</v>
      </c>
      <c r="H410" s="69">
        <f t="shared" si="59"/>
        <v>0</v>
      </c>
      <c r="I410" s="69">
        <f t="shared" si="54"/>
        <v>0</v>
      </c>
      <c r="J410" s="69">
        <f t="shared" si="56"/>
        <v>0</v>
      </c>
      <c r="K410" s="69">
        <f t="shared" si="55"/>
        <v>0</v>
      </c>
      <c r="L410" s="69">
        <f t="shared" si="60"/>
        <v>0</v>
      </c>
      <c r="M410" s="11"/>
      <c r="N410" s="11"/>
      <c r="O410" s="11"/>
      <c r="P410" s="11"/>
      <c r="Q410" s="11"/>
      <c r="R410" s="11"/>
      <c r="S410" s="11"/>
    </row>
    <row r="411" spans="1:19" x14ac:dyDescent="0.3">
      <c r="A411" s="11"/>
      <c r="B411" s="11"/>
      <c r="C411" s="82" t="s">
        <v>55</v>
      </c>
      <c r="D411" s="83" t="s">
        <v>46</v>
      </c>
      <c r="E411" s="69">
        <f t="shared" si="57"/>
        <v>0</v>
      </c>
      <c r="F411" s="69">
        <f t="shared" si="53"/>
        <v>39.948</v>
      </c>
      <c r="G411" s="69">
        <f t="shared" si="58"/>
        <v>0</v>
      </c>
      <c r="H411" s="69">
        <f t="shared" si="59"/>
        <v>0</v>
      </c>
      <c r="I411" s="69">
        <f t="shared" si="54"/>
        <v>0</v>
      </c>
      <c r="J411" s="69">
        <f t="shared" si="56"/>
        <v>0</v>
      </c>
      <c r="K411" s="69">
        <f t="shared" si="55"/>
        <v>0</v>
      </c>
      <c r="L411" s="69">
        <f t="shared" si="60"/>
        <v>0</v>
      </c>
      <c r="M411" s="11"/>
      <c r="N411" s="11"/>
      <c r="O411" s="11"/>
      <c r="P411" s="11"/>
      <c r="Q411" s="11"/>
      <c r="R411" s="11"/>
      <c r="S411" s="11"/>
    </row>
    <row r="412" spans="1:19" x14ac:dyDescent="0.3">
      <c r="A412" s="11"/>
      <c r="B412" s="11"/>
      <c r="C412" s="82" t="s">
        <v>29</v>
      </c>
      <c r="D412" s="83" t="s">
        <v>20</v>
      </c>
      <c r="E412" s="69" t="str">
        <f t="shared" si="57"/>
        <v>0</v>
      </c>
      <c r="F412" s="69">
        <f t="shared" si="53"/>
        <v>100.20189999999999</v>
      </c>
      <c r="G412" s="69">
        <f t="shared" si="58"/>
        <v>0</v>
      </c>
      <c r="H412" s="69">
        <f t="shared" si="59"/>
        <v>0</v>
      </c>
      <c r="I412" s="69">
        <f t="shared" si="54"/>
        <v>19314.7</v>
      </c>
      <c r="J412" s="69">
        <f t="shared" si="56"/>
        <v>0</v>
      </c>
      <c r="K412" s="69">
        <f t="shared" si="55"/>
        <v>20839.099999999999</v>
      </c>
      <c r="L412" s="69">
        <f t="shared" si="60"/>
        <v>0</v>
      </c>
      <c r="M412" s="11"/>
      <c r="N412" s="11"/>
      <c r="O412" s="11"/>
      <c r="P412" s="11"/>
      <c r="Q412" s="11"/>
      <c r="R412" s="11"/>
      <c r="S412" s="11"/>
    </row>
    <row r="413" spans="1:19" x14ac:dyDescent="0.3">
      <c r="A413" s="11"/>
      <c r="B413" s="11"/>
      <c r="C413" s="11"/>
      <c r="D413" s="18"/>
      <c r="E413" s="11"/>
      <c r="F413" s="11"/>
      <c r="G413" s="69">
        <f>SUM(G395:G412)</f>
        <v>17.599128392999997</v>
      </c>
      <c r="H413" s="11"/>
      <c r="I413" s="11"/>
      <c r="J413" s="69">
        <f>SUM(J395:J412)</f>
        <v>20822.258583134164</v>
      </c>
      <c r="K413" s="11"/>
      <c r="L413" s="69">
        <f>SUM(L395:L412)</f>
        <v>23069.583676458613</v>
      </c>
      <c r="M413" s="11"/>
      <c r="N413" s="11"/>
      <c r="O413" s="11"/>
      <c r="P413" s="11"/>
      <c r="Q413" s="11"/>
      <c r="R413" s="11"/>
      <c r="S413" s="11"/>
    </row>
    <row r="414" spans="1:19" x14ac:dyDescent="0.3">
      <c r="A414" s="11"/>
      <c r="B414" s="11"/>
      <c r="C414" s="11"/>
      <c r="D414" s="18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:19" x14ac:dyDescent="0.3">
      <c r="A415" s="11"/>
      <c r="B415" s="11"/>
      <c r="C415" s="11"/>
      <c r="D415" s="18"/>
      <c r="E415" s="116" t="s">
        <v>338</v>
      </c>
      <c r="F415" s="116"/>
      <c r="G415" s="116" t="s">
        <v>337</v>
      </c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 spans="1:19" x14ac:dyDescent="0.3">
      <c r="A416" s="11"/>
      <c r="B416" s="11"/>
      <c r="C416" s="11" t="s">
        <v>329</v>
      </c>
      <c r="D416" s="18"/>
      <c r="E416" s="69">
        <f>J413</f>
        <v>20822.258583134164</v>
      </c>
      <c r="F416" s="11" t="s">
        <v>264</v>
      </c>
      <c r="G416" s="21">
        <f>L413</f>
        <v>23069.583676458613</v>
      </c>
      <c r="H416" s="11" t="s">
        <v>264</v>
      </c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 spans="1:19" x14ac:dyDescent="0.3">
      <c r="A417" s="11"/>
      <c r="B417" s="11"/>
      <c r="C417" s="11" t="s">
        <v>330</v>
      </c>
      <c r="D417" s="18"/>
      <c r="E417" s="69">
        <f>G387</f>
        <v>1.8257832257751991</v>
      </c>
      <c r="F417" s="11" t="s">
        <v>264</v>
      </c>
      <c r="G417" s="21">
        <f>G387</f>
        <v>1.8257832257751991</v>
      </c>
      <c r="H417" s="11" t="s">
        <v>264</v>
      </c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 spans="1:19" x14ac:dyDescent="0.3">
      <c r="A418" s="11"/>
      <c r="B418" s="11"/>
      <c r="C418" s="11" t="s">
        <v>331</v>
      </c>
      <c r="D418" s="18"/>
      <c r="E418" s="69">
        <f>L387</f>
        <v>1.521190564634193</v>
      </c>
      <c r="F418" s="11" t="s">
        <v>264</v>
      </c>
      <c r="G418" s="21">
        <f>L387</f>
        <v>1.521190564634193</v>
      </c>
      <c r="H418" s="11" t="s">
        <v>264</v>
      </c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 spans="1:19" ht="15" x14ac:dyDescent="0.3">
      <c r="A419" s="11"/>
      <c r="B419" s="11"/>
      <c r="C419" s="11" t="s">
        <v>332</v>
      </c>
      <c r="D419" s="18"/>
      <c r="E419" s="197">
        <f>E416+E417-E418</f>
        <v>20822.563175795305</v>
      </c>
      <c r="F419" s="11" t="s">
        <v>264</v>
      </c>
      <c r="G419" s="197">
        <f>G416+G417-G418</f>
        <v>23069.888269119754</v>
      </c>
      <c r="H419" s="11" t="s">
        <v>264</v>
      </c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 spans="1:19" x14ac:dyDescent="0.3">
      <c r="A420" s="11"/>
      <c r="B420" s="11"/>
      <c r="C420" s="11"/>
      <c r="D420" s="18"/>
      <c r="E420" s="115">
        <f>E419*0.555927</f>
        <v>11575.825078630356</v>
      </c>
      <c r="F420" s="11" t="s">
        <v>336</v>
      </c>
      <c r="G420" s="115">
        <f>G419*0.555927</f>
        <v>12825.173775786936</v>
      </c>
      <c r="H420" s="11" t="s">
        <v>336</v>
      </c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 spans="1:19" x14ac:dyDescent="0.3">
      <c r="A421" s="11"/>
      <c r="B421" s="11"/>
      <c r="C421" s="11"/>
      <c r="D421" s="18"/>
      <c r="E421" s="69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 spans="1:19" x14ac:dyDescent="0.3">
      <c r="A422" s="11"/>
      <c r="E422" s="35"/>
    </row>
  </sheetData>
  <mergeCells count="41">
    <mergeCell ref="D393:D394"/>
    <mergeCell ref="C393:C394"/>
    <mergeCell ref="E393:E394"/>
    <mergeCell ref="J36:K36"/>
    <mergeCell ref="D35:K35"/>
    <mergeCell ref="C35:C37"/>
    <mergeCell ref="D208:E208"/>
    <mergeCell ref="D197:F197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C31:H31"/>
    <mergeCell ref="C32:H32"/>
    <mergeCell ref="D36:E36"/>
    <mergeCell ref="F36:G36"/>
    <mergeCell ref="H36:I36"/>
    <mergeCell ref="C2:H2"/>
    <mergeCell ref="G5:H5"/>
    <mergeCell ref="C5:C6"/>
    <mergeCell ref="D5:D6"/>
    <mergeCell ref="E5:E6"/>
    <mergeCell ref="F5:F6"/>
    <mergeCell ref="C3:H3"/>
    <mergeCell ref="P246:P247"/>
    <mergeCell ref="Q246:Q247"/>
    <mergeCell ref="S246:S247"/>
    <mergeCell ref="R246:R247"/>
    <mergeCell ref="L246:L247"/>
    <mergeCell ref="M246:M247"/>
    <mergeCell ref="N246:N247"/>
    <mergeCell ref="O246:O247"/>
    <mergeCell ref="G175:G177"/>
    <mergeCell ref="K185:K186"/>
    <mergeCell ref="J192:J193"/>
    <mergeCell ref="E219:F219"/>
    <mergeCell ref="K246:K247"/>
  </mergeCells>
  <phoneticPr fontId="9" type="noConversion"/>
  <conditionalFormatting sqref="K125:K1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PC Version</vt:lpstr>
      <vt:lpstr>ASME PTC 22</vt:lpstr>
      <vt:lpstr>caloric</vt:lpstr>
      <vt:lpstr>gases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Hafiz</cp:lastModifiedBy>
  <cp:lastPrinted>2021-06-21T05:27:49Z</cp:lastPrinted>
  <dcterms:created xsi:type="dcterms:W3CDTF">2019-02-07T08:58:21Z</dcterms:created>
  <dcterms:modified xsi:type="dcterms:W3CDTF">2021-07-03T11:52:53Z</dcterms:modified>
</cp:coreProperties>
</file>