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Project\Publication\LinkedIN\"/>
    </mc:Choice>
  </mc:AlternateContent>
  <xr:revisionPtr revIDLastSave="0" documentId="8_{3F303F2C-8025-4622-9404-C5A8E245ED4C}" xr6:coauthVersionLast="45" xr6:coauthVersionMax="45" xr10:uidLastSave="{00000000-0000-0000-0000-000000000000}"/>
  <bookViews>
    <workbookView xWindow="-108" yWindow="-108" windowWidth="23256" windowHeight="12576" xr2:uid="{81F12673-98E1-436B-88FE-9B3018B03982}"/>
  </bookViews>
  <sheets>
    <sheet name="TGCC" sheetId="1" r:id="rId1"/>
    <sheet name="CM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2" i="1" l="1"/>
  <c r="J14" i="2"/>
  <c r="F104" i="1" l="1"/>
  <c r="F105" i="1" s="1"/>
  <c r="F106" i="1" s="1"/>
  <c r="F107" i="1" s="1"/>
  <c r="J5" i="2"/>
  <c r="J6" i="2"/>
  <c r="J9" i="2" s="1"/>
  <c r="C9" i="2" s="1"/>
  <c r="C11" i="2" s="1"/>
  <c r="J7" i="2"/>
  <c r="C14" i="2"/>
  <c r="L13" i="2"/>
  <c r="M13" i="2"/>
  <c r="N13" i="2" s="1"/>
  <c r="K15" i="2"/>
  <c r="K19" i="2" s="1"/>
  <c r="L15" i="2"/>
  <c r="L17" i="2" s="1"/>
  <c r="M15" i="2"/>
  <c r="M19" i="2" s="1"/>
  <c r="N15" i="2"/>
  <c r="N18" i="2" s="1"/>
  <c r="O15" i="2"/>
  <c r="K17" i="2"/>
  <c r="M17" i="2"/>
  <c r="K18" i="2"/>
  <c r="O18" i="2"/>
  <c r="G28" i="1"/>
  <c r="G29" i="1" s="1"/>
  <c r="F29" i="1"/>
  <c r="F59" i="1" s="1"/>
  <c r="F36" i="1"/>
  <c r="F50" i="1" s="1"/>
  <c r="G36" i="1"/>
  <c r="G61" i="1" s="1"/>
  <c r="H36" i="1"/>
  <c r="H52" i="1" s="1"/>
  <c r="I36" i="1"/>
  <c r="I50" i="1" s="1"/>
  <c r="J36" i="1"/>
  <c r="J50" i="1" s="1"/>
  <c r="K36" i="1"/>
  <c r="K50" i="1" s="1"/>
  <c r="G48" i="1"/>
  <c r="H48" i="1"/>
  <c r="I48" i="1"/>
  <c r="J48" i="1"/>
  <c r="K48" i="1"/>
  <c r="M48" i="1"/>
  <c r="M33" i="1" s="1"/>
  <c r="F49" i="1"/>
  <c r="G49" i="1"/>
  <c r="H49" i="1"/>
  <c r="I49" i="1"/>
  <c r="J49" i="1"/>
  <c r="K49" i="1"/>
  <c r="H50" i="1"/>
  <c r="F51" i="1"/>
  <c r="G51" i="1"/>
  <c r="H51" i="1"/>
  <c r="I51" i="1"/>
  <c r="J51" i="1"/>
  <c r="K51" i="1"/>
  <c r="F53" i="1"/>
  <c r="G53" i="1"/>
  <c r="H53" i="1"/>
  <c r="I53" i="1"/>
  <c r="J53" i="1"/>
  <c r="K53" i="1"/>
  <c r="D59" i="1"/>
  <c r="D72" i="1" s="1"/>
  <c r="F63" i="1"/>
  <c r="G63" i="1"/>
  <c r="H63" i="1"/>
  <c r="I63" i="1"/>
  <c r="J63" i="1"/>
  <c r="K63" i="1"/>
  <c r="F64" i="1"/>
  <c r="G64" i="1"/>
  <c r="H64" i="1"/>
  <c r="I64" i="1"/>
  <c r="J64" i="1"/>
  <c r="K64" i="1"/>
  <c r="F85" i="1"/>
  <c r="K61" i="1" l="1"/>
  <c r="G52" i="1"/>
  <c r="G50" i="1"/>
  <c r="H28" i="1"/>
  <c r="I28" i="1" s="1"/>
  <c r="I29" i="1" s="1"/>
  <c r="F72" i="1"/>
  <c r="K52" i="1"/>
  <c r="N19" i="2"/>
  <c r="N17" i="2"/>
  <c r="M18" i="2"/>
  <c r="O19" i="2"/>
  <c r="O17" i="2"/>
  <c r="O25" i="2" s="1"/>
  <c r="K67" i="1"/>
  <c r="F46" i="1"/>
  <c r="G67" i="1"/>
  <c r="G46" i="1"/>
  <c r="G72" i="1"/>
  <c r="G59" i="1"/>
  <c r="M34" i="1"/>
  <c r="M36" i="1" s="1"/>
  <c r="M41" i="1"/>
  <c r="M64" i="1" s="1"/>
  <c r="J28" i="1"/>
  <c r="J61" i="1"/>
  <c r="J67" i="1" s="1"/>
  <c r="F61" i="1"/>
  <c r="F67" i="1" s="1"/>
  <c r="J52" i="1"/>
  <c r="F52" i="1"/>
  <c r="I61" i="1"/>
  <c r="I67" i="1" s="1"/>
  <c r="I52" i="1"/>
  <c r="H29" i="1"/>
  <c r="L19" i="2"/>
  <c r="H61" i="1"/>
  <c r="H67" i="1" s="1"/>
  <c r="L18" i="2"/>
  <c r="C16" i="2" l="1"/>
  <c r="H46" i="1"/>
  <c r="H72" i="1"/>
  <c r="H59" i="1"/>
  <c r="J29" i="1"/>
  <c r="K28" i="1"/>
  <c r="K29" i="1" s="1"/>
  <c r="M50" i="1"/>
  <c r="M52" i="1"/>
  <c r="M61" i="1"/>
  <c r="M62" i="1"/>
  <c r="I59" i="1"/>
  <c r="I46" i="1"/>
  <c r="I72" i="1"/>
  <c r="I74" i="1" l="1"/>
  <c r="I75" i="1" s="1"/>
  <c r="K74" i="1"/>
  <c r="K75" i="1" s="1"/>
  <c r="F74" i="1"/>
  <c r="H74" i="1"/>
  <c r="H75" i="1" s="1"/>
  <c r="G74" i="1"/>
  <c r="G75" i="1" s="1"/>
  <c r="J74" i="1"/>
  <c r="J75" i="1" s="1"/>
  <c r="M67" i="1"/>
  <c r="J46" i="1"/>
  <c r="J59" i="1"/>
  <c r="J72" i="1"/>
  <c r="K46" i="1"/>
  <c r="K72" i="1"/>
  <c r="K59" i="1"/>
  <c r="F75" i="1" l="1"/>
  <c r="K76" i="1"/>
  <c r="F78" i="1" l="1"/>
  <c r="F83" i="1" s="1"/>
  <c r="F102" i="1" s="1"/>
  <c r="F87" i="1" l="1"/>
  <c r="F92" i="1" s="1"/>
</calcChain>
</file>

<file path=xl/sharedStrings.xml><?xml version="1.0" encoding="utf-8"?>
<sst xmlns="http://schemas.openxmlformats.org/spreadsheetml/2006/main" count="86" uniqueCount="77">
  <si>
    <t>MAD / action</t>
  </si>
  <si>
    <t>Nombre Actions</t>
  </si>
  <si>
    <t>E</t>
  </si>
  <si>
    <t>Valeur des fonds propres</t>
  </si>
  <si>
    <t>Intérêts minoritaires</t>
  </si>
  <si>
    <t>Dette nette consolidée prévisionnelle 2021e</t>
  </si>
  <si>
    <t>Valeur présente totale</t>
  </si>
  <si>
    <t>Valeur terminale</t>
  </si>
  <si>
    <t>Valeur présente des flux</t>
  </si>
  <si>
    <t>Facteurs d'actualisation</t>
  </si>
  <si>
    <t>Normatif</t>
  </si>
  <si>
    <t>Calcul de la valeur présente des flux de trésorerie</t>
  </si>
  <si>
    <t xml:space="preserve">Flux de trésorerie </t>
  </si>
  <si>
    <t>- Investissements nets</t>
  </si>
  <si>
    <t>- Variation du BFR</t>
  </si>
  <si>
    <t>+ Dotations aux amortissements</t>
  </si>
  <si>
    <t xml:space="preserve"> - Impôts sur les sociétés</t>
  </si>
  <si>
    <t>Résultat d'exploitation</t>
  </si>
  <si>
    <t>Détermination des flux de trésorerie</t>
  </si>
  <si>
    <t>BFR / CA</t>
  </si>
  <si>
    <t>(1)</t>
  </si>
  <si>
    <t>Rentabilité économique après IS de 35%</t>
  </si>
  <si>
    <t>Marge d'exploitation après IS</t>
  </si>
  <si>
    <t xml:space="preserve">Marge d'exploitation    </t>
  </si>
  <si>
    <t>Marge d'EBE</t>
  </si>
  <si>
    <t>-</t>
  </si>
  <si>
    <t>Taux de croissance</t>
  </si>
  <si>
    <t>Ratios financiers et hypothèses à perpétuité</t>
  </si>
  <si>
    <t>+ Besoin en fonds de roulement</t>
  </si>
  <si>
    <t>Immobilisations</t>
  </si>
  <si>
    <t>Bilan</t>
  </si>
  <si>
    <t>= Résultat d'exploitation</t>
  </si>
  <si>
    <t>- Dotations aux amortissements</t>
  </si>
  <si>
    <t>Excédent brut d'exploitation</t>
  </si>
  <si>
    <t>Chiffre d'affaires</t>
  </si>
  <si>
    <t>Compte de résultat</t>
  </si>
  <si>
    <t>En mMAD</t>
  </si>
  <si>
    <t>Business plan simplifié</t>
  </si>
  <si>
    <t>Taux de croissance à perpétuité</t>
  </si>
  <si>
    <t>Coût moyen pondéré du capital</t>
  </si>
  <si>
    <t>Principales hypothèses</t>
  </si>
  <si>
    <t>1. Calcul le coût du capital et le taux de croissance à perpétuité</t>
  </si>
  <si>
    <t>Ratio (E/D+E)</t>
  </si>
  <si>
    <t>Ratio d'endettement (D/(D+E))</t>
  </si>
  <si>
    <t>Gearing</t>
  </si>
  <si>
    <t>CMCP</t>
  </si>
  <si>
    <t>D</t>
  </si>
  <si>
    <t>Coût de la dette (net d'IS)</t>
  </si>
  <si>
    <t>Coût de l’endettement de marché</t>
  </si>
  <si>
    <t>Coût des fonds propres</t>
  </si>
  <si>
    <t>Gearing cible (D/E)</t>
  </si>
  <si>
    <t>Beta endetté</t>
  </si>
  <si>
    <t>Beta désendetté</t>
  </si>
  <si>
    <t>Taux d'IS</t>
  </si>
  <si>
    <t>Prime de risque marché</t>
  </si>
  <si>
    <t>Taux sans risque - BDT 10 ans au 3 novembre 2021</t>
  </si>
  <si>
    <t>Calcul du Coût des Capitaux</t>
  </si>
  <si>
    <t>Les étapes de Calcul</t>
  </si>
  <si>
    <t>2. Les données du Business plan</t>
  </si>
  <si>
    <t xml:space="preserve">Modèle d'évaluation de TGCC </t>
  </si>
  <si>
    <t>Décote</t>
  </si>
  <si>
    <t>L'approche DCF (discounted cash flow)</t>
  </si>
  <si>
    <t>Le taux CMPC correspond à la rentabilité attendue par les actionnaire. Le calcul de ce taux nécessite des hypothèses à la fois de facteurs internes (structure financière de la société ou Gearing) et externes (prime de risque marché, Beta, taux sans risque)</t>
  </si>
  <si>
    <t>CMPC</t>
  </si>
  <si>
    <t>Analyse de Sensibilité</t>
  </si>
  <si>
    <t>Taux à l'infini</t>
  </si>
  <si>
    <t>le détail en feuille (CMPC)</t>
  </si>
  <si>
    <r>
      <t xml:space="preserve">La méthode des flux futurs de trésorerie, consiste à calculer, par actualisation, la valeur actuelle nette des flux de trésorerie futurs attendus d'une activité  un taux dit </t>
    </r>
    <r>
      <rPr>
        <b/>
        <sz val="8"/>
        <rFont val="Segoe UI Light"/>
        <family val="2"/>
      </rPr>
      <t xml:space="preserve">Coût Moyen Pondéré du Capital </t>
    </r>
    <r>
      <rPr>
        <sz val="10"/>
        <rFont val="Segoe UI Light"/>
        <family val="2"/>
      </rPr>
      <t>CMPC</t>
    </r>
  </si>
  <si>
    <r>
      <t xml:space="preserve">Le Calcul de la valeur Terminale est calculé selon l'approche de Gordon-Shapiro selon la formule -&gt;
</t>
    </r>
    <r>
      <rPr>
        <b/>
        <sz val="8"/>
        <rFont val="Segoe UI Light"/>
        <family val="2"/>
      </rPr>
      <t xml:space="preserve"> Flux Normatif * (Coût du Capital - Taux de Croissance à l'infini)</t>
    </r>
  </si>
  <si>
    <t>Prix proposé</t>
  </si>
  <si>
    <t>Projection de la répartition du Cap. Propres Vs Dettes</t>
  </si>
  <si>
    <t>3. Les Ratios financiers</t>
  </si>
  <si>
    <t>4. Calcul des Free Cash Flow</t>
  </si>
  <si>
    <t>5. Actualisation des Flux de trésoreries &amp; Flux Normatif</t>
  </si>
  <si>
    <t>5. Analyse de Sensibilité</t>
  </si>
  <si>
    <t>DATA TO INSIGHTS</t>
  </si>
  <si>
    <t xml:space="preserve">Analyse de sensibilité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</si>
</sst>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#,##0;\(#,##0\)"/>
    <numFmt numFmtId="165" formatCode="_-* #,##0\ _F_-;\-* #,##0\ _F_-;_-* &quot;-&quot;??\ _F_-;_-@_-"/>
    <numFmt numFmtId="166" formatCode="_-* #,##0.00\ _F_-;\-* #,##0.00\ _F_-;_-* &quot;-&quot;??\ _F_-;_-@_-"/>
    <numFmt numFmtId="167" formatCode="_-* #,##0.0\ _F_-;\-* #,##0.0\ _F_-;_-* &quot;-&quot;??\ _F_-;_-@_-"/>
    <numFmt numFmtId="168" formatCode="_-* #,##0.0000\ _F_-;\-* #,##0.0000\ _F_-;_-* &quot;-&quot;??\ _F_-;_-@_-"/>
    <numFmt numFmtId="169" formatCode="#,##0_);\(#,##0\);&quot;-&quot;_);@_)"/>
    <numFmt numFmtId="170" formatCode="0.0%"/>
    <numFmt numFmtId="171" formatCode="0.0&quot;x&quot;"/>
    <numFmt numFmtId="172" formatCode="_-* #,##0.00\ _€_-;\-* #,##0.00\ _€_-;_-* &quot;-&quot;??\ _€_-;_-@_-"/>
    <numFmt numFmtId="173" formatCode="0.000"/>
    <numFmt numFmtId="175" formatCode="_-* #,##0.00000\ _F_-;\-* #,##0.00000\ _F_-;_-* &quot;-&quot;??\ _F_-;_-@_-"/>
  </numFmts>
  <fonts count="22" x14ac:knownFonts="1">
    <font>
      <sz val="10"/>
      <name val="Arial"/>
    </font>
    <font>
      <sz val="10"/>
      <name val="Arial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i/>
      <sz val="10"/>
      <color indexed="9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color theme="0"/>
      <name val="Arial"/>
      <family val="2"/>
    </font>
    <font>
      <sz val="8"/>
      <color rgb="FFFF0000"/>
      <name val="Arial"/>
      <family val="2"/>
    </font>
    <font>
      <b/>
      <sz val="12"/>
      <name val="Arial"/>
      <family val="2"/>
    </font>
    <font>
      <b/>
      <sz val="12"/>
      <name val="Segoe UI Light"/>
      <family val="2"/>
    </font>
    <font>
      <sz val="10"/>
      <name val="Segoe UI Light"/>
      <family val="2"/>
    </font>
    <font>
      <b/>
      <sz val="8"/>
      <name val="Segoe UI Light"/>
      <family val="2"/>
    </font>
    <font>
      <sz val="10"/>
      <color indexed="9"/>
      <name val="Segoe UI Light"/>
      <family val="2"/>
    </font>
    <font>
      <i/>
      <sz val="10"/>
      <name val="Arial"/>
      <family val="2"/>
    </font>
    <font>
      <b/>
      <sz val="8"/>
      <name val="Tahoma"/>
      <family val="2"/>
    </font>
    <font>
      <sz val="12"/>
      <name val="Arial"/>
      <family val="2"/>
    </font>
    <font>
      <b/>
      <i/>
      <sz val="10"/>
      <color theme="0" tint="-0.499984740745262"/>
      <name val="Arial"/>
      <family val="2"/>
    </font>
    <font>
      <b/>
      <sz val="24"/>
      <color theme="1" tint="0.14999847407452621"/>
      <name val="Segoe UI Light"/>
      <family val="2"/>
    </font>
  </fonts>
  <fills count="1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DC432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5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65" fontId="0" fillId="0" borderId="0" xfId="1" applyNumberFormat="1" applyFont="1" applyAlignment="1">
      <alignment vertical="center" wrapText="1"/>
    </xf>
    <xf numFmtId="167" fontId="2" fillId="0" borderId="1" xfId="1" applyNumberFormat="1" applyFont="1" applyBorder="1" applyAlignment="1">
      <alignment vertical="center" wrapText="1"/>
    </xf>
    <xf numFmtId="166" fontId="0" fillId="0" borderId="0" xfId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164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168" fontId="0" fillId="0" borderId="0" xfId="1" applyNumberFormat="1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164" fontId="7" fillId="0" borderId="0" xfId="0" applyNumberFormat="1" applyFont="1" applyAlignment="1">
      <alignment vertical="center" wrapText="1"/>
    </xf>
    <xf numFmtId="0" fontId="0" fillId="0" borderId="0" xfId="0" quotePrefix="1" applyAlignment="1">
      <alignment vertical="center" wrapText="1"/>
    </xf>
    <xf numFmtId="164" fontId="8" fillId="2" borderId="0" xfId="0" applyNumberFormat="1" applyFont="1" applyFill="1" applyAlignment="1">
      <alignment vertical="center" wrapText="1"/>
    </xf>
    <xf numFmtId="10" fontId="0" fillId="0" borderId="0" xfId="2" applyNumberFormat="1" applyFont="1" applyAlignment="1">
      <alignment vertical="center" wrapText="1"/>
    </xf>
    <xf numFmtId="170" fontId="0" fillId="0" borderId="0" xfId="2" applyNumberFormat="1" applyFont="1" applyAlignment="1">
      <alignment vertical="center" wrapText="1"/>
    </xf>
    <xf numFmtId="170" fontId="9" fillId="0" borderId="0" xfId="2" applyNumberFormat="1" applyFont="1" applyAlignment="1">
      <alignment vertical="center" wrapText="1"/>
    </xf>
    <xf numFmtId="171" fontId="0" fillId="0" borderId="0" xfId="2" applyNumberFormat="1" applyFont="1" applyAlignment="1">
      <alignment vertical="center" wrapText="1"/>
    </xf>
    <xf numFmtId="170" fontId="9" fillId="2" borderId="0" xfId="2" applyNumberFormat="1" applyFont="1" applyFill="1" applyAlignment="1">
      <alignment vertical="center" wrapText="1"/>
    </xf>
    <xf numFmtId="49" fontId="3" fillId="0" borderId="0" xfId="0" quotePrefix="1" applyNumberFormat="1" applyFont="1" applyAlignment="1">
      <alignment horizontal="center" vertical="center" wrapText="1"/>
    </xf>
    <xf numFmtId="170" fontId="0" fillId="0" borderId="0" xfId="0" applyNumberFormat="1" applyAlignment="1">
      <alignment vertical="center" wrapText="1"/>
    </xf>
    <xf numFmtId="170" fontId="7" fillId="0" borderId="0" xfId="2" applyNumberFormat="1" applyFont="1" applyAlignment="1">
      <alignment vertical="center" wrapText="1"/>
    </xf>
    <xf numFmtId="0" fontId="0" fillId="0" borderId="0" xfId="0" quotePrefix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9" fontId="9" fillId="0" borderId="0" xfId="2" applyFont="1" applyAlignment="1">
      <alignment vertical="center" wrapText="1"/>
    </xf>
    <xf numFmtId="0" fontId="7" fillId="0" borderId="0" xfId="0" applyFont="1"/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69" fontId="5" fillId="0" borderId="0" xfId="0" applyNumberFormat="1" applyFont="1" applyAlignment="1">
      <alignment horizontal="center" vertical="center"/>
    </xf>
    <xf numFmtId="10" fontId="0" fillId="0" borderId="0" xfId="2" applyNumberFormat="1" applyFont="1"/>
    <xf numFmtId="172" fontId="0" fillId="0" borderId="0" xfId="0" applyNumberFormat="1"/>
    <xf numFmtId="165" fontId="0" fillId="0" borderId="0" xfId="1" applyNumberFormat="1" applyFont="1"/>
    <xf numFmtId="9" fontId="0" fillId="0" borderId="0" xfId="2" applyFont="1"/>
    <xf numFmtId="10" fontId="0" fillId="0" borderId="0" xfId="0" applyNumberFormat="1"/>
    <xf numFmtId="0" fontId="3" fillId="0" borderId="3" xfId="0" applyFont="1" applyBorder="1"/>
    <xf numFmtId="10" fontId="0" fillId="0" borderId="3" xfId="2" applyNumberFormat="1" applyFont="1" applyBorder="1"/>
    <xf numFmtId="170" fontId="0" fillId="0" borderId="3" xfId="2" applyNumberFormat="1" applyFont="1" applyBorder="1"/>
    <xf numFmtId="10" fontId="3" fillId="0" borderId="3" xfId="0" applyNumberFormat="1" applyFont="1" applyBorder="1"/>
    <xf numFmtId="10" fontId="0" fillId="3" borderId="0" xfId="0" applyNumberFormat="1" applyFill="1"/>
    <xf numFmtId="166" fontId="0" fillId="4" borderId="3" xfId="1" applyFont="1" applyFill="1" applyBorder="1"/>
    <xf numFmtId="166" fontId="0" fillId="4" borderId="0" xfId="1" applyFont="1" applyFill="1"/>
    <xf numFmtId="3" fontId="7" fillId="0" borderId="0" xfId="0" applyNumberFormat="1" applyFont="1"/>
    <xf numFmtId="10" fontId="3" fillId="0" borderId="0" xfId="0" applyNumberFormat="1" applyFont="1"/>
    <xf numFmtId="0" fontId="3" fillId="5" borderId="0" xfId="0" applyFont="1" applyFill="1"/>
    <xf numFmtId="173" fontId="0" fillId="5" borderId="0" xfId="0" applyNumberFormat="1" applyFill="1"/>
    <xf numFmtId="0" fontId="0" fillId="3" borderId="0" xfId="0" applyFill="1"/>
    <xf numFmtId="9" fontId="0" fillId="0" borderId="0" xfId="0" applyNumberFormat="1"/>
    <xf numFmtId="169" fontId="5" fillId="6" borderId="0" xfId="0" applyNumberFormat="1" applyFont="1" applyFill="1" applyAlignment="1">
      <alignment horizontal="center" vertical="center"/>
    </xf>
    <xf numFmtId="0" fontId="0" fillId="5" borderId="0" xfId="0" applyFill="1"/>
    <xf numFmtId="0" fontId="6" fillId="7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  <xf numFmtId="170" fontId="0" fillId="0" borderId="0" xfId="0" applyNumberFormat="1"/>
    <xf numFmtId="165" fontId="10" fillId="7" borderId="0" xfId="1" applyNumberFormat="1" applyFont="1" applyFill="1"/>
    <xf numFmtId="164" fontId="10" fillId="0" borderId="0" xfId="0" applyNumberFormat="1" applyFont="1"/>
    <xf numFmtId="0" fontId="11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8" borderId="0" xfId="0" applyFill="1"/>
    <xf numFmtId="0" fontId="3" fillId="0" borderId="0" xfId="0" applyFont="1"/>
    <xf numFmtId="0" fontId="0" fillId="9" borderId="0" xfId="0" applyFill="1"/>
    <xf numFmtId="10" fontId="0" fillId="9" borderId="0" xfId="2" applyNumberFormat="1" applyFont="1" applyFill="1"/>
    <xf numFmtId="0" fontId="0" fillId="10" borderId="0" xfId="0" applyFill="1"/>
    <xf numFmtId="0" fontId="3" fillId="0" borderId="2" xfId="0" applyFont="1" applyBorder="1"/>
    <xf numFmtId="0" fontId="0" fillId="0" borderId="2" xfId="0" applyBorder="1"/>
    <xf numFmtId="10" fontId="3" fillId="11" borderId="0" xfId="0" applyNumberFormat="1" applyFont="1" applyFill="1"/>
    <xf numFmtId="0" fontId="0" fillId="13" borderId="0" xfId="0" applyFill="1" applyAlignment="1">
      <alignment vertical="center" wrapText="1"/>
    </xf>
    <xf numFmtId="164" fontId="0" fillId="13" borderId="0" xfId="0" applyNumberFormat="1" applyFill="1" applyAlignment="1">
      <alignment vertical="center" wrapText="1"/>
    </xf>
    <xf numFmtId="0" fontId="0" fillId="14" borderId="0" xfId="0" applyFill="1" applyAlignment="1">
      <alignment vertical="center" wrapText="1"/>
    </xf>
    <xf numFmtId="0" fontId="17" fillId="0" borderId="0" xfId="0" applyFont="1" applyAlignment="1">
      <alignment vertical="center" wrapText="1"/>
    </xf>
    <xf numFmtId="9" fontId="17" fillId="0" borderId="0" xfId="2" applyFont="1" applyAlignment="1">
      <alignment vertical="center" wrapText="1"/>
    </xf>
    <xf numFmtId="0" fontId="0" fillId="15" borderId="0" xfId="0" applyFill="1"/>
    <xf numFmtId="175" fontId="3" fillId="0" borderId="2" xfId="1" applyNumberFormat="1" applyFont="1" applyBorder="1"/>
    <xf numFmtId="2" fontId="0" fillId="0" borderId="0" xfId="0" applyNumberFormat="1"/>
    <xf numFmtId="0" fontId="18" fillId="0" borderId="0" xfId="0" applyFont="1"/>
    <xf numFmtId="0" fontId="19" fillId="0" borderId="0" xfId="0" applyFont="1" applyAlignment="1">
      <alignment vertical="center" wrapText="1"/>
    </xf>
    <xf numFmtId="164" fontId="12" fillId="0" borderId="0" xfId="0" applyNumberFormat="1" applyFont="1" applyAlignment="1">
      <alignment vertical="center" wrapText="1"/>
    </xf>
    <xf numFmtId="0" fontId="0" fillId="3" borderId="0" xfId="0" applyFill="1" applyAlignment="1">
      <alignment vertical="center" wrapText="1"/>
    </xf>
    <xf numFmtId="164" fontId="0" fillId="3" borderId="0" xfId="0" applyNumberFormat="1" applyFill="1" applyAlignment="1">
      <alignment vertical="center" wrapText="1"/>
    </xf>
    <xf numFmtId="0" fontId="3" fillId="7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vertical="center" textRotation="180"/>
    </xf>
    <xf numFmtId="0" fontId="3" fillId="0" borderId="0" xfId="0" applyFont="1" applyAlignment="1">
      <alignment horizontal="center" vertical="center" wrapText="1"/>
    </xf>
    <xf numFmtId="169" fontId="5" fillId="16" borderId="0" xfId="0" applyNumberFormat="1" applyFont="1" applyFill="1" applyAlignment="1">
      <alignment horizontal="center" vertical="center"/>
    </xf>
    <xf numFmtId="0" fontId="20" fillId="5" borderId="0" xfId="0" applyFont="1" applyFill="1" applyAlignment="1">
      <alignment horizontal="left" indent="5"/>
    </xf>
    <xf numFmtId="0" fontId="0" fillId="7" borderId="4" xfId="0" applyFill="1" applyBorder="1"/>
    <xf numFmtId="10" fontId="0" fillId="12" borderId="4" xfId="0" applyNumberFormat="1" applyFill="1" applyBorder="1"/>
    <xf numFmtId="0" fontId="3" fillId="5" borderId="4" xfId="0" applyFont="1" applyFill="1" applyBorder="1"/>
    <xf numFmtId="0" fontId="21" fillId="0" borderId="5" xfId="0" applyFont="1" applyBorder="1"/>
    <xf numFmtId="0" fontId="0" fillId="0" borderId="5" xfId="0" applyBorder="1" applyAlignment="1">
      <alignment vertical="center" wrapText="1"/>
    </xf>
    <xf numFmtId="0" fontId="4" fillId="0" borderId="5" xfId="0" applyFont="1" applyBorder="1" applyAlignment="1">
      <alignment vertical="center" wrapText="1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colors>
    <mruColors>
      <color rgb="FFDC432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1733550</xdr:colOff>
      <xdr:row>2</xdr:row>
      <xdr:rowOff>161925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55AABF8-50CF-4B36-8886-9954550DC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33550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10EE-2451-4B54-8F0E-E74AA66FE79D}">
  <dimension ref="A1:T109"/>
  <sheetViews>
    <sheetView showGridLines="0" tabSelected="1" topLeftCell="A74" zoomScale="80" zoomScaleNormal="80" workbookViewId="0">
      <selection activeCell="J84" sqref="J84"/>
    </sheetView>
  </sheetViews>
  <sheetFormatPr baseColWidth="10" defaultColWidth="11.44140625" defaultRowHeight="13.2" outlineLevelRow="1" x14ac:dyDescent="0.25"/>
  <cols>
    <col min="1" max="1" width="31.21875" style="1" customWidth="1"/>
    <col min="2" max="2" width="3.6640625" style="1" customWidth="1"/>
    <col min="3" max="3" width="0.6640625" style="1" customWidth="1"/>
    <col min="4" max="4" width="36.33203125" style="1" customWidth="1"/>
    <col min="5" max="5" width="1.6640625" style="1" customWidth="1"/>
    <col min="6" max="7" width="11.44140625" style="1"/>
    <col min="8" max="8" width="13.6640625" style="1" bestFit="1" customWidth="1"/>
    <col min="9" max="11" width="11.44140625" style="1"/>
    <col min="12" max="12" width="1.6640625" style="1" customWidth="1"/>
    <col min="13" max="13" width="11.44140625" style="1"/>
    <col min="14" max="14" width="6.33203125" style="1" customWidth="1"/>
    <col min="15" max="16" width="14.88671875" style="1" bestFit="1" customWidth="1"/>
    <col min="17" max="17" width="5.77734375" style="1" customWidth="1"/>
    <col min="18" max="18" width="12.33203125" style="1" bestFit="1" customWidth="1"/>
    <col min="19" max="19" width="11.44140625" style="1"/>
    <col min="20" max="20" width="12.33203125" style="1" bestFit="1" customWidth="1"/>
    <col min="21" max="16384" width="11.44140625" style="1"/>
  </cols>
  <sheetData>
    <row r="1" spans="1:16" ht="6" customHeight="1" x14ac:dyDescent="0.25">
      <c r="A1" s="61"/>
      <c r="F1" s="11">
        <v>1</v>
      </c>
      <c r="G1" s="11">
        <v>2</v>
      </c>
      <c r="H1" s="11">
        <v>3</v>
      </c>
      <c r="I1" s="11">
        <v>4</v>
      </c>
      <c r="J1" s="11">
        <v>5</v>
      </c>
      <c r="K1" s="11">
        <v>6</v>
      </c>
    </row>
    <row r="2" spans="1:16" ht="27.6" customHeight="1" thickBot="1" x14ac:dyDescent="0.8">
      <c r="A2" s="61"/>
      <c r="C2" s="102"/>
      <c r="D2" s="102" t="s">
        <v>59</v>
      </c>
      <c r="E2" s="103"/>
      <c r="F2" s="103"/>
      <c r="G2" s="104"/>
      <c r="H2" s="104"/>
      <c r="I2" s="104"/>
      <c r="J2" s="104"/>
      <c r="K2" s="104"/>
      <c r="L2" s="103"/>
      <c r="M2" s="103"/>
      <c r="N2" s="103"/>
    </row>
    <row r="3" spans="1:16" ht="27.6" customHeight="1" thickTop="1" x14ac:dyDescent="0.25">
      <c r="A3" s="98" t="s">
        <v>75</v>
      </c>
      <c r="G3" s="11"/>
      <c r="H3" s="11"/>
      <c r="I3" s="11"/>
      <c r="J3" s="11"/>
      <c r="K3" s="11"/>
    </row>
    <row r="4" spans="1:16" ht="27.6" customHeight="1" x14ac:dyDescent="0.25">
      <c r="A4" s="61"/>
      <c r="D4" s="69" t="s">
        <v>61</v>
      </c>
      <c r="E4" s="69"/>
      <c r="F4" s="69"/>
      <c r="G4" s="33"/>
      <c r="H4" s="33"/>
      <c r="I4" s="33"/>
      <c r="J4" s="33"/>
      <c r="K4" s="33"/>
    </row>
    <row r="5" spans="1:16" ht="27.6" customHeight="1" x14ac:dyDescent="0.25">
      <c r="A5" s="61"/>
      <c r="D5" s="70" t="s">
        <v>67</v>
      </c>
      <c r="E5" s="70"/>
      <c r="F5" s="70"/>
      <c r="G5" s="70"/>
      <c r="H5" s="70"/>
      <c r="I5" s="70"/>
      <c r="J5" s="70"/>
      <c r="K5" s="70"/>
      <c r="L5" s="70"/>
      <c r="P5" s="2"/>
    </row>
    <row r="6" spans="1:16" ht="27.6" customHeight="1" x14ac:dyDescent="0.25">
      <c r="A6" s="61"/>
      <c r="D6" s="70" t="s">
        <v>62</v>
      </c>
      <c r="E6" s="70"/>
      <c r="F6" s="70"/>
      <c r="G6" s="70"/>
      <c r="H6" s="70"/>
      <c r="I6" s="70"/>
      <c r="J6" s="70"/>
      <c r="K6" s="70"/>
      <c r="L6" s="71"/>
    </row>
    <row r="7" spans="1:16" ht="30.6" customHeight="1" x14ac:dyDescent="0.25">
      <c r="A7" s="61"/>
      <c r="D7" s="70" t="s">
        <v>68</v>
      </c>
      <c r="E7" s="70"/>
      <c r="F7" s="70"/>
      <c r="G7" s="70"/>
      <c r="H7" s="70"/>
      <c r="I7" s="70"/>
      <c r="J7" s="70"/>
      <c r="K7" s="72"/>
      <c r="L7" s="71"/>
    </row>
    <row r="8" spans="1:16" ht="18.600000000000001" customHeight="1" x14ac:dyDescent="0.25">
      <c r="A8" s="61"/>
      <c r="G8" s="11"/>
      <c r="H8" s="11"/>
      <c r="I8" s="11"/>
      <c r="J8" s="11"/>
      <c r="K8" s="11"/>
    </row>
    <row r="9" spans="1:16" ht="6" customHeight="1" x14ac:dyDescent="0.25">
      <c r="A9" s="61"/>
      <c r="G9" s="11"/>
      <c r="H9" s="11"/>
      <c r="I9" s="11"/>
      <c r="J9" s="11"/>
      <c r="K9" s="11"/>
    </row>
    <row r="10" spans="1:16" ht="6" customHeight="1" x14ac:dyDescent="0.25">
      <c r="A10" s="61"/>
      <c r="G10" s="11"/>
      <c r="H10" s="11"/>
      <c r="I10" s="11"/>
      <c r="J10" s="11"/>
      <c r="K10" s="11"/>
    </row>
    <row r="11" spans="1:16" ht="17.25" customHeight="1" x14ac:dyDescent="0.25">
      <c r="A11" s="61"/>
      <c r="B11" s="97"/>
      <c r="D11" s="35" t="s">
        <v>57</v>
      </c>
      <c r="E11" s="32"/>
      <c r="F11" s="32"/>
      <c r="G11" s="33"/>
      <c r="H11" s="33"/>
      <c r="I11" s="33"/>
      <c r="J11" s="33"/>
      <c r="K11" s="33"/>
      <c r="L11" s="32"/>
      <c r="M11" s="32"/>
    </row>
    <row r="12" spans="1:16" x14ac:dyDescent="0.25">
      <c r="A12" s="61"/>
      <c r="G12" s="11"/>
      <c r="H12" s="11"/>
      <c r="I12" s="11"/>
      <c r="J12" s="11"/>
      <c r="K12" s="11"/>
    </row>
    <row r="13" spans="1:16" ht="15" customHeight="1" x14ac:dyDescent="0.25">
      <c r="A13" s="61"/>
      <c r="B13" s="41"/>
      <c r="D13" s="40" t="s">
        <v>41</v>
      </c>
      <c r="E13" s="14"/>
      <c r="F13" s="14"/>
      <c r="G13" s="39"/>
      <c r="H13" s="39"/>
      <c r="I13" s="39"/>
      <c r="J13" s="39"/>
      <c r="K13" s="39"/>
      <c r="L13" s="14"/>
      <c r="M13" s="14"/>
    </row>
    <row r="14" spans="1:16" ht="15" customHeight="1" x14ac:dyDescent="0.25">
      <c r="A14" s="61"/>
      <c r="D14" s="14" t="s">
        <v>58</v>
      </c>
      <c r="E14" s="14"/>
      <c r="F14" s="14"/>
      <c r="G14" s="39"/>
      <c r="H14" s="39"/>
      <c r="I14" s="39"/>
      <c r="J14" s="39"/>
      <c r="K14" s="39"/>
      <c r="L14" s="14"/>
      <c r="M14" s="14"/>
    </row>
    <row r="15" spans="1:16" ht="15" customHeight="1" x14ac:dyDescent="0.25">
      <c r="A15" s="61"/>
      <c r="D15" s="14" t="s">
        <v>71</v>
      </c>
      <c r="E15" s="14"/>
      <c r="F15" s="14"/>
      <c r="G15" s="39"/>
      <c r="H15" s="39"/>
      <c r="I15" s="39"/>
      <c r="J15" s="39"/>
      <c r="K15" s="39"/>
      <c r="L15" s="14"/>
      <c r="M15" s="14"/>
    </row>
    <row r="16" spans="1:16" x14ac:dyDescent="0.25">
      <c r="A16" s="61"/>
      <c r="D16" s="14" t="s">
        <v>72</v>
      </c>
      <c r="G16" s="11"/>
      <c r="H16" s="11"/>
      <c r="I16" s="11"/>
      <c r="J16" s="11"/>
      <c r="K16" s="11"/>
    </row>
    <row r="17" spans="1:20" x14ac:dyDescent="0.25">
      <c r="A17" s="61"/>
      <c r="D17" s="14" t="s">
        <v>73</v>
      </c>
      <c r="G17" s="11"/>
      <c r="H17" s="11"/>
      <c r="I17" s="11"/>
      <c r="J17" s="11"/>
      <c r="K17" s="11"/>
    </row>
    <row r="18" spans="1:20" x14ac:dyDescent="0.25">
      <c r="A18" s="61"/>
      <c r="D18" s="14" t="s">
        <v>74</v>
      </c>
      <c r="G18" s="11"/>
      <c r="H18" s="11"/>
      <c r="I18" s="11"/>
      <c r="J18" s="11"/>
      <c r="K18" s="11"/>
    </row>
    <row r="19" spans="1:20" x14ac:dyDescent="0.25">
      <c r="A19" s="61"/>
      <c r="G19" s="11"/>
      <c r="H19" s="11"/>
      <c r="I19" s="11"/>
      <c r="J19" s="11"/>
      <c r="K19" s="11"/>
    </row>
    <row r="20" spans="1:20" ht="17.25" customHeight="1" x14ac:dyDescent="0.25">
      <c r="A20" s="61"/>
      <c r="B20" s="60">
        <v>1</v>
      </c>
      <c r="D20" s="35" t="s">
        <v>40</v>
      </c>
      <c r="E20" s="32"/>
      <c r="F20" s="32"/>
      <c r="G20" s="33"/>
      <c r="H20" s="33"/>
      <c r="I20" s="33"/>
      <c r="J20" s="33"/>
      <c r="K20" s="33"/>
      <c r="L20" s="32"/>
      <c r="M20" s="32"/>
    </row>
    <row r="21" spans="1:20" x14ac:dyDescent="0.25">
      <c r="A21" s="61"/>
      <c r="G21" s="11"/>
      <c r="H21" s="11"/>
      <c r="I21" s="11"/>
      <c r="J21" s="11"/>
      <c r="K21" s="11"/>
    </row>
    <row r="22" spans="1:20" ht="22.2" customHeight="1" x14ac:dyDescent="0.25">
      <c r="A22" s="61"/>
      <c r="D22" s="36" t="s">
        <v>39</v>
      </c>
      <c r="F22" s="24">
        <f>CMPC!C16</f>
        <v>8.0059905285055966E-2</v>
      </c>
      <c r="G22" s="11"/>
      <c r="H22" s="68" t="s">
        <v>66</v>
      </c>
      <c r="I22" s="68"/>
      <c r="J22" s="11"/>
      <c r="K22" s="11"/>
      <c r="T22" s="38"/>
    </row>
    <row r="23" spans="1:20" ht="6" customHeight="1" x14ac:dyDescent="0.25">
      <c r="A23" s="61"/>
      <c r="D23" s="36"/>
      <c r="F23" s="37"/>
      <c r="G23" s="11"/>
      <c r="H23" s="11"/>
      <c r="I23" s="11"/>
      <c r="J23" s="11"/>
      <c r="K23" s="11"/>
    </row>
    <row r="24" spans="1:20" ht="19.2" customHeight="1" x14ac:dyDescent="0.25">
      <c r="A24" s="61"/>
      <c r="D24" s="36" t="s">
        <v>38</v>
      </c>
      <c r="F24" s="26">
        <v>2.5000000000000001E-2</v>
      </c>
      <c r="G24" s="36"/>
      <c r="H24" s="36"/>
      <c r="I24" s="36"/>
      <c r="J24" s="36"/>
      <c r="K24" s="36"/>
    </row>
    <row r="25" spans="1:20" x14ac:dyDescent="0.25">
      <c r="A25" s="61"/>
      <c r="G25" s="11"/>
      <c r="H25" s="11"/>
      <c r="I25" s="11"/>
      <c r="J25" s="11"/>
      <c r="K25" s="11"/>
    </row>
    <row r="26" spans="1:20" x14ac:dyDescent="0.25">
      <c r="A26" s="61"/>
      <c r="F26" s="31">
        <v>2021</v>
      </c>
      <c r="G26" s="11"/>
      <c r="H26" s="11"/>
      <c r="I26" s="11"/>
      <c r="J26" s="11"/>
      <c r="K26" s="11"/>
    </row>
    <row r="27" spans="1:20" ht="17.25" customHeight="1" x14ac:dyDescent="0.25">
      <c r="A27" s="61"/>
      <c r="B27" s="60">
        <v>2</v>
      </c>
      <c r="D27" s="35" t="s">
        <v>37</v>
      </c>
      <c r="E27" s="32"/>
      <c r="F27" s="34"/>
      <c r="G27" s="33"/>
      <c r="H27" s="33"/>
      <c r="I27" s="33"/>
      <c r="J27" s="33"/>
      <c r="K27" s="33"/>
      <c r="L27" s="32"/>
      <c r="M27" s="32"/>
    </row>
    <row r="28" spans="1:20" x14ac:dyDescent="0.25">
      <c r="A28" s="61"/>
      <c r="F28" s="31">
        <v>1</v>
      </c>
      <c r="G28" s="11">
        <f>F28+1</f>
        <v>2</v>
      </c>
      <c r="H28" s="11">
        <f>G28+1</f>
        <v>3</v>
      </c>
      <c r="I28" s="11">
        <f>H28+1</f>
        <v>4</v>
      </c>
      <c r="J28" s="11">
        <f>I28+1</f>
        <v>5</v>
      </c>
      <c r="K28" s="11">
        <f>J28+1</f>
        <v>6</v>
      </c>
    </row>
    <row r="29" spans="1:20" x14ac:dyDescent="0.25">
      <c r="A29" s="61"/>
      <c r="D29" s="62" t="s">
        <v>36</v>
      </c>
      <c r="F29" s="62" t="str">
        <f>($F$26+F28)&amp;"e"</f>
        <v>2022e</v>
      </c>
      <c r="G29" s="62" t="str">
        <f>($F$26+G28)&amp;"e"</f>
        <v>2023e</v>
      </c>
      <c r="H29" s="62" t="str">
        <f>($F$26+H28)&amp;"e"</f>
        <v>2024e</v>
      </c>
      <c r="I29" s="62" t="str">
        <f>($F$26+I28)&amp;"e"</f>
        <v>2025e</v>
      </c>
      <c r="J29" s="62" t="str">
        <f>($F$26+J28)&amp;"e"</f>
        <v>2026e</v>
      </c>
      <c r="K29" s="62" t="str">
        <f>($F$26+K28)&amp;"e"</f>
        <v>2027e</v>
      </c>
      <c r="M29" s="62" t="s">
        <v>10</v>
      </c>
    </row>
    <row r="30" spans="1:20" ht="6" customHeight="1" x14ac:dyDescent="0.25">
      <c r="A30" s="61"/>
    </row>
    <row r="31" spans="1:20" x14ac:dyDescent="0.25">
      <c r="A31" s="61"/>
      <c r="D31" s="8" t="s">
        <v>35</v>
      </c>
      <c r="F31" s="23"/>
      <c r="G31" s="23"/>
      <c r="H31" s="23"/>
      <c r="I31" s="23"/>
      <c r="J31" s="23"/>
      <c r="K31" s="23"/>
    </row>
    <row r="32" spans="1:20" ht="6" customHeight="1" x14ac:dyDescent="0.25">
      <c r="A32" s="61"/>
    </row>
    <row r="33" spans="1:14" ht="15" customHeight="1" x14ac:dyDescent="0.25">
      <c r="A33" s="61"/>
      <c r="D33" s="1" t="s">
        <v>34</v>
      </c>
      <c r="F33" s="21">
        <v>4109</v>
      </c>
      <c r="G33" s="21">
        <v>4137</v>
      </c>
      <c r="H33" s="21">
        <v>4328</v>
      </c>
      <c r="I33" s="21">
        <v>4545</v>
      </c>
      <c r="J33" s="21">
        <v>4733</v>
      </c>
      <c r="K33" s="21">
        <v>4905</v>
      </c>
      <c r="M33" s="2">
        <f>K33*(1+M48)</f>
        <v>5027.625</v>
      </c>
    </row>
    <row r="34" spans="1:14" ht="15" customHeight="1" x14ac:dyDescent="0.25">
      <c r="A34" s="61"/>
      <c r="D34" s="1" t="s">
        <v>33</v>
      </c>
      <c r="F34" s="21">
        <v>536</v>
      </c>
      <c r="G34" s="21">
        <v>571</v>
      </c>
      <c r="H34" s="21">
        <v>612</v>
      </c>
      <c r="I34" s="21">
        <v>652</v>
      </c>
      <c r="J34" s="21">
        <v>677</v>
      </c>
      <c r="K34" s="21">
        <v>702</v>
      </c>
      <c r="M34" s="2">
        <f>+M49*M33</f>
        <v>719.00000000000045</v>
      </c>
    </row>
    <row r="35" spans="1:14" ht="15" customHeight="1" x14ac:dyDescent="0.25">
      <c r="A35" s="61"/>
      <c r="D35" s="20" t="s">
        <v>32</v>
      </c>
      <c r="F35" s="21"/>
      <c r="G35" s="21"/>
      <c r="H35" s="21"/>
      <c r="I35" s="21"/>
      <c r="J35" s="21"/>
      <c r="K35" s="21"/>
      <c r="M35" s="2"/>
    </row>
    <row r="36" spans="1:14" ht="15" customHeight="1" x14ac:dyDescent="0.25">
      <c r="A36" s="61"/>
      <c r="D36" s="20" t="s">
        <v>31</v>
      </c>
      <c r="F36" s="2">
        <f>F35+F34</f>
        <v>536</v>
      </c>
      <c r="G36" s="2">
        <f>G35+G34</f>
        <v>571</v>
      </c>
      <c r="H36" s="2">
        <f>H35+H34</f>
        <v>612</v>
      </c>
      <c r="I36" s="2">
        <f>I35+I34</f>
        <v>652</v>
      </c>
      <c r="J36" s="2">
        <f>J35+J34</f>
        <v>677</v>
      </c>
      <c r="K36" s="2">
        <f>K35+K34</f>
        <v>702</v>
      </c>
      <c r="M36" s="2">
        <f>M35+M34</f>
        <v>719.00000000000045</v>
      </c>
    </row>
    <row r="37" spans="1:14" x14ac:dyDescent="0.25">
      <c r="A37" s="61"/>
      <c r="F37" s="2"/>
      <c r="G37" s="2"/>
      <c r="H37" s="2"/>
      <c r="I37" s="2"/>
      <c r="J37" s="2"/>
      <c r="K37" s="2"/>
      <c r="M37" s="2"/>
    </row>
    <row r="38" spans="1:14" x14ac:dyDescent="0.25">
      <c r="A38" s="61"/>
      <c r="D38" s="8" t="s">
        <v>30</v>
      </c>
      <c r="F38" s="2"/>
      <c r="G38" s="23"/>
      <c r="H38" s="23"/>
      <c r="I38" s="23"/>
      <c r="J38" s="23"/>
      <c r="K38" s="23"/>
      <c r="M38" s="2"/>
    </row>
    <row r="39" spans="1:14" ht="6" customHeight="1" x14ac:dyDescent="0.25">
      <c r="A39" s="61"/>
      <c r="F39" s="2"/>
      <c r="G39" s="2"/>
      <c r="H39" s="2"/>
      <c r="I39" s="2"/>
      <c r="J39" s="2"/>
      <c r="K39" s="2"/>
      <c r="M39" s="2"/>
    </row>
    <row r="40" spans="1:14" ht="15" customHeight="1" x14ac:dyDescent="0.25">
      <c r="A40" s="61"/>
      <c r="D40" s="1" t="s">
        <v>29</v>
      </c>
      <c r="F40" s="21"/>
      <c r="G40" s="2"/>
      <c r="H40" s="2"/>
      <c r="I40" s="2"/>
      <c r="J40" s="2"/>
      <c r="K40" s="2"/>
      <c r="M40" s="2"/>
      <c r="N40" s="2"/>
    </row>
    <row r="41" spans="1:14" ht="15" customHeight="1" x14ac:dyDescent="0.25">
      <c r="A41" s="61"/>
      <c r="D41" s="20" t="s">
        <v>28</v>
      </c>
      <c r="F41" s="21">
        <v>-281</v>
      </c>
      <c r="G41" s="21">
        <v>-13</v>
      </c>
      <c r="H41" s="21">
        <v>-85</v>
      </c>
      <c r="I41" s="21">
        <v>-97</v>
      </c>
      <c r="J41" s="21">
        <v>-84</v>
      </c>
      <c r="K41" s="21">
        <v>-77</v>
      </c>
      <c r="M41" s="2">
        <f>M53*M33</f>
        <v>-54.999999999999993</v>
      </c>
    </row>
    <row r="42" spans="1:14" ht="15" customHeight="1" x14ac:dyDescent="0.25">
      <c r="A42" s="61"/>
      <c r="D42" s="20"/>
      <c r="F42" s="2"/>
      <c r="G42" s="2"/>
      <c r="H42" s="2"/>
      <c r="I42" s="2"/>
      <c r="J42" s="2"/>
      <c r="K42" s="2"/>
      <c r="M42" s="2"/>
    </row>
    <row r="43" spans="1:14" x14ac:dyDescent="0.25">
      <c r="A43" s="61"/>
      <c r="F43" s="2"/>
      <c r="G43" s="23"/>
      <c r="H43" s="23"/>
      <c r="I43" s="23"/>
      <c r="J43" s="23"/>
      <c r="K43" s="23"/>
      <c r="M43" s="2"/>
    </row>
    <row r="44" spans="1:14" ht="17.25" customHeight="1" x14ac:dyDescent="0.25">
      <c r="A44" s="61"/>
      <c r="B44" s="60">
        <v>3</v>
      </c>
      <c r="D44" s="17" t="s">
        <v>27</v>
      </c>
      <c r="E44" s="16"/>
      <c r="F44" s="16"/>
      <c r="G44" s="15"/>
      <c r="H44" s="15"/>
      <c r="I44" s="15"/>
      <c r="J44" s="15"/>
      <c r="K44" s="15"/>
      <c r="L44" s="16"/>
      <c r="M44" s="16"/>
    </row>
    <row r="45" spans="1:14" x14ac:dyDescent="0.25">
      <c r="A45" s="61"/>
      <c r="G45" s="11"/>
      <c r="H45" s="11"/>
      <c r="I45" s="11"/>
      <c r="J45" s="11"/>
      <c r="K45" s="11"/>
    </row>
    <row r="46" spans="1:14" x14ac:dyDescent="0.25">
      <c r="A46" s="61"/>
      <c r="D46" s="62"/>
      <c r="F46" s="62" t="str">
        <f>F$29</f>
        <v>2022e</v>
      </c>
      <c r="G46" s="62" t="str">
        <f>G$29</f>
        <v>2023e</v>
      </c>
      <c r="H46" s="62" t="str">
        <f>H$29</f>
        <v>2024e</v>
      </c>
      <c r="I46" s="62" t="str">
        <f>I$29</f>
        <v>2025e</v>
      </c>
      <c r="J46" s="62" t="str">
        <f>J$29</f>
        <v>2026e</v>
      </c>
      <c r="K46" s="62" t="str">
        <f>K$29</f>
        <v>2027e</v>
      </c>
      <c r="M46" s="62" t="s">
        <v>10</v>
      </c>
    </row>
    <row r="47" spans="1:14" ht="6" customHeight="1" x14ac:dyDescent="0.25">
      <c r="A47" s="61"/>
    </row>
    <row r="48" spans="1:14" ht="15" customHeight="1" x14ac:dyDescent="0.25">
      <c r="A48" s="61"/>
      <c r="D48" s="1" t="s">
        <v>26</v>
      </c>
      <c r="F48" s="30" t="s">
        <v>25</v>
      </c>
      <c r="G48" s="29">
        <f>G33/F33-1</f>
        <v>6.8143100511073307E-3</v>
      </c>
      <c r="H48" s="29">
        <f>H33/G33-1</f>
        <v>4.6168721295624771E-2</v>
      </c>
      <c r="I48" s="29">
        <f>I33/H33-1</f>
        <v>5.0138632162661789E-2</v>
      </c>
      <c r="J48" s="29">
        <f>J33/I33-1</f>
        <v>4.136413641364145E-2</v>
      </c>
      <c r="K48" s="29">
        <f>K33/J33-1</f>
        <v>3.634058736530732E-2</v>
      </c>
      <c r="M48" s="23">
        <f>F24</f>
        <v>2.5000000000000001E-2</v>
      </c>
    </row>
    <row r="49" spans="1:20" ht="15" customHeight="1" x14ac:dyDescent="0.25">
      <c r="A49" s="61"/>
      <c r="D49" s="1" t="s">
        <v>24</v>
      </c>
      <c r="F49" s="23">
        <f>F34/F33</f>
        <v>0.13044536383548308</v>
      </c>
      <c r="G49" s="23">
        <f>G34/G33</f>
        <v>0.13802272177906696</v>
      </c>
      <c r="H49" s="23">
        <f>H34/H33</f>
        <v>0.14140480591497229</v>
      </c>
      <c r="I49" s="23">
        <f>I34/I33</f>
        <v>0.14345434543454347</v>
      </c>
      <c r="J49" s="23">
        <f>J34/J33</f>
        <v>0.14303824212972743</v>
      </c>
      <c r="K49" s="23">
        <f>K34/K33</f>
        <v>0.14311926605504588</v>
      </c>
      <c r="M49" s="26">
        <v>0.14300987046567723</v>
      </c>
    </row>
    <row r="50" spans="1:20" ht="15" customHeight="1" x14ac:dyDescent="0.25">
      <c r="A50" s="61"/>
      <c r="D50" s="1" t="s">
        <v>23</v>
      </c>
      <c r="F50" s="23">
        <f>F36/F33</f>
        <v>0.13044536383548308</v>
      </c>
      <c r="G50" s="23">
        <f>G36/G33</f>
        <v>0.13802272177906696</v>
      </c>
      <c r="H50" s="23">
        <f>H36/H33</f>
        <v>0.14140480591497229</v>
      </c>
      <c r="I50" s="23">
        <f>I36/I33</f>
        <v>0.14345434543454347</v>
      </c>
      <c r="J50" s="23">
        <f>J36/J33</f>
        <v>0.14303824212972743</v>
      </c>
      <c r="K50" s="23">
        <f>K36/K33</f>
        <v>0.14311926605504588</v>
      </c>
      <c r="M50" s="23">
        <f>M36/M33</f>
        <v>0.14300987046567723</v>
      </c>
    </row>
    <row r="51" spans="1:20" x14ac:dyDescent="0.25">
      <c r="A51" s="61"/>
      <c r="D51" s="1" t="s">
        <v>22</v>
      </c>
      <c r="E51" s="28"/>
      <c r="F51" s="23">
        <f>-F62/F34</f>
        <v>0.2574626865671642</v>
      </c>
      <c r="G51" s="23">
        <f>-G62/G34</f>
        <v>0.26094570928196148</v>
      </c>
      <c r="H51" s="23">
        <f>-H62/H34</f>
        <v>0.26307189542483661</v>
      </c>
      <c r="I51" s="23">
        <f>-I62/I34</f>
        <v>0.26380368098159507</v>
      </c>
      <c r="J51" s="23">
        <f>-J62/J34</f>
        <v>0.26440177252584934</v>
      </c>
      <c r="K51" s="23">
        <f>-K62/K34</f>
        <v>0.26780626780626782</v>
      </c>
      <c r="M51" s="26">
        <v>0.27538247566063967</v>
      </c>
    </row>
    <row r="52" spans="1:20" ht="15" hidden="1" customHeight="1" x14ac:dyDescent="0.25">
      <c r="A52" s="61"/>
      <c r="D52" s="1" t="s">
        <v>21</v>
      </c>
      <c r="F52" s="23" t="e">
        <f>F36*(1-0.35)/#REF!</f>
        <v>#REF!</v>
      </c>
      <c r="G52" s="23" t="e">
        <f>G36*(1-0.35)/#REF!</f>
        <v>#REF!</v>
      </c>
      <c r="H52" s="23" t="e">
        <f>H36*(1-0.35)/#REF!</f>
        <v>#REF!</v>
      </c>
      <c r="I52" s="23" t="e">
        <f>I36*(1-0.35)/#REF!</f>
        <v>#REF!</v>
      </c>
      <c r="J52" s="23" t="e">
        <f>J36*(1-0.35)/#REF!</f>
        <v>#REF!</v>
      </c>
      <c r="K52" s="23" t="e">
        <f>K36*(1-0.35)/#REF!</f>
        <v>#REF!</v>
      </c>
      <c r="M52" s="23" t="e">
        <f>M36*(1-0.35)/#REF!</f>
        <v>#REF!</v>
      </c>
      <c r="N52" s="27" t="s">
        <v>20</v>
      </c>
    </row>
    <row r="53" spans="1:20" ht="15" customHeight="1" x14ac:dyDescent="0.25">
      <c r="A53" s="61"/>
      <c r="D53" s="1" t="s">
        <v>19</v>
      </c>
      <c r="F53" s="23">
        <f>F41/F33</f>
        <v>-6.8386468727184235E-2</v>
      </c>
      <c r="G53" s="23">
        <f>G41/G33</f>
        <v>-3.1423737007493352E-3</v>
      </c>
      <c r="H53" s="23">
        <f>H41/H33</f>
        <v>-1.9639556377079481E-2</v>
      </c>
      <c r="I53" s="23">
        <f>I41/I33</f>
        <v>-2.1342134213421342E-2</v>
      </c>
      <c r="J53" s="23">
        <f>J41/J33</f>
        <v>-1.7747728713289668E-2</v>
      </c>
      <c r="K53" s="23">
        <f>K41/K33</f>
        <v>-1.5698267074413862E-2</v>
      </c>
      <c r="M53" s="26">
        <v>-1.0939558936873772E-2</v>
      </c>
      <c r="R53" s="3"/>
      <c r="S53" s="3"/>
      <c r="T53" s="3"/>
    </row>
    <row r="54" spans="1:20" outlineLevel="1" x14ac:dyDescent="0.25">
      <c r="A54" s="61"/>
      <c r="F54" s="25"/>
      <c r="G54" s="25"/>
      <c r="H54" s="25"/>
      <c r="I54" s="25"/>
      <c r="J54" s="25"/>
      <c r="K54" s="25"/>
      <c r="L54" s="25"/>
      <c r="M54" s="25"/>
      <c r="R54" s="3"/>
      <c r="S54" s="3"/>
      <c r="T54" s="3"/>
    </row>
    <row r="55" spans="1:20" ht="6" customHeight="1" x14ac:dyDescent="0.25">
      <c r="A55" s="61"/>
      <c r="F55" s="23"/>
      <c r="G55" s="23"/>
      <c r="H55" s="23"/>
      <c r="I55" s="23"/>
      <c r="J55" s="23"/>
      <c r="K55" s="23"/>
      <c r="M55" s="24"/>
      <c r="R55" s="3"/>
      <c r="S55" s="3"/>
      <c r="T55" s="3"/>
    </row>
    <row r="56" spans="1:20" x14ac:dyDescent="0.25">
      <c r="A56" s="61"/>
      <c r="F56" s="23"/>
      <c r="G56" s="23"/>
      <c r="H56" s="23"/>
      <c r="I56" s="23"/>
      <c r="J56" s="23"/>
      <c r="K56" s="23"/>
      <c r="L56" s="23"/>
      <c r="M56" s="23"/>
    </row>
    <row r="57" spans="1:20" ht="17.25" customHeight="1" x14ac:dyDescent="0.25">
      <c r="A57" s="61"/>
      <c r="B57" s="60">
        <v>4</v>
      </c>
      <c r="D57" s="17" t="s">
        <v>18</v>
      </c>
      <c r="E57" s="16"/>
      <c r="F57" s="16"/>
      <c r="G57" s="15"/>
      <c r="H57" s="15"/>
      <c r="I57" s="15"/>
      <c r="J57" s="15"/>
      <c r="K57" s="15"/>
      <c r="L57" s="16"/>
      <c r="M57" s="16"/>
    </row>
    <row r="58" spans="1:20" x14ac:dyDescent="0.25">
      <c r="A58" s="61"/>
      <c r="G58" s="11"/>
      <c r="H58" s="11"/>
      <c r="I58" s="11"/>
      <c r="J58" s="11"/>
      <c r="K58" s="11"/>
    </row>
    <row r="59" spans="1:20" x14ac:dyDescent="0.25">
      <c r="A59" s="61"/>
      <c r="D59" s="62" t="str">
        <f>D29</f>
        <v>En mMAD</v>
      </c>
      <c r="F59" s="62" t="str">
        <f>F$29</f>
        <v>2022e</v>
      </c>
      <c r="G59" s="62" t="str">
        <f>G$29</f>
        <v>2023e</v>
      </c>
      <c r="H59" s="62" t="str">
        <f>H$29</f>
        <v>2024e</v>
      </c>
      <c r="I59" s="62" t="str">
        <f>I$29</f>
        <v>2025e</v>
      </c>
      <c r="J59" s="62" t="str">
        <f>J$29</f>
        <v>2026e</v>
      </c>
      <c r="K59" s="62" t="str">
        <f>K$29</f>
        <v>2027e</v>
      </c>
      <c r="M59" s="62" t="s">
        <v>10</v>
      </c>
    </row>
    <row r="60" spans="1:20" ht="6" customHeight="1" x14ac:dyDescent="0.25">
      <c r="A60" s="61"/>
    </row>
    <row r="61" spans="1:20" ht="15" customHeight="1" x14ac:dyDescent="0.25">
      <c r="A61" s="61"/>
      <c r="D61" s="1" t="s">
        <v>17</v>
      </c>
      <c r="F61" s="2">
        <f>F36</f>
        <v>536</v>
      </c>
      <c r="G61" s="2">
        <f>G36</f>
        <v>571</v>
      </c>
      <c r="H61" s="2">
        <f>H36</f>
        <v>612</v>
      </c>
      <c r="I61" s="2">
        <f>I36</f>
        <v>652</v>
      </c>
      <c r="J61" s="2">
        <f>J36</f>
        <v>677</v>
      </c>
      <c r="K61" s="2">
        <f>K36</f>
        <v>702</v>
      </c>
      <c r="M61" s="2">
        <f>M36</f>
        <v>719.00000000000045</v>
      </c>
    </row>
    <row r="62" spans="1:20" ht="15" customHeight="1" x14ac:dyDescent="0.25">
      <c r="A62" s="61"/>
      <c r="D62" s="20" t="s">
        <v>16</v>
      </c>
      <c r="F62" s="21">
        <v>-138</v>
      </c>
      <c r="G62" s="21">
        <v>-149</v>
      </c>
      <c r="H62" s="21">
        <v>-161</v>
      </c>
      <c r="I62" s="21">
        <v>-172</v>
      </c>
      <c r="J62" s="21">
        <v>-179</v>
      </c>
      <c r="K62" s="21">
        <v>-188</v>
      </c>
      <c r="M62" s="2">
        <f>-M36*M51</f>
        <v>-198.00000000000006</v>
      </c>
    </row>
    <row r="63" spans="1:20" ht="15" customHeight="1" x14ac:dyDescent="0.25">
      <c r="A63" s="61"/>
      <c r="D63" s="20" t="s">
        <v>15</v>
      </c>
      <c r="F63" s="2">
        <f>-F35</f>
        <v>0</v>
      </c>
      <c r="G63" s="2">
        <f>-G35</f>
        <v>0</v>
      </c>
      <c r="H63" s="2">
        <f>-H35</f>
        <v>0</v>
      </c>
      <c r="I63" s="2">
        <f>-I35</f>
        <v>0</v>
      </c>
      <c r="J63" s="2">
        <f>-J35</f>
        <v>0</v>
      </c>
      <c r="K63" s="2">
        <f>-K35</f>
        <v>0</v>
      </c>
      <c r="M63" s="2"/>
      <c r="N63" s="22"/>
    </row>
    <row r="64" spans="1:20" ht="15" customHeight="1" x14ac:dyDescent="0.25">
      <c r="A64" s="61"/>
      <c r="D64" s="20" t="s">
        <v>14</v>
      </c>
      <c r="F64" s="21">
        <f>F41</f>
        <v>-281</v>
      </c>
      <c r="G64" s="21">
        <f>G41</f>
        <v>-13</v>
      </c>
      <c r="H64" s="21">
        <f>H41</f>
        <v>-85</v>
      </c>
      <c r="I64" s="21">
        <f>I41</f>
        <v>-97</v>
      </c>
      <c r="J64" s="21">
        <f>J41</f>
        <v>-84</v>
      </c>
      <c r="K64" s="21">
        <f>K41</f>
        <v>-77</v>
      </c>
      <c r="M64" s="2">
        <f>M41</f>
        <v>-54.999999999999993</v>
      </c>
    </row>
    <row r="65" spans="1:13" ht="15" customHeight="1" x14ac:dyDescent="0.25">
      <c r="A65" s="61"/>
      <c r="D65" s="20" t="s">
        <v>13</v>
      </c>
      <c r="F65" s="21">
        <v>-82</v>
      </c>
      <c r="G65" s="21">
        <v>-79</v>
      </c>
      <c r="H65" s="21">
        <v>-78</v>
      </c>
      <c r="I65" s="21">
        <v>-77</v>
      </c>
      <c r="J65" s="21">
        <v>-80</v>
      </c>
      <c r="K65" s="21">
        <v>-78</v>
      </c>
      <c r="M65" s="21">
        <v>-80</v>
      </c>
    </row>
    <row r="66" spans="1:13" ht="6" customHeight="1" x14ac:dyDescent="0.25">
      <c r="A66" s="61"/>
      <c r="D66" s="20"/>
      <c r="F66" s="2"/>
      <c r="G66" s="2"/>
      <c r="H66" s="2"/>
      <c r="I66" s="2"/>
      <c r="J66" s="2"/>
      <c r="K66" s="2"/>
      <c r="M66" s="19"/>
    </row>
    <row r="67" spans="1:13" ht="15.75" customHeight="1" x14ac:dyDescent="0.25">
      <c r="A67" s="61"/>
      <c r="D67" s="18" t="s">
        <v>12</v>
      </c>
      <c r="F67" s="9">
        <f>F61+F62+F63+F64+F65</f>
        <v>35</v>
      </c>
      <c r="G67" s="9">
        <f>G61+G62+G63+G64+G65</f>
        <v>330</v>
      </c>
      <c r="H67" s="9">
        <f>H61+H62+H63+H64+H65</f>
        <v>288</v>
      </c>
      <c r="I67" s="9">
        <f>I61+I62+I63+I64+I65</f>
        <v>306</v>
      </c>
      <c r="J67" s="9">
        <f>J61+J62+J63+J64+J65</f>
        <v>334</v>
      </c>
      <c r="K67" s="9">
        <f>K61+K62+K63+K64+K65</f>
        <v>359</v>
      </c>
      <c r="M67" s="9">
        <f>M61+M62+M63+M64+M65</f>
        <v>386.00000000000045</v>
      </c>
    </row>
    <row r="68" spans="1:13" x14ac:dyDescent="0.25">
      <c r="A68" s="61"/>
      <c r="G68" s="11"/>
      <c r="H68" s="11"/>
      <c r="I68" s="11"/>
      <c r="J68" s="11"/>
      <c r="K68" s="11"/>
    </row>
    <row r="69" spans="1:13" x14ac:dyDescent="0.25">
      <c r="A69" s="61"/>
      <c r="G69" s="11"/>
      <c r="H69" s="11"/>
      <c r="I69" s="11"/>
      <c r="J69" s="11"/>
      <c r="K69" s="11"/>
    </row>
    <row r="70" spans="1:13" ht="17.25" customHeight="1" x14ac:dyDescent="0.25">
      <c r="A70" s="61"/>
      <c r="B70" s="60">
        <v>5</v>
      </c>
      <c r="D70" s="17" t="s">
        <v>11</v>
      </c>
      <c r="E70" s="16"/>
      <c r="F70" s="16"/>
      <c r="G70" s="15"/>
      <c r="H70" s="15"/>
      <c r="I70" s="15"/>
      <c r="J70" s="15"/>
      <c r="K70" s="15"/>
      <c r="L70" s="14"/>
      <c r="M70" s="14"/>
    </row>
    <row r="71" spans="1:13" x14ac:dyDescent="0.25">
      <c r="A71" s="61"/>
      <c r="G71" s="11"/>
      <c r="H71" s="11"/>
      <c r="I71" s="11"/>
      <c r="J71" s="11"/>
      <c r="K71" s="11"/>
    </row>
    <row r="72" spans="1:13" x14ac:dyDescent="0.25">
      <c r="A72" s="61"/>
      <c r="D72" s="62" t="str">
        <f>D59</f>
        <v>En mMAD</v>
      </c>
      <c r="F72" s="62" t="str">
        <f>F$29</f>
        <v>2022e</v>
      </c>
      <c r="G72" s="62" t="str">
        <f>G$29</f>
        <v>2023e</v>
      </c>
      <c r="H72" s="62" t="str">
        <f>H$29</f>
        <v>2024e</v>
      </c>
      <c r="I72" s="62" t="str">
        <f>I$29</f>
        <v>2025e</v>
      </c>
      <c r="J72" s="62" t="str">
        <f>J$29</f>
        <v>2026e</v>
      </c>
      <c r="K72" s="62" t="str">
        <f>K$29</f>
        <v>2027e</v>
      </c>
      <c r="M72" s="13" t="s">
        <v>10</v>
      </c>
    </row>
    <row r="73" spans="1:13" ht="6" customHeight="1" x14ac:dyDescent="0.25">
      <c r="A73" s="61"/>
    </row>
    <row r="74" spans="1:13" ht="15" customHeight="1" x14ac:dyDescent="0.25">
      <c r="A74" s="61"/>
      <c r="D74" s="1" t="s">
        <v>9</v>
      </c>
      <c r="F74" s="12">
        <f>1/(1+$F$22)^F1</f>
        <v>0.92587456964812886</v>
      </c>
      <c r="G74" s="12">
        <f>1/(1+$F$22)^G1</f>
        <v>0.85724371872110794</v>
      </c>
      <c r="H74" s="12">
        <f>1/(1+$F$22)^H1</f>
        <v>0.79370015915446734</v>
      </c>
      <c r="I74" s="12">
        <f>1/(1+$F$22)^I1</f>
        <v>0.73486679328679405</v>
      </c>
      <c r="J74" s="12">
        <f>1/(1+$F$22)^J1</f>
        <v>0.68039447598311087</v>
      </c>
      <c r="K74" s="12">
        <f>1/(1+$F$22)^K1</f>
        <v>0.62995994264182698</v>
      </c>
    </row>
    <row r="75" spans="1:13" ht="15" customHeight="1" x14ac:dyDescent="0.25">
      <c r="A75" s="61"/>
      <c r="D75" s="1" t="s">
        <v>8</v>
      </c>
      <c r="F75" s="2">
        <f>F74*F67</f>
        <v>32.40560993768451</v>
      </c>
      <c r="G75" s="2">
        <f>G74*G67</f>
        <v>282.89042717796565</v>
      </c>
      <c r="H75" s="2">
        <f>H74*H67</f>
        <v>228.58564583648661</v>
      </c>
      <c r="I75" s="2">
        <f>I74*I67</f>
        <v>224.86923874575899</v>
      </c>
      <c r="J75" s="2">
        <f>J74*J67</f>
        <v>227.25175497835903</v>
      </c>
      <c r="K75" s="2">
        <f>K74*K67</f>
        <v>226.15561940841587</v>
      </c>
    </row>
    <row r="76" spans="1:13" ht="15" customHeight="1" x14ac:dyDescent="0.25">
      <c r="A76" s="61"/>
      <c r="D76" s="1" t="s">
        <v>7</v>
      </c>
      <c r="F76" s="2"/>
      <c r="G76" s="2"/>
      <c r="H76" s="2"/>
      <c r="I76" s="2"/>
      <c r="J76" s="2"/>
      <c r="K76" s="64">
        <f>(M67/(F22-F24))/(1+F22)^K1</f>
        <v>4416.3631702748999</v>
      </c>
    </row>
    <row r="77" spans="1:13" ht="6" customHeight="1" x14ac:dyDescent="0.25">
      <c r="A77" s="61"/>
      <c r="F77" s="2"/>
      <c r="G77" s="2"/>
      <c r="H77" s="2"/>
      <c r="I77" s="2"/>
      <c r="J77" s="2"/>
      <c r="K77" s="2"/>
      <c r="M77" s="2"/>
    </row>
    <row r="78" spans="1:13" ht="15" customHeight="1" x14ac:dyDescent="0.25">
      <c r="A78" s="61"/>
      <c r="D78" s="10" t="s">
        <v>6</v>
      </c>
      <c r="E78" s="8"/>
      <c r="F78" s="9">
        <f>SUM(F75:K76)</f>
        <v>5638.5214663595707</v>
      </c>
      <c r="G78" s="2"/>
      <c r="H78" s="2"/>
      <c r="I78" s="2"/>
      <c r="J78" s="2"/>
      <c r="K78" s="2"/>
      <c r="M78" s="2"/>
    </row>
    <row r="79" spans="1:13" x14ac:dyDescent="0.25">
      <c r="A79" s="61"/>
      <c r="G79" s="11"/>
      <c r="H79" s="11"/>
      <c r="I79" s="11"/>
      <c r="J79" s="11"/>
      <c r="K79" s="11"/>
    </row>
    <row r="80" spans="1:13" ht="16.8" customHeight="1" x14ac:dyDescent="0.25">
      <c r="A80" s="61"/>
      <c r="D80" s="1" t="s">
        <v>5</v>
      </c>
      <c r="F80" s="92">
        <v>-970</v>
      </c>
      <c r="G80" s="11"/>
      <c r="H80" s="11"/>
      <c r="I80" s="11"/>
      <c r="J80" s="11"/>
      <c r="K80" s="11"/>
    </row>
    <row r="81" spans="1:16" x14ac:dyDescent="0.25">
      <c r="A81" s="61"/>
      <c r="D81" s="1" t="s">
        <v>4</v>
      </c>
      <c r="F81" s="93">
        <v>-33</v>
      </c>
      <c r="G81" s="2"/>
      <c r="H81" s="2"/>
      <c r="I81" s="2"/>
      <c r="J81" s="2"/>
      <c r="K81" s="2"/>
    </row>
    <row r="82" spans="1:16" ht="15" customHeight="1" x14ac:dyDescent="0.25">
      <c r="A82" s="61"/>
      <c r="G82" s="2"/>
      <c r="H82" s="2"/>
      <c r="I82" s="2"/>
      <c r="J82" s="2"/>
      <c r="K82" s="2"/>
    </row>
    <row r="83" spans="1:16" x14ac:dyDescent="0.25">
      <c r="A83" s="61"/>
      <c r="D83" s="10" t="s">
        <v>3</v>
      </c>
      <c r="E83" s="8"/>
      <c r="F83" s="9">
        <f>F78+F80+F81</f>
        <v>4635.5214663595707</v>
      </c>
      <c r="G83" s="2">
        <v>1000000</v>
      </c>
      <c r="H83" s="2"/>
      <c r="I83" s="2"/>
      <c r="J83" s="2"/>
      <c r="K83" s="2"/>
    </row>
    <row r="84" spans="1:16" ht="15" customHeight="1" x14ac:dyDescent="0.25">
      <c r="A84" s="61"/>
      <c r="F84" s="2"/>
      <c r="G84" s="2"/>
      <c r="H84" s="2"/>
      <c r="I84" s="2"/>
      <c r="J84" s="2"/>
      <c r="K84" s="2"/>
    </row>
    <row r="85" spans="1:16" x14ac:dyDescent="0.25">
      <c r="A85" s="61"/>
      <c r="D85" s="8" t="s">
        <v>1</v>
      </c>
      <c r="F85" s="2">
        <f>2943396</f>
        <v>2943396</v>
      </c>
      <c r="G85" s="2">
        <v>10</v>
      </c>
      <c r="H85" s="11"/>
      <c r="I85" s="11"/>
      <c r="J85" s="11"/>
      <c r="K85" s="11"/>
      <c r="L85" s="11"/>
      <c r="M85" s="11"/>
      <c r="N85" s="11"/>
      <c r="O85" s="11"/>
      <c r="P85" s="11"/>
    </row>
    <row r="86" spans="1:16" x14ac:dyDescent="0.25">
      <c r="A86" s="61"/>
      <c r="F86" s="2"/>
      <c r="G86" s="2"/>
      <c r="H86" s="11"/>
      <c r="I86" s="11"/>
      <c r="J86" s="11"/>
      <c r="K86" s="11"/>
      <c r="L86" s="11"/>
      <c r="M86" s="11"/>
      <c r="N86" s="11"/>
      <c r="O86" s="11"/>
      <c r="P86" s="11"/>
    </row>
    <row r="87" spans="1:16" x14ac:dyDescent="0.25">
      <c r="A87" s="61"/>
      <c r="D87" s="7" t="s">
        <v>0</v>
      </c>
      <c r="E87" s="6"/>
      <c r="F87" s="4">
        <f>(F83*G83)/(F85*G85)</f>
        <v>157.48888244597637</v>
      </c>
      <c r="G87" s="5"/>
      <c r="H87" s="11"/>
      <c r="I87" s="11"/>
      <c r="J87" s="11"/>
      <c r="K87" s="11"/>
      <c r="L87" s="11"/>
      <c r="M87" s="11"/>
      <c r="N87" s="11"/>
      <c r="O87" s="11"/>
      <c r="P87" s="11"/>
    </row>
    <row r="88" spans="1:16" x14ac:dyDescent="0.25">
      <c r="A88" s="61"/>
      <c r="F88" s="2"/>
      <c r="G88" s="2"/>
      <c r="H88" s="11"/>
      <c r="I88" s="11"/>
      <c r="J88" s="11"/>
      <c r="K88" s="11"/>
      <c r="L88" s="11"/>
      <c r="M88" s="11"/>
      <c r="N88" s="11"/>
      <c r="O88" s="11"/>
      <c r="P88" s="11"/>
    </row>
    <row r="89" spans="1:16" x14ac:dyDescent="0.25">
      <c r="A89" s="61"/>
      <c r="F89" s="2"/>
      <c r="G89" s="2"/>
      <c r="H89" s="11"/>
      <c r="I89" s="11"/>
      <c r="J89" s="11"/>
      <c r="K89" s="11"/>
      <c r="L89" s="11"/>
      <c r="M89" s="11"/>
      <c r="N89" s="11"/>
      <c r="O89" s="11"/>
      <c r="P89" s="11"/>
    </row>
    <row r="90" spans="1:16" x14ac:dyDescent="0.25">
      <c r="A90" s="61"/>
      <c r="C90" s="84"/>
      <c r="D90" s="84" t="s">
        <v>60</v>
      </c>
      <c r="E90" s="84"/>
      <c r="F90" s="85">
        <v>0.13600000000000001</v>
      </c>
      <c r="G90" s="2"/>
      <c r="H90" s="11"/>
      <c r="I90" s="11"/>
      <c r="J90" s="11"/>
      <c r="K90" s="11"/>
      <c r="L90" s="11"/>
      <c r="M90" s="11"/>
      <c r="N90" s="11"/>
      <c r="O90" s="11"/>
      <c r="P90" s="11"/>
    </row>
    <row r="91" spans="1:16" x14ac:dyDescent="0.25">
      <c r="A91" s="61"/>
      <c r="F91" s="2"/>
      <c r="G91" s="2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29.4" customHeight="1" x14ac:dyDescent="0.25">
      <c r="A92" s="61"/>
      <c r="B92" s="83"/>
      <c r="D92" s="63" t="s">
        <v>69</v>
      </c>
      <c r="E92" s="90"/>
      <c r="F92" s="91">
        <f>(1-F90)*F87</f>
        <v>136.07039443332357</v>
      </c>
      <c r="G92" s="2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0.6" customHeight="1" x14ac:dyDescent="0.25">
      <c r="D93" s="81"/>
      <c r="E93" s="81"/>
      <c r="F93" s="82"/>
      <c r="G93" s="2"/>
      <c r="H93" s="11"/>
      <c r="I93" s="11"/>
      <c r="J93" s="11"/>
      <c r="K93" s="11"/>
      <c r="L93" s="11"/>
      <c r="M93" s="11"/>
      <c r="N93" s="11"/>
      <c r="O93" s="11"/>
      <c r="P93" s="11"/>
    </row>
    <row r="94" spans="1:16" x14ac:dyDescent="0.25">
      <c r="A94" s="61"/>
      <c r="F94" s="2"/>
      <c r="G94" s="2"/>
      <c r="H94" s="2"/>
      <c r="I94" s="2"/>
      <c r="J94" s="2"/>
      <c r="K94" s="2"/>
    </row>
    <row r="95" spans="1:16" x14ac:dyDescent="0.25">
      <c r="A95" s="61"/>
      <c r="F95" s="2"/>
      <c r="G95" s="2"/>
      <c r="H95" s="2"/>
      <c r="I95" s="2"/>
      <c r="J95" s="2"/>
      <c r="K95" s="2"/>
    </row>
    <row r="96" spans="1:16" x14ac:dyDescent="0.25">
      <c r="A96" s="61"/>
    </row>
    <row r="97" spans="1:11" ht="18" customHeight="1" x14ac:dyDescent="0.25">
      <c r="A97" s="61"/>
      <c r="B97" s="60">
        <v>6</v>
      </c>
      <c r="D97" s="17" t="s">
        <v>76</v>
      </c>
      <c r="E97" s="16"/>
      <c r="F97" s="16"/>
      <c r="G97" s="32"/>
      <c r="H97" s="32"/>
      <c r="I97" s="32"/>
      <c r="J97" s="32"/>
      <c r="K97" s="32"/>
    </row>
    <row r="98" spans="1:11" x14ac:dyDescent="0.25">
      <c r="A98" s="61"/>
    </row>
    <row r="99" spans="1:11" x14ac:dyDescent="0.25">
      <c r="A99" s="61"/>
      <c r="G99" s="96" t="s">
        <v>64</v>
      </c>
      <c r="H99" s="96"/>
      <c r="I99" s="96"/>
    </row>
    <row r="100" spans="1:11" x14ac:dyDescent="0.25">
      <c r="A100" s="61"/>
    </row>
    <row r="101" spans="1:11" x14ac:dyDescent="0.25">
      <c r="A101" s="61"/>
      <c r="G101" s="94" t="s">
        <v>63</v>
      </c>
      <c r="H101" s="94"/>
      <c r="I101" s="94"/>
      <c r="J101" s="94"/>
      <c r="K101" s="94"/>
    </row>
    <row r="102" spans="1:11" x14ac:dyDescent="0.25">
      <c r="A102" s="61"/>
      <c r="F102" s="67">
        <f>F83</f>
        <v>4635.5214663595707</v>
      </c>
      <c r="G102" s="55">
        <v>7.51E-2</v>
      </c>
      <c r="H102" s="55">
        <v>7.7600000000000002E-2</v>
      </c>
      <c r="I102" s="55">
        <v>8.0059905285055966E-2</v>
      </c>
      <c r="J102" s="55">
        <v>8.2600000000000007E-2</v>
      </c>
      <c r="K102" s="55">
        <v>8.5099999999999995E-2</v>
      </c>
    </row>
    <row r="103" spans="1:11" x14ac:dyDescent="0.25">
      <c r="A103" s="61"/>
      <c r="E103" s="95" t="s">
        <v>65</v>
      </c>
      <c r="F103" s="55">
        <v>0.02</v>
      </c>
      <c r="G103" s="44">
        <f t="dataTable" ref="G103:K107" dt2D="1" dtr="1" r1="F22" r2="F24"/>
        <v>4750.9130941812109</v>
      </c>
      <c r="H103" s="44">
        <v>4484.4310088355569</v>
      </c>
      <c r="I103" s="44">
        <v>4244.0153152337116</v>
      </c>
      <c r="J103" s="44">
        <v>4015.727545010519</v>
      </c>
      <c r="K103" s="44">
        <v>3808.5670175346677</v>
      </c>
    </row>
    <row r="104" spans="1:11" x14ac:dyDescent="0.25">
      <c r="A104" s="61"/>
      <c r="E104" s="95"/>
      <c r="F104" s="55">
        <f>F103+0.25%</f>
        <v>2.2499999999999999E-2</v>
      </c>
      <c r="G104" s="44">
        <v>4979.2605241184447</v>
      </c>
      <c r="H104" s="44">
        <v>4690.6425285860141</v>
      </c>
      <c r="I104" s="44">
        <v>4431.2662453104085</v>
      </c>
      <c r="J104" s="44">
        <v>4185.8561262314206</v>
      </c>
      <c r="K104" s="44">
        <v>3963.8973304476058</v>
      </c>
    </row>
    <row r="105" spans="1:11" x14ac:dyDescent="0.25">
      <c r="A105" s="61"/>
      <c r="E105" s="95"/>
      <c r="F105" s="55">
        <f t="shared" ref="F105:F107" si="0">F104+0.25%</f>
        <v>2.4999999999999998E-2</v>
      </c>
      <c r="G105" s="44">
        <v>5230.3971187200732</v>
      </c>
      <c r="H105" s="44">
        <v>4916.4559038260577</v>
      </c>
      <c r="I105" s="66">
        <v>4635.5214663595698</v>
      </c>
      <c r="J105" s="44">
        <v>4370.7528134610802</v>
      </c>
      <c r="K105" s="44">
        <v>4132.1502983449818</v>
      </c>
    </row>
    <row r="106" spans="1:11" x14ac:dyDescent="0.25">
      <c r="A106" s="61"/>
      <c r="E106" s="95"/>
      <c r="F106" s="55">
        <f t="shared" si="0"/>
        <v>2.7499999999999997E-2</v>
      </c>
      <c r="G106" s="44">
        <v>5507.9136077126295</v>
      </c>
      <c r="H106" s="44">
        <v>5164.8055440601192</v>
      </c>
      <c r="I106" s="44">
        <v>4859.2073941367416</v>
      </c>
      <c r="J106" s="44">
        <v>4572.4277844683866</v>
      </c>
      <c r="K106" s="44">
        <v>4315.0085585945608</v>
      </c>
    </row>
    <row r="107" spans="1:11" x14ac:dyDescent="0.25">
      <c r="A107" s="61"/>
      <c r="E107" s="95"/>
      <c r="F107" s="55">
        <f t="shared" si="0"/>
        <v>2.9999999999999995E-2</v>
      </c>
      <c r="G107" s="44">
        <v>5816.196891493717</v>
      </c>
      <c r="H107" s="44">
        <v>5439.2423313775907</v>
      </c>
      <c r="I107" s="44">
        <v>5105.2351468238312</v>
      </c>
      <c r="J107" s="44">
        <v>4793.2733800961596</v>
      </c>
      <c r="K107" s="44">
        <v>4514.4601273967328</v>
      </c>
    </row>
    <row r="108" spans="1:11" x14ac:dyDescent="0.25">
      <c r="A108" s="61"/>
    </row>
    <row r="109" spans="1:11" x14ac:dyDescent="0.25">
      <c r="A109" s="61"/>
    </row>
  </sheetData>
  <mergeCells count="8">
    <mergeCell ref="E103:E107"/>
    <mergeCell ref="H22:I22"/>
    <mergeCell ref="G101:K101"/>
    <mergeCell ref="D5:L5"/>
    <mergeCell ref="D6:K6"/>
    <mergeCell ref="D4:F4"/>
    <mergeCell ref="D7:J7"/>
    <mergeCell ref="G99:I99"/>
  </mergeCells>
  <pageMargins left="0.78740157499999996" right="0.78740157499999996" top="0.984251969" bottom="0.984251969" header="0.4921259845" footer="0.4921259845"/>
  <pageSetup paperSize="9" orientation="portrait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A663-15A9-43FA-A39A-C0DAEA14047B}">
  <dimension ref="A2:P29"/>
  <sheetViews>
    <sheetView showGridLines="0" zoomScale="80" zoomScaleNormal="80" workbookViewId="0">
      <selection activeCell="B21" sqref="B21"/>
    </sheetView>
  </sheetViews>
  <sheetFormatPr baseColWidth="10" defaultRowHeight="13.2" x14ac:dyDescent="0.25"/>
  <cols>
    <col min="1" max="1" width="4" customWidth="1"/>
    <col min="2" max="2" width="43.77734375" bestFit="1" customWidth="1"/>
    <col min="4" max="4" width="11.5546875" style="42"/>
    <col min="7" max="7" width="2.109375" customWidth="1"/>
    <col min="9" max="9" width="16.88671875" bestFit="1" customWidth="1"/>
    <col min="14" max="14" width="13.109375" bestFit="1" customWidth="1"/>
  </cols>
  <sheetData>
    <row r="2" spans="1:16" x14ac:dyDescent="0.25">
      <c r="A2" s="73"/>
      <c r="B2" s="74" t="s">
        <v>56</v>
      </c>
    </row>
    <row r="3" spans="1:16" ht="3.6" customHeight="1" x14ac:dyDescent="0.25">
      <c r="B3" s="75"/>
      <c r="C3" s="75"/>
      <c r="D3" s="76"/>
    </row>
    <row r="4" spans="1:16" x14ac:dyDescent="0.25">
      <c r="G4" s="77"/>
      <c r="H4" s="78" t="s">
        <v>51</v>
      </c>
      <c r="I4" s="79"/>
      <c r="J4" s="79"/>
    </row>
    <row r="5" spans="1:16" x14ac:dyDescent="0.25">
      <c r="B5" s="38" t="s">
        <v>55</v>
      </c>
      <c r="C5" s="51">
        <v>2.3199999999999998E-2</v>
      </c>
      <c r="I5" s="38" t="s">
        <v>52</v>
      </c>
      <c r="J5" s="58">
        <f>C8</f>
        <v>0.96</v>
      </c>
    </row>
    <row r="6" spans="1:16" x14ac:dyDescent="0.25">
      <c r="B6" s="38" t="s">
        <v>54</v>
      </c>
      <c r="C6" s="51">
        <v>6.2300000000000001E-2</v>
      </c>
      <c r="I6" s="38" t="s">
        <v>53</v>
      </c>
      <c r="J6" s="59">
        <f>C7</f>
        <v>0.31</v>
      </c>
    </row>
    <row r="7" spans="1:16" x14ac:dyDescent="0.25">
      <c r="B7" s="38" t="s">
        <v>53</v>
      </c>
      <c r="C7" s="59">
        <v>0.31</v>
      </c>
      <c r="I7" s="38" t="s">
        <v>50</v>
      </c>
      <c r="J7" s="46">
        <f>C10</f>
        <v>0.51890000000000003</v>
      </c>
    </row>
    <row r="8" spans="1:16" x14ac:dyDescent="0.25">
      <c r="B8" s="38" t="s">
        <v>52</v>
      </c>
      <c r="C8" s="58">
        <v>0.96</v>
      </c>
    </row>
    <row r="9" spans="1:16" x14ac:dyDescent="0.25">
      <c r="B9" s="38" t="s">
        <v>51</v>
      </c>
      <c r="C9" s="57">
        <f>J9</f>
        <v>1.3037193600000001</v>
      </c>
      <c r="I9" s="78" t="s">
        <v>51</v>
      </c>
      <c r="J9" s="87">
        <f>(1+(1-J6)*J7)*J5</f>
        <v>1.3037193600000001</v>
      </c>
    </row>
    <row r="10" spans="1:16" x14ac:dyDescent="0.25">
      <c r="B10" s="38" t="s">
        <v>50</v>
      </c>
      <c r="C10" s="51">
        <v>0.51890000000000003</v>
      </c>
    </row>
    <row r="11" spans="1:16" x14ac:dyDescent="0.25">
      <c r="B11" s="56" t="s">
        <v>49</v>
      </c>
      <c r="C11" s="80">
        <f>C5+(C6*C9)</f>
        <v>0.10442171612800001</v>
      </c>
      <c r="G11" s="86"/>
      <c r="H11" s="78" t="s">
        <v>70</v>
      </c>
      <c r="I11" s="79"/>
      <c r="J11" s="79"/>
      <c r="K11" s="79"/>
      <c r="L11" s="79"/>
      <c r="M11" s="79"/>
      <c r="N11" s="79"/>
      <c r="O11" s="79"/>
      <c r="P11" s="79"/>
    </row>
    <row r="12" spans="1:16" ht="10.199999999999999" customHeight="1" x14ac:dyDescent="0.25">
      <c r="B12" s="38"/>
      <c r="C12" s="46"/>
      <c r="O12" s="89" t="s">
        <v>10</v>
      </c>
    </row>
    <row r="13" spans="1:16" x14ac:dyDescent="0.25">
      <c r="B13" s="38" t="s">
        <v>48</v>
      </c>
      <c r="C13" s="46">
        <v>4.8000000000000001E-2</v>
      </c>
      <c r="K13" s="74">
        <v>2018</v>
      </c>
      <c r="L13" s="74">
        <f>K13+1</f>
        <v>2019</v>
      </c>
      <c r="M13" s="74">
        <f>L13+1</f>
        <v>2020</v>
      </c>
      <c r="N13" s="74">
        <f>M13+1</f>
        <v>2021</v>
      </c>
      <c r="O13" s="47">
        <v>2027</v>
      </c>
    </row>
    <row r="14" spans="1:16" x14ac:dyDescent="0.25">
      <c r="B14" s="56" t="s">
        <v>47</v>
      </c>
      <c r="C14" s="80">
        <f>(1-C7)*C13</f>
        <v>3.3119999999999997E-2</v>
      </c>
      <c r="H14" t="s">
        <v>46</v>
      </c>
      <c r="I14">
        <v>845</v>
      </c>
      <c r="J14" s="88">
        <f>I14*(1+C10)</f>
        <v>1283.4704999999999</v>
      </c>
      <c r="K14">
        <v>1075</v>
      </c>
      <c r="L14">
        <v>858</v>
      </c>
      <c r="M14">
        <v>840</v>
      </c>
      <c r="N14">
        <v>970</v>
      </c>
      <c r="O14" s="47">
        <v>845</v>
      </c>
    </row>
    <row r="15" spans="1:16" x14ac:dyDescent="0.25">
      <c r="H15" t="s">
        <v>2</v>
      </c>
      <c r="I15" s="54">
        <v>1259766</v>
      </c>
      <c r="K15" s="53">
        <f>K14/K16</f>
        <v>764.58036984352782</v>
      </c>
      <c r="L15" s="53">
        <f>L14/L16</f>
        <v>927.56756756756749</v>
      </c>
      <c r="M15" s="53">
        <f>M14/M16</f>
        <v>929.20353982300878</v>
      </c>
      <c r="N15" s="53">
        <f>N14/N16</f>
        <v>959.44609297725037</v>
      </c>
      <c r="O15" s="52">
        <f>O14/O16</f>
        <v>1628.131021194605</v>
      </c>
    </row>
    <row r="16" spans="1:16" ht="21" customHeight="1" thickBot="1" x14ac:dyDescent="0.3">
      <c r="A16" s="99"/>
      <c r="B16" s="101" t="s">
        <v>45</v>
      </c>
      <c r="C16" s="100">
        <f>C11*O18+C14*O17</f>
        <v>8.0059905285055966E-2</v>
      </c>
      <c r="H16" t="s">
        <v>44</v>
      </c>
      <c r="K16" s="51">
        <v>1.4059999999999999</v>
      </c>
      <c r="L16" s="46">
        <v>0.92500000000000004</v>
      </c>
      <c r="M16" s="46">
        <v>0.90400000000000003</v>
      </c>
      <c r="N16" s="46">
        <v>1.0109999999999999</v>
      </c>
      <c r="O16" s="50">
        <v>0.51900000000000002</v>
      </c>
    </row>
    <row r="17" spans="3:15" ht="13.8" thickTop="1" x14ac:dyDescent="0.25">
      <c r="H17" s="38" t="s">
        <v>43</v>
      </c>
      <c r="K17" s="45">
        <f>K14/(K15+K14)</f>
        <v>0.58437240232751453</v>
      </c>
      <c r="L17" s="45">
        <f>L14/(L15+L14)</f>
        <v>0.48051948051948051</v>
      </c>
      <c r="M17" s="45">
        <f>M14/(M15+M14)</f>
        <v>0.47478991596638659</v>
      </c>
      <c r="N17" s="45">
        <f>N14/(N15+N14)</f>
        <v>0.50273495773247134</v>
      </c>
      <c r="O17" s="49">
        <f>O14/(O15+O14)</f>
        <v>0.34167215273206059</v>
      </c>
    </row>
    <row r="18" spans="3:15" x14ac:dyDescent="0.25">
      <c r="C18" s="46"/>
      <c r="H18" s="38" t="s">
        <v>42</v>
      </c>
      <c r="K18" s="45">
        <f>K15/(K15+K14)</f>
        <v>0.41562759767248547</v>
      </c>
      <c r="L18" s="45">
        <f>L15/(L15+L14)</f>
        <v>0.51948051948051943</v>
      </c>
      <c r="M18" s="45">
        <f>M15/(M15+M14)</f>
        <v>0.52521008403361347</v>
      </c>
      <c r="N18" s="45">
        <f>N15/(N15+N14)</f>
        <v>0.4972650422675286</v>
      </c>
      <c r="O18" s="49">
        <f>O15/(O15+O14)</f>
        <v>0.65832784726793947</v>
      </c>
    </row>
    <row r="19" spans="3:15" x14ac:dyDescent="0.25">
      <c r="C19" s="46"/>
      <c r="K19">
        <f>K14/K15</f>
        <v>1.4059999999999999</v>
      </c>
      <c r="L19">
        <f>L14/L15</f>
        <v>0.92500000000000004</v>
      </c>
      <c r="M19">
        <f>M14/M15</f>
        <v>0.90400000000000003</v>
      </c>
      <c r="N19">
        <f>N14/N15</f>
        <v>1.0109999999999999</v>
      </c>
      <c r="O19" s="48">
        <f>O14/O15</f>
        <v>0.51900000000000002</v>
      </c>
    </row>
    <row r="20" spans="3:15" x14ac:dyDescent="0.25">
      <c r="O20" s="47"/>
    </row>
    <row r="21" spans="3:15" x14ac:dyDescent="0.25">
      <c r="C21" s="46"/>
    </row>
    <row r="23" spans="3:15" x14ac:dyDescent="0.25">
      <c r="C23" s="46"/>
    </row>
    <row r="24" spans="3:15" x14ac:dyDescent="0.25">
      <c r="C24" s="45"/>
      <c r="N24" s="44"/>
    </row>
    <row r="25" spans="3:15" x14ac:dyDescent="0.25">
      <c r="O25" s="65">
        <f>1-O17</f>
        <v>0.65832784726793947</v>
      </c>
    </row>
    <row r="26" spans="3:15" x14ac:dyDescent="0.25">
      <c r="N26" s="43"/>
    </row>
    <row r="29" spans="3:15" x14ac:dyDescent="0.25">
      <c r="N29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TGCC</vt:lpstr>
      <vt:lpstr>CMPC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Hafrate</dc:creator>
  <cp:lastModifiedBy>Utilisateur Windows</cp:lastModifiedBy>
  <cp:lastPrinted>2021-12-20T11:00:20Z</cp:lastPrinted>
  <dcterms:created xsi:type="dcterms:W3CDTF">2021-12-20T09:49:58Z</dcterms:created>
  <dcterms:modified xsi:type="dcterms:W3CDTF">2021-12-27T21:10:11Z</dcterms:modified>
</cp:coreProperties>
</file>