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showInkAnnotation="0" codeName="ThisWorkbook"/>
  <mc:AlternateContent xmlns:mc="http://schemas.openxmlformats.org/markup-compatibility/2006">
    <mc:Choice Requires="x15">
      <x15ac:absPath xmlns:x15ac="http://schemas.microsoft.com/office/spreadsheetml/2010/11/ac" url="/Users/alex/Projects/p0/sureconnect_demo/"/>
    </mc:Choice>
  </mc:AlternateContent>
  <xr:revisionPtr revIDLastSave="0" documentId="8_{0C5C866A-13DF-0849-91F8-C0A39C8CFC92}" xr6:coauthVersionLast="46" xr6:coauthVersionMax="46" xr10:uidLastSave="{00000000-0000-0000-0000-000000000000}"/>
  <bookViews>
    <workbookView xWindow="2280" yWindow="460" windowWidth="19420" windowHeight="10420" tabRatio="908" firstSheet="25" activeTab="35" xr2:uid="{00000000-000D-0000-FFFF-FFFF00000000}"/>
  </bookViews>
  <sheets>
    <sheet name="General Information - DNP" sheetId="81" r:id="rId1"/>
    <sheet name="Revenue Reporting (2)" sheetId="73" r:id="rId2"/>
    <sheet name="Cover Page" sheetId="56" r:id="rId3"/>
    <sheet name="Table of Contents" sheetId="5" r:id="rId4"/>
    <sheet name="About NFP" sheetId="2" r:id="rId5"/>
    <sheet name="Scope of Services " sheetId="4" r:id="rId6"/>
    <sheet name="Executive Summary" sheetId="52" r:id="rId7"/>
    <sheet name="Executive Summary (ASO)" sheetId="78" state="hidden" r:id="rId8"/>
    <sheet name="Additional Information" sheetId="98" r:id="rId9"/>
    <sheet name="Cost Share" sheetId="108" r:id="rId10"/>
    <sheet name="Legislative Changes" sheetId="111" r:id="rId11"/>
    <sheet name="Legislative Changes (2)" sheetId="112" r:id="rId12"/>
    <sheet name="Experience Summary" sheetId="10" r:id="rId13"/>
    <sheet name="COVID Months" sheetId="130" r:id="rId14"/>
    <sheet name="DNP-COVID Calculations" sheetId="131" r:id="rId15"/>
    <sheet name="Underwriting Arrangements " sheetId="11" r:id="rId16"/>
    <sheet name="Pooled Benefits " sheetId="12" r:id="rId17"/>
    <sheet name="Life Exp Analysis" sheetId="100" state="hidden" r:id="rId18"/>
    <sheet name="AD&amp;D Dep Life " sheetId="75" r:id="rId19"/>
    <sheet name="Long Term Disability" sheetId="74" r:id="rId20"/>
    <sheet name="LTD Exp Analysis" sheetId="101" state="hidden" r:id="rId21"/>
    <sheet name="Short Term Disability " sheetId="15" r:id="rId22"/>
    <sheet name="Life And Disability Report" sheetId="51" r:id="rId23"/>
    <sheet name="Extended Health Care (EHC)" sheetId="85" r:id="rId24"/>
    <sheet name="EHC Breakdown" sheetId="79" state="hidden" r:id="rId25"/>
    <sheet name="EHC Breakdown (2)" sheetId="96" state="hidden" r:id="rId26"/>
    <sheet name="EHC Breakdown - w S&amp;S" sheetId="53" r:id="rId27"/>
    <sheet name="EHC Breakdown w S&amp;S (2)" sheetId="97" r:id="rId28"/>
    <sheet name="EHC Breakdown w S&amp;S (3)" sheetId="116" r:id="rId29"/>
    <sheet name="Drug Claim Analytics" sheetId="44" r:id="rId30"/>
    <sheet name="Drug Claim Analytics (2)" sheetId="76" r:id="rId31"/>
    <sheet name="Stop Loss " sheetId="18" r:id="rId32"/>
    <sheet name="Dental Care" sheetId="86" r:id="rId33"/>
    <sheet name="Dental Care History" sheetId="59" r:id="rId34"/>
    <sheet name="Trend Review" sheetId="45" state="hidden" r:id="rId35"/>
    <sheet name="Summary and Recommendations" sheetId="23" r:id="rId36"/>
    <sheet name="Monthly Breakdown Pooled" sheetId="109" state="hidden" r:id="rId37"/>
    <sheet name="Monthly Breakdown Exp Rated" sheetId="110" state="hidden" r:id="rId38"/>
    <sheet name="HCSA Utilization" sheetId="125" state="hidden" r:id="rId39"/>
    <sheet name="HCSA Summary" sheetId="121" state="hidden" r:id="rId40"/>
    <sheet name="ASO Summary" sheetId="26" state="hidden" r:id="rId41"/>
    <sheet name="Retention Reconcilliation" sheetId="99" state="hidden" r:id="rId42"/>
    <sheet name="Renewal Analysis" sheetId="118" state="hidden" r:id="rId43"/>
    <sheet name="Renewal Rates " sheetId="27" r:id="rId44"/>
    <sheet name="ASO Projections " sheetId="31" state="hidden" r:id="rId45"/>
    <sheet name="Retention Projections" sheetId="32" state="hidden" r:id="rId46"/>
    <sheet name="Marketing Rates" sheetId="30" state="hidden" r:id="rId47"/>
    <sheet name="Plan Design Considerations " sheetId="20" state="hidden" r:id="rId48"/>
    <sheet name="Alternates - DNP" sheetId="84" state="hidden" r:id="rId49"/>
    <sheet name="Allstate CI" sheetId="87" state="hidden" r:id="rId50"/>
    <sheet name="EverydayHR" sheetId="91" state="hidden" r:id="rId51"/>
    <sheet name="EAP" sheetId="92" state="hidden" r:id="rId52"/>
    <sheet name="TeleMedicine" sheetId="93" state="hidden" r:id="rId53"/>
    <sheet name="Health Nav" sheetId="119" state="hidden" r:id="rId54"/>
    <sheet name="Advica" sheetId="126" state="hidden" r:id="rId55"/>
    <sheet name="Advica Pricing" sheetId="127" state="hidden" r:id="rId56"/>
    <sheet name="Bundles" sheetId="128" state="hidden" r:id="rId57"/>
    <sheet name="Beacon" sheetId="122" state="hidden" r:id="rId58"/>
    <sheet name="Renewal History " sheetId="33" state="hidden" r:id="rId59"/>
    <sheet name="RTQ History &amp; EXP" sheetId="117" state="hidden" r:id="rId60"/>
    <sheet name="Rate History " sheetId="34" state="hidden" r:id="rId61"/>
    <sheet name="Amendment History " sheetId="35" state="hidden" r:id="rId62"/>
    <sheet name="Plan Administrator Guidelines" sheetId="124" state="hidden" r:id="rId63"/>
    <sheet name="Plan Administrator Guidelin (2" sheetId="129" state="hidden" r:id="rId64"/>
    <sheet name="Commission Disclosure" sheetId="102" state="hidden" r:id="rId65"/>
    <sheet name="Plan Design 1" sheetId="68" state="hidden" r:id="rId66"/>
    <sheet name="Plan Design 1 (2)" sheetId="69" state="hidden" r:id="rId67"/>
    <sheet name="Plan Design" sheetId="64" state="hidden" r:id="rId68"/>
    <sheet name="Plan Design  Cont.1" sheetId="65" state="hidden" r:id="rId69"/>
    <sheet name="Plan Design 1 (3)" sheetId="70" state="hidden" r:id="rId70"/>
    <sheet name="Plan Design 1 (4)" sheetId="71" state="hidden" r:id="rId71"/>
    <sheet name="Plan Cont.2 " sheetId="66" state="hidden" r:id="rId72"/>
    <sheet name="Plan Cont.3 " sheetId="67" state="hidden" r:id="rId73"/>
    <sheet name="Glossary " sheetId="37" r:id="rId74"/>
    <sheet name="Back end page" sheetId="49" r:id="rId75"/>
  </sheets>
  <externalReferences>
    <externalReference r:id="rId76"/>
  </externalReferences>
  <definedNames>
    <definedName name="_xlnm._FilterDatabase" localSheetId="26" hidden="1">'EHC Breakdown - w S&amp;S'!$A$8:$I$13</definedName>
    <definedName name="_xlnm._FilterDatabase" localSheetId="38" hidden="1">'HCSA Utilization'!$A$8:$H$13</definedName>
    <definedName name="_Toc387326841" localSheetId="4">'About NFP'!$A$37</definedName>
    <definedName name="_Toc387326841" localSheetId="18">'AD&amp;D Dep Life '!#REF!</definedName>
    <definedName name="_Toc387326841" localSheetId="8">'Additional Information'!#REF!</definedName>
    <definedName name="_Toc387326841" localSheetId="54">Advica!#REF!</definedName>
    <definedName name="_Toc387326841" localSheetId="55">'Advica Pricing'!#REF!</definedName>
    <definedName name="_Toc387326841" localSheetId="49">'Allstate CI'!#REF!</definedName>
    <definedName name="_Toc387326841" localSheetId="48">'Alternates - DNP'!#REF!</definedName>
    <definedName name="_Toc387326841" localSheetId="61">'Amendment History '!#REF!</definedName>
    <definedName name="_Toc387326841" localSheetId="44">'ASO Projections '!#REF!</definedName>
    <definedName name="_Toc387326841" localSheetId="40">'ASO Summary'!#REF!</definedName>
    <definedName name="_Toc387326841" localSheetId="74">'Back end page'!#REF!</definedName>
    <definedName name="_Toc387326841" localSheetId="57">Beacon!#REF!</definedName>
    <definedName name="_Toc387326841" localSheetId="56">Bundles!#REF!</definedName>
    <definedName name="_Toc387326841" localSheetId="64">'Commission Disclosure'!#REF!</definedName>
    <definedName name="_Toc387326841" localSheetId="9">'Cost Share'!#REF!</definedName>
    <definedName name="_Toc387326841" localSheetId="13">'COVID Months'!#REF!</definedName>
    <definedName name="_Toc387326841" localSheetId="32">'Dental Care'!#REF!</definedName>
    <definedName name="_Toc387326841" localSheetId="33">'Dental Care History'!#REF!</definedName>
    <definedName name="_Toc387326841" localSheetId="29">'Drug Claim Analytics'!#REF!</definedName>
    <definedName name="_Toc387326841" localSheetId="30">'Drug Claim Analytics (2)'!#REF!</definedName>
    <definedName name="_Toc387326841" localSheetId="51">EAP!#REF!</definedName>
    <definedName name="_Toc387326841" localSheetId="24">'EHC Breakdown'!#REF!</definedName>
    <definedName name="_Toc387326841" localSheetId="26">'EHC Breakdown - w S&amp;S'!#REF!</definedName>
    <definedName name="_Toc387326841" localSheetId="25">'EHC Breakdown (2)'!#REF!</definedName>
    <definedName name="_Toc387326841" localSheetId="27">'EHC Breakdown w S&amp;S (2)'!#REF!</definedName>
    <definedName name="_Toc387326841" localSheetId="28">'EHC Breakdown w S&amp;S (3)'!#REF!</definedName>
    <definedName name="_Toc387326841" localSheetId="50">EverydayHR!#REF!</definedName>
    <definedName name="_Toc387326841" localSheetId="6">'Executive Summary'!#REF!</definedName>
    <definedName name="_Toc387326841" localSheetId="7">'Executive Summary (ASO)'!#REF!</definedName>
    <definedName name="_Toc387326841" localSheetId="12">'Experience Summary'!#REF!</definedName>
    <definedName name="_Toc387326841" localSheetId="23">'Extended Health Care (EHC)'!#REF!</definedName>
    <definedName name="_Toc387326841" localSheetId="73">'Glossary '!#REF!</definedName>
    <definedName name="_Toc387326841" localSheetId="39">'HCSA Summary'!#REF!</definedName>
    <definedName name="_Toc387326841" localSheetId="38">'HCSA Utilization'!#REF!</definedName>
    <definedName name="_Toc387326841" localSheetId="53">'Health Nav'!#REF!</definedName>
    <definedName name="_Toc387326841" localSheetId="10">'Legislative Changes (2)'!#REF!</definedName>
    <definedName name="_Toc387326841" localSheetId="11">'Legislative Changes (2)'!#REF!</definedName>
    <definedName name="_Toc387326841" localSheetId="22">'Life And Disability Report'!#REF!</definedName>
    <definedName name="_Toc387326841" localSheetId="17">'Life Exp Analysis'!#REF!</definedName>
    <definedName name="_Toc387326841" localSheetId="19">'Long Term Disability'!#REF!</definedName>
    <definedName name="_Toc387326841" localSheetId="20">'LTD Exp Analysis'!#REF!</definedName>
    <definedName name="_Toc387326841" localSheetId="46">'Marketing Rates'!#REF!</definedName>
    <definedName name="_Toc387326841" localSheetId="37">'Monthly Breakdown Exp Rated'!#REF!</definedName>
    <definedName name="_Toc387326841" localSheetId="36">'Monthly Breakdown Pooled'!#REF!</definedName>
    <definedName name="_Toc387326841" localSheetId="63">'Plan Administrator Guidelin (2'!#REF!</definedName>
    <definedName name="_Toc387326841" localSheetId="62">'Plan Administrator Guidelines'!#REF!</definedName>
    <definedName name="_Toc387326841" localSheetId="71">'Plan Cont.2 '!#REF!</definedName>
    <definedName name="_Toc387326841" localSheetId="72">'Plan Cont.3 '!#REF!</definedName>
    <definedName name="_Toc387326841" localSheetId="67">'Plan Design'!#REF!</definedName>
    <definedName name="_Toc387326841" localSheetId="68">'Plan Design  Cont.1'!#REF!</definedName>
    <definedName name="_Toc387326841" localSheetId="65">'Plan Design 1'!#REF!</definedName>
    <definedName name="_Toc387326841" localSheetId="66">'Plan Design 1 (2)'!#REF!</definedName>
    <definedName name="_Toc387326841" localSheetId="69">'Plan Design 1 (3)'!#REF!</definedName>
    <definedName name="_Toc387326841" localSheetId="70">'Plan Design 1 (4)'!#REF!</definedName>
    <definedName name="_Toc387326841" localSheetId="47">'Plan Design Considerations '!#REF!</definedName>
    <definedName name="_Toc387326841" localSheetId="16">'Pooled Benefits '!#REF!</definedName>
    <definedName name="_Toc387326841" localSheetId="60">'Rate History '!#REF!</definedName>
    <definedName name="_Toc387326841" localSheetId="42">'Renewal Analysis'!#REF!</definedName>
    <definedName name="_Toc387326841" localSheetId="58">'Renewal History '!#REF!</definedName>
    <definedName name="_Toc387326841" localSheetId="43">'Renewal Rates '!#REF!</definedName>
    <definedName name="_Toc387326841" localSheetId="45">'Retention Projections'!#REF!</definedName>
    <definedName name="_Toc387326841" localSheetId="41">'Retention Reconcilliation'!#REF!</definedName>
    <definedName name="_Toc387326841" localSheetId="5">'Scope of Services '!$A$14</definedName>
    <definedName name="_Toc387326841" localSheetId="21">'Short Term Disability '!#REF!</definedName>
    <definedName name="_Toc387326841" localSheetId="31">'Stop Loss '!#REF!</definedName>
    <definedName name="_Toc387326841" localSheetId="35">'Summary and Recommendations'!#REF!</definedName>
    <definedName name="_Toc387326841" localSheetId="3">'Table of Contents'!$B$18</definedName>
    <definedName name="_Toc387326841" localSheetId="52">TeleMedicine!#REF!</definedName>
    <definedName name="_Toc387326841" localSheetId="34">'Trend Review'!#REF!</definedName>
    <definedName name="_Toc387326841" localSheetId="15">'Underwriting Arrangements '!#REF!</definedName>
    <definedName name="_Toc387326842" localSheetId="4">'About NFP'!#REF!</definedName>
    <definedName name="_Toc387326842" localSheetId="18">'AD&amp;D Dep Life '!#REF!</definedName>
    <definedName name="_Toc387326842" localSheetId="8">'Additional Information'!#REF!</definedName>
    <definedName name="_Toc387326842" localSheetId="54">Advica!#REF!</definedName>
    <definedName name="_Toc387326842" localSheetId="55">'Advica Pricing'!#REF!</definedName>
    <definedName name="_Toc387326842" localSheetId="49">'Allstate CI'!#REF!</definedName>
    <definedName name="_Toc387326842" localSheetId="48">'Alternates - DNP'!#REF!</definedName>
    <definedName name="_Toc387326842" localSheetId="61">'Amendment History '!#REF!</definedName>
    <definedName name="_Toc387326842" localSheetId="44">'ASO Projections '!#REF!</definedName>
    <definedName name="_Toc387326842" localSheetId="40">'ASO Summary'!#REF!</definedName>
    <definedName name="_Toc387326842" localSheetId="74">'Back end page'!#REF!</definedName>
    <definedName name="_Toc387326842" localSheetId="57">Beacon!#REF!</definedName>
    <definedName name="_Toc387326842" localSheetId="56">Bundles!#REF!</definedName>
    <definedName name="_Toc387326842" localSheetId="64">'Commission Disclosure'!#REF!</definedName>
    <definedName name="_Toc387326842" localSheetId="9">'Cost Share'!#REF!</definedName>
    <definedName name="_Toc387326842" localSheetId="13">'COVID Months'!#REF!</definedName>
    <definedName name="_Toc387326842" localSheetId="32">'Dental Care'!#REF!</definedName>
    <definedName name="_Toc387326842" localSheetId="33">'Dental Care History'!#REF!</definedName>
    <definedName name="_Toc387326842" localSheetId="29">'Drug Claim Analytics'!#REF!</definedName>
    <definedName name="_Toc387326842" localSheetId="30">'Drug Claim Analytics (2)'!#REF!</definedName>
    <definedName name="_Toc387326842" localSheetId="51">EAP!#REF!</definedName>
    <definedName name="_Toc387326842" localSheetId="24">'EHC Breakdown'!#REF!</definedName>
    <definedName name="_Toc387326842" localSheetId="26">'EHC Breakdown - w S&amp;S'!#REF!</definedName>
    <definedName name="_Toc387326842" localSheetId="25">'EHC Breakdown (2)'!#REF!</definedName>
    <definedName name="_Toc387326842" localSheetId="27">'EHC Breakdown w S&amp;S (2)'!#REF!</definedName>
    <definedName name="_Toc387326842" localSheetId="28">'EHC Breakdown w S&amp;S (3)'!#REF!</definedName>
    <definedName name="_Toc387326842" localSheetId="50">EverydayHR!#REF!</definedName>
    <definedName name="_Toc387326842" localSheetId="6">'Executive Summary'!#REF!</definedName>
    <definedName name="_Toc387326842" localSheetId="7">'Executive Summary (ASO)'!#REF!</definedName>
    <definedName name="_Toc387326842" localSheetId="12">'Experience Summary'!#REF!</definedName>
    <definedName name="_Toc387326842" localSheetId="23">'Extended Health Care (EHC)'!#REF!</definedName>
    <definedName name="_Toc387326842" localSheetId="73">'Glossary '!#REF!</definedName>
    <definedName name="_Toc387326842" localSheetId="39">'HCSA Summary'!#REF!</definedName>
    <definedName name="_Toc387326842" localSheetId="38">'HCSA Utilization'!#REF!</definedName>
    <definedName name="_Toc387326842" localSheetId="53">'Health Nav'!#REF!</definedName>
    <definedName name="_Toc387326842" localSheetId="10">#REF!</definedName>
    <definedName name="_Toc387326842" localSheetId="11">#REF!</definedName>
    <definedName name="_Toc387326842" localSheetId="22">'Life And Disability Report'!#REF!</definedName>
    <definedName name="_Toc387326842" localSheetId="17">'Life Exp Analysis'!#REF!</definedName>
    <definedName name="_Toc387326842" localSheetId="19">'Long Term Disability'!#REF!</definedName>
    <definedName name="_Toc387326842" localSheetId="20">'LTD Exp Analysis'!#REF!</definedName>
    <definedName name="_Toc387326842" localSheetId="46">'Marketing Rates'!#REF!</definedName>
    <definedName name="_Toc387326842" localSheetId="37">'Monthly Breakdown Exp Rated'!#REF!</definedName>
    <definedName name="_Toc387326842" localSheetId="36">'Monthly Breakdown Pooled'!#REF!</definedName>
    <definedName name="_Toc387326842" localSheetId="63">'Plan Administrator Guidelin (2'!#REF!</definedName>
    <definedName name="_Toc387326842" localSheetId="62">'Plan Administrator Guidelines'!#REF!</definedName>
    <definedName name="_Toc387326842" localSheetId="71">'Plan Cont.2 '!#REF!</definedName>
    <definedName name="_Toc387326842" localSheetId="72">'Plan Cont.3 '!#REF!</definedName>
    <definedName name="_Toc387326842" localSheetId="67">'Plan Design'!#REF!</definedName>
    <definedName name="_Toc387326842" localSheetId="68">'Plan Design  Cont.1'!#REF!</definedName>
    <definedName name="_Toc387326842" localSheetId="65">'Plan Design 1'!#REF!</definedName>
    <definedName name="_Toc387326842" localSheetId="66">'Plan Design 1 (2)'!#REF!</definedName>
    <definedName name="_Toc387326842" localSheetId="69">'Plan Design 1 (3)'!#REF!</definedName>
    <definedName name="_Toc387326842" localSheetId="70">'Plan Design 1 (4)'!#REF!</definedName>
    <definedName name="_Toc387326842" localSheetId="47">'Plan Design Considerations '!#REF!</definedName>
    <definedName name="_Toc387326842" localSheetId="16">'Pooled Benefits '!#REF!</definedName>
    <definedName name="_Toc387326842" localSheetId="60">'Rate History '!#REF!</definedName>
    <definedName name="_Toc387326842" localSheetId="42">'Renewal Analysis'!#REF!</definedName>
    <definedName name="_Toc387326842" localSheetId="58">'Renewal History '!#REF!</definedName>
    <definedName name="_Toc387326842" localSheetId="43">'Renewal Rates '!#REF!</definedName>
    <definedName name="_Toc387326842" localSheetId="45">'Retention Projections'!#REF!</definedName>
    <definedName name="_Toc387326842" localSheetId="41">'Retention Reconcilliation'!#REF!</definedName>
    <definedName name="_Toc387326842" localSheetId="5">'Scope of Services '!$A$17</definedName>
    <definedName name="_Toc387326842" localSheetId="21">'Short Term Disability '!#REF!</definedName>
    <definedName name="_Toc387326842" localSheetId="31">'Stop Loss '!#REF!</definedName>
    <definedName name="_Toc387326842" localSheetId="35">'Summary and Recommendations'!#REF!</definedName>
    <definedName name="_Toc387326842" localSheetId="3">'Table of Contents'!$B$21</definedName>
    <definedName name="_Toc387326842" localSheetId="52">TeleMedicine!#REF!</definedName>
    <definedName name="_Toc387326842" localSheetId="34">'Trend Review'!#REF!</definedName>
    <definedName name="_Toc387326842" localSheetId="15">'Underwriting Arrangements '!#REF!</definedName>
    <definedName name="_Toc387326843" localSheetId="4">'About NFP'!#REF!</definedName>
    <definedName name="_Toc387326843" localSheetId="18">'AD&amp;D Dep Life '!#REF!</definedName>
    <definedName name="_Toc387326843" localSheetId="8">'Additional Information'!#REF!</definedName>
    <definedName name="_Toc387326843" localSheetId="54">Advica!#REF!</definedName>
    <definedName name="_Toc387326843" localSheetId="55">'Advica Pricing'!#REF!</definedName>
    <definedName name="_Toc387326843" localSheetId="49">'Allstate CI'!#REF!</definedName>
    <definedName name="_Toc387326843" localSheetId="48">'Alternates - DNP'!#REF!</definedName>
    <definedName name="_Toc387326843" localSheetId="61">'Amendment History '!#REF!</definedName>
    <definedName name="_Toc387326843" localSheetId="44">'ASO Projections '!#REF!</definedName>
    <definedName name="_Toc387326843" localSheetId="40">'ASO Summary'!#REF!</definedName>
    <definedName name="_Toc387326843" localSheetId="74">'Back end page'!#REF!</definedName>
    <definedName name="_Toc387326843" localSheetId="57">Beacon!#REF!</definedName>
    <definedName name="_Toc387326843" localSheetId="56">Bundles!#REF!</definedName>
    <definedName name="_Toc387326843" localSheetId="64">'Commission Disclosure'!#REF!</definedName>
    <definedName name="_Toc387326843" localSheetId="9">'Cost Share'!#REF!</definedName>
    <definedName name="_Toc387326843" localSheetId="13">'COVID Months'!#REF!</definedName>
    <definedName name="_Toc387326843" localSheetId="32">'Dental Care'!#REF!</definedName>
    <definedName name="_Toc387326843" localSheetId="33">'Dental Care History'!#REF!</definedName>
    <definedName name="_Toc387326843" localSheetId="29">'Drug Claim Analytics'!#REF!</definedName>
    <definedName name="_Toc387326843" localSheetId="30">'Drug Claim Analytics (2)'!#REF!</definedName>
    <definedName name="_Toc387326843" localSheetId="51">EAP!#REF!</definedName>
    <definedName name="_Toc387326843" localSheetId="24">'EHC Breakdown'!#REF!</definedName>
    <definedName name="_Toc387326843" localSheetId="26">'EHC Breakdown - w S&amp;S'!#REF!</definedName>
    <definedName name="_Toc387326843" localSheetId="25">'EHC Breakdown (2)'!#REF!</definedName>
    <definedName name="_Toc387326843" localSheetId="27">'EHC Breakdown w S&amp;S (2)'!#REF!</definedName>
    <definedName name="_Toc387326843" localSheetId="28">'EHC Breakdown w S&amp;S (3)'!#REF!</definedName>
    <definedName name="_Toc387326843" localSheetId="50">EverydayHR!#REF!</definedName>
    <definedName name="_Toc387326843" localSheetId="6">'Executive Summary'!#REF!</definedName>
    <definedName name="_Toc387326843" localSheetId="7">'Executive Summary (ASO)'!#REF!</definedName>
    <definedName name="_Toc387326843" localSheetId="12">'Experience Summary'!#REF!</definedName>
    <definedName name="_Toc387326843" localSheetId="23">'Extended Health Care (EHC)'!#REF!</definedName>
    <definedName name="_Toc387326843" localSheetId="73">'Glossary '!#REF!</definedName>
    <definedName name="_Toc387326843" localSheetId="39">'HCSA Summary'!#REF!</definedName>
    <definedName name="_Toc387326843" localSheetId="38">'HCSA Utilization'!#REF!</definedName>
    <definedName name="_Toc387326843" localSheetId="53">'Health Nav'!#REF!</definedName>
    <definedName name="_Toc387326843" localSheetId="10">#REF!</definedName>
    <definedName name="_Toc387326843" localSheetId="11">#REF!</definedName>
    <definedName name="_Toc387326843" localSheetId="22">'Life And Disability Report'!#REF!</definedName>
    <definedName name="_Toc387326843" localSheetId="17">'Life Exp Analysis'!#REF!</definedName>
    <definedName name="_Toc387326843" localSheetId="19">'Long Term Disability'!#REF!</definedName>
    <definedName name="_Toc387326843" localSheetId="20">'LTD Exp Analysis'!#REF!</definedName>
    <definedName name="_Toc387326843" localSheetId="46">'Marketing Rates'!#REF!</definedName>
    <definedName name="_Toc387326843" localSheetId="37">'Monthly Breakdown Exp Rated'!#REF!</definedName>
    <definedName name="_Toc387326843" localSheetId="36">'Monthly Breakdown Pooled'!#REF!</definedName>
    <definedName name="_Toc387326843" localSheetId="63">'Plan Administrator Guidelin (2'!#REF!</definedName>
    <definedName name="_Toc387326843" localSheetId="62">'Plan Administrator Guidelines'!#REF!</definedName>
    <definedName name="_Toc387326843" localSheetId="71">'Plan Cont.2 '!#REF!</definedName>
    <definedName name="_Toc387326843" localSheetId="72">'Plan Cont.3 '!#REF!</definedName>
    <definedName name="_Toc387326843" localSheetId="67">'Plan Design'!#REF!</definedName>
    <definedName name="_Toc387326843" localSheetId="68">'Plan Design  Cont.1'!#REF!</definedName>
    <definedName name="_Toc387326843" localSheetId="65">'Plan Design 1'!#REF!</definedName>
    <definedName name="_Toc387326843" localSheetId="66">'Plan Design 1 (2)'!#REF!</definedName>
    <definedName name="_Toc387326843" localSheetId="69">'Plan Design 1 (3)'!#REF!</definedName>
    <definedName name="_Toc387326843" localSheetId="70">'Plan Design 1 (4)'!#REF!</definedName>
    <definedName name="_Toc387326843" localSheetId="47">'Plan Design Considerations '!#REF!</definedName>
    <definedName name="_Toc387326843" localSheetId="16">'Pooled Benefits '!#REF!</definedName>
    <definedName name="_Toc387326843" localSheetId="60">'Rate History '!#REF!</definedName>
    <definedName name="_Toc387326843" localSheetId="42">'Renewal Analysis'!#REF!</definedName>
    <definedName name="_Toc387326843" localSheetId="58">'Renewal History '!#REF!</definedName>
    <definedName name="_Toc387326843" localSheetId="43">'Renewal Rates '!#REF!</definedName>
    <definedName name="_Toc387326843" localSheetId="45">'Retention Projections'!#REF!</definedName>
    <definedName name="_Toc387326843" localSheetId="41">'Retention Reconcilliation'!#REF!</definedName>
    <definedName name="_Toc387326843" localSheetId="5">'Scope of Services '!$A$20</definedName>
    <definedName name="_Toc387326843" localSheetId="21">'Short Term Disability '!#REF!</definedName>
    <definedName name="_Toc387326843" localSheetId="31">'Stop Loss '!#REF!</definedName>
    <definedName name="_Toc387326843" localSheetId="35">'Summary and Recommendations'!#REF!</definedName>
    <definedName name="_Toc387326843" localSheetId="3">'Table of Contents'!$B$26</definedName>
    <definedName name="_Toc387326843" localSheetId="52">TeleMedicine!#REF!</definedName>
    <definedName name="_Toc387326843" localSheetId="34">'Trend Review'!#REF!</definedName>
    <definedName name="_Toc387326843" localSheetId="15">'Underwriting Arrangements '!#REF!</definedName>
    <definedName name="_Toc411872311" localSheetId="22">'Life And Disability Report'!$A$32</definedName>
    <definedName name="AE1_Name" localSheetId="8">'[1]General Information - DNP'!$B$3</definedName>
    <definedName name="AE1_Name">'General Information - DNP'!$B$3</definedName>
    <definedName name="AE1_Title" localSheetId="8">'[1]General Information - DNP'!$B$4</definedName>
    <definedName name="AE1_Title">'General Information - DNP'!$B$4</definedName>
    <definedName name="AE2_Name" localSheetId="8">'[1]General Information - DNP'!$B$5</definedName>
    <definedName name="AE2_Name">'General Information - DNP'!$B$5</definedName>
    <definedName name="AE2_Title" localSheetId="8">'[1]General Information - DNP'!$B$6</definedName>
    <definedName name="AE2_Title">'General Information - DNP'!$B$6</definedName>
    <definedName name="ASO_Dental_Trend">'General Information - DNP'!$B$25</definedName>
    <definedName name="ASO_EHC_Trend">'General Information - DNP'!$B$24</definedName>
    <definedName name="ASO_STD_Trend">'General Information - DNP'!$B$26</definedName>
    <definedName name="Carrier" localSheetId="8">'[1]General Information - DNP'!$B$8</definedName>
    <definedName name="Carrier">'General Information - DNP'!$B$8</definedName>
    <definedName name="DENTALCLAIM2">'Dental Care'!$D$9</definedName>
    <definedName name="DENTALCLAIM3">'Dental Care'!$D$10</definedName>
    <definedName name="DENTALCLAIMCURR">'Dental Care'!$D$8</definedName>
    <definedName name="DENTALCRED">'Dental Care'!$B$13</definedName>
    <definedName name="DENTALCURRAVGLIFE" localSheetId="42">'Renewal Analysis'!#REF!</definedName>
    <definedName name="DENTALCURRAVGLIFE">'Dental Care History'!$B$15</definedName>
    <definedName name="DENTALCURRPREM">'Dental Care'!$B$8</definedName>
    <definedName name="DENTALPREM2">'Dental Care'!$B$9</definedName>
    <definedName name="DENTALPREM3">'Dental Care'!$B$10</definedName>
    <definedName name="DENTALPREMCURR">'Dental Care'!$B$8</definedName>
    <definedName name="DENTALPREVAVGLIFE" localSheetId="42">'Renewal Analysis'!#REF!</definedName>
    <definedName name="DENTALPREVAVGLIFE">'Dental Care History'!$E$15</definedName>
    <definedName name="DentalTLR">'Experience Summary'!$D$46</definedName>
    <definedName name="DENTALTREND">'Dental Care'!$B$16</definedName>
    <definedName name="EHCCLAIM2">'Extended Health Care (EHC)'!$D$11</definedName>
    <definedName name="EHCCLAIM3">'Extended Health Care (EHC)'!$D$12</definedName>
    <definedName name="EHCCLAIMCURR">'Extended Health Care (EHC)'!$D$10</definedName>
    <definedName name="EHCCRED">'Extended Health Care (EHC)'!$B$16</definedName>
    <definedName name="EHCCURRAVGLIFE" localSheetId="38">'HCSA Utilization'!$B$16</definedName>
    <definedName name="EHCCURRAVGLIFE">'EHC Breakdown - w S&amp;S'!$B$16</definedName>
    <definedName name="EHCPREM2">'Extended Health Care (EHC)'!$B$11</definedName>
    <definedName name="EHCPREM3">'Extended Health Care (EHC)'!$B$12</definedName>
    <definedName name="EHCPREMCURR">'Extended Health Care (EHC)'!$B$10</definedName>
    <definedName name="EHCPREMLAST">'Extended Health Care (EHC)'!$B$11</definedName>
    <definedName name="EHCPREVAVGLIFE" localSheetId="38">'HCSA Utilization'!$E$16</definedName>
    <definedName name="EHCPREVAVGLIFE">'EHC Breakdown - w S&amp;S'!$E$16</definedName>
    <definedName name="EHCTLR">'Experience Summary'!$D$45</definedName>
    <definedName name="EHCTREND">'Extended Health Care (EHC)'!$B$19</definedName>
    <definedName name="EP_Current" localSheetId="8">'[1]General Information - DNP'!$B$14</definedName>
    <definedName name="EP_Current">'General Information - DNP'!$B$14</definedName>
    <definedName name="EP_P1" localSheetId="8">'[1]General Information - DNP'!$B$15</definedName>
    <definedName name="EP_P1">'General Information - DNP'!$B$15</definedName>
    <definedName name="EP_P2" localSheetId="8">'[1]General Information - DNP'!$B$16</definedName>
    <definedName name="EP_P2">'General Information - DNP'!$B$16</definedName>
    <definedName name="EP_P3" localSheetId="8">'[1]General Information - DNP'!$B$17</definedName>
    <definedName name="EP_P3">'General Information - DNP'!$B$17</definedName>
    <definedName name="EP_P4" localSheetId="8">'[1]General Information - DNP'!$B$18</definedName>
    <definedName name="EP_P4">'General Information - DNP'!$B$18</definedName>
    <definedName name="GroupName" localSheetId="8">'[1]General Information - DNP'!$B$1</definedName>
    <definedName name="GroupName">'General Information - DNP'!$B$1</definedName>
    <definedName name="No_EE">'General Information - DNP'!$B$20</definedName>
    <definedName name="Payroll">'General Information - DNP'!$B$21</definedName>
    <definedName name="PolicyNumber" localSheetId="8">'[1]General Information - DNP'!$B$9</definedName>
    <definedName name="PolicyNumber">'General Information - DNP'!$B$9</definedName>
    <definedName name="_xlnm.Print_Area" localSheetId="1">'Revenue Reporting (2)'!$A$1:$P$60</definedName>
    <definedName name="RateEffect" localSheetId="54">#REF!</definedName>
    <definedName name="RateEffect" localSheetId="55">#REF!</definedName>
    <definedName name="RateEffect" localSheetId="57">#REF!</definedName>
    <definedName name="RateEffect" localSheetId="56">#REF!</definedName>
    <definedName name="RateEffect" localSheetId="39">#REF!</definedName>
    <definedName name="RateEffect" localSheetId="38">#REF!</definedName>
    <definedName name="RateEffect" localSheetId="53">#REF!</definedName>
    <definedName name="RateEffect" localSheetId="63">#REF!</definedName>
    <definedName name="RateEffect" localSheetId="42">#REF!</definedName>
    <definedName name="RateEffect">#REF!</definedName>
    <definedName name="RenewalDate">'General Information - DNP'!$B$11</definedName>
    <definedName name="RenewalMonth" localSheetId="8">'[1]General Information - DNP'!$B$11</definedName>
    <definedName name="RenewalMonth">'General Information - DNP'!$B$11</definedName>
    <definedName name="RenewalYear" localSheetId="8">'[1]General Information - DNP'!$B$12</definedName>
    <definedName name="RenewalYear">'General Information - DNP'!$B$12</definedName>
    <definedName name="STDCLAIM2">'Short Term Disability '!$C$11</definedName>
    <definedName name="STDCLAIM3">'Short Term Disability '!$C$12</definedName>
    <definedName name="STDCLAIMCURR">'Short Term Disability '!$C$10</definedName>
    <definedName name="STDCRED">'Short Term Disability '!$B$15</definedName>
    <definedName name="STDPREM2" localSheetId="54">'Short Term Disability '!#REF!</definedName>
    <definedName name="STDPREM2" localSheetId="55">'Short Term Disability '!#REF!</definedName>
    <definedName name="STDPREM2" localSheetId="57">'Short Term Disability '!#REF!</definedName>
    <definedName name="STDPREM2" localSheetId="56">'Short Term Disability '!#REF!</definedName>
    <definedName name="STDPREM2" localSheetId="39">'Short Term Disability '!#REF!</definedName>
    <definedName name="STDPREM2" localSheetId="38">'Short Term Disability '!#REF!</definedName>
    <definedName name="STDPREM2" localSheetId="53">'Short Term Disability '!#REF!</definedName>
    <definedName name="STDPREM2" localSheetId="63">'Short Term Disability '!#REF!</definedName>
    <definedName name="STDPREM2">'Short Term Disability '!#REF!</definedName>
    <definedName name="STDPREM3" localSheetId="54">'Short Term Disability '!#REF!</definedName>
    <definedName name="STDPREM3" localSheetId="55">'Short Term Disability '!#REF!</definedName>
    <definedName name="STDPREM3" localSheetId="57">'Short Term Disability '!#REF!</definedName>
    <definedName name="STDPREM3" localSheetId="56">'Short Term Disability '!#REF!</definedName>
    <definedName name="STDPREM3" localSheetId="39">'Short Term Disability '!#REF!</definedName>
    <definedName name="STDPREM3" localSheetId="38">'Short Term Disability '!#REF!</definedName>
    <definedName name="STDPREM3" localSheetId="53">'Short Term Disability '!#REF!</definedName>
    <definedName name="STDPREM3" localSheetId="63">'Short Term Disability '!#REF!</definedName>
    <definedName name="STDPREM3">'Short Term Disability '!#REF!</definedName>
    <definedName name="STDPREMCURR" localSheetId="54">'Short Term Disability '!#REF!</definedName>
    <definedName name="STDPREMCURR" localSheetId="55">'Short Term Disability '!#REF!</definedName>
    <definedName name="STDPREMCURR" localSheetId="57">'Short Term Disability '!#REF!</definedName>
    <definedName name="STDPREMCURR" localSheetId="56">'Short Term Disability '!#REF!</definedName>
    <definedName name="STDPREMCURR" localSheetId="39">'Short Term Disability '!#REF!</definedName>
    <definedName name="STDPREMCURR" localSheetId="38">'Short Term Disability '!#REF!</definedName>
    <definedName name="STDPREMCURR" localSheetId="53">'Short Term Disability '!#REF!</definedName>
    <definedName name="STDPREMCURR" localSheetId="63">'Short Term Disability '!#REF!</definedName>
    <definedName name="STDPREMCURR">'Short Term Disability '!#REF!</definedName>
    <definedName name="STDTLR">'Experience Summary'!$D$44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0" l="1"/>
  <c r="J34" i="5" l="1"/>
  <c r="Q21" i="131"/>
  <c r="A38" i="10"/>
  <c r="R21" i="131"/>
  <c r="C21" i="131"/>
  <c r="B21" i="131"/>
  <c r="C20" i="131"/>
  <c r="B20" i="131"/>
  <c r="Q19" i="131"/>
  <c r="C19" i="131"/>
  <c r="C22" i="131" s="1"/>
  <c r="B19" i="131"/>
  <c r="B22" i="131" s="1"/>
  <c r="M21" i="130"/>
  <c r="L21" i="130"/>
  <c r="K21" i="130"/>
  <c r="J21" i="130"/>
  <c r="F21" i="130"/>
  <c r="G21" i="130" s="1"/>
  <c r="E21" i="130"/>
  <c r="E19" i="131" s="1"/>
  <c r="G20" i="130"/>
  <c r="C20" i="130"/>
  <c r="B20" i="130"/>
  <c r="G19" i="130"/>
  <c r="C19" i="130"/>
  <c r="B19" i="130"/>
  <c r="G18" i="130"/>
  <c r="C18" i="130"/>
  <c r="B18" i="130"/>
  <c r="G17" i="130"/>
  <c r="C17" i="130"/>
  <c r="B17" i="130"/>
  <c r="G16" i="130"/>
  <c r="C16" i="130"/>
  <c r="B16" i="130"/>
  <c r="G15" i="130"/>
  <c r="C15" i="130"/>
  <c r="B15" i="130"/>
  <c r="G14" i="130"/>
  <c r="C14" i="130"/>
  <c r="B14" i="130"/>
  <c r="G13" i="130"/>
  <c r="C13" i="130"/>
  <c r="D13" i="130" s="1"/>
  <c r="B13" i="130"/>
  <c r="G12" i="130"/>
  <c r="C12" i="130"/>
  <c r="B12" i="130"/>
  <c r="G11" i="130"/>
  <c r="C11" i="130"/>
  <c r="B11" i="130"/>
  <c r="G10" i="130"/>
  <c r="C10" i="130"/>
  <c r="B10" i="130"/>
  <c r="G9" i="130"/>
  <c r="C9" i="130"/>
  <c r="B9" i="130"/>
  <c r="D12" i="130" l="1"/>
  <c r="D20" i="130"/>
  <c r="D11" i="130"/>
  <c r="D19" i="130"/>
  <c r="A28" i="10"/>
  <c r="B21" i="130"/>
  <c r="D14" i="130"/>
  <c r="D9" i="130"/>
  <c r="D17" i="130"/>
  <c r="D15" i="130"/>
  <c r="D10" i="130"/>
  <c r="D18" i="130"/>
  <c r="D16" i="130"/>
  <c r="D19" i="131"/>
  <c r="Q4" i="131" s="1"/>
  <c r="O10" i="131"/>
  <c r="Q9" i="131"/>
  <c r="O8" i="131"/>
  <c r="Q7" i="131"/>
  <c r="O6" i="131"/>
  <c r="Q5" i="131"/>
  <c r="O4" i="131"/>
  <c r="O23" i="131"/>
  <c r="Q13" i="131"/>
  <c r="Q12" i="131"/>
  <c r="Q11" i="131"/>
  <c r="Q10" i="131"/>
  <c r="O9" i="131"/>
  <c r="Q8" i="131"/>
  <c r="O7" i="131"/>
  <c r="Q6" i="131"/>
  <c r="O5" i="131"/>
  <c r="C21" i="130"/>
  <c r="D21" i="130" s="1"/>
  <c r="R4" i="131"/>
  <c r="U4" i="131" s="1"/>
  <c r="P5" i="131"/>
  <c r="R6" i="131"/>
  <c r="U6" i="131" s="1"/>
  <c r="P7" i="131"/>
  <c r="R8" i="131"/>
  <c r="U8" i="131" s="1"/>
  <c r="P9" i="131"/>
  <c r="R10" i="131"/>
  <c r="U10" i="131" s="1"/>
  <c r="R11" i="131"/>
  <c r="U11" i="131" s="1"/>
  <c r="R12" i="131"/>
  <c r="U12" i="131" s="1"/>
  <c r="R13" i="131"/>
  <c r="U13" i="131" s="1"/>
  <c r="P4" i="131"/>
  <c r="R5" i="131"/>
  <c r="U5" i="131" s="1"/>
  <c r="P6" i="131"/>
  <c r="R7" i="131"/>
  <c r="U7" i="131" s="1"/>
  <c r="P8" i="131"/>
  <c r="R9" i="131"/>
  <c r="U9" i="131" s="1"/>
  <c r="P10" i="131"/>
  <c r="T9" i="131" l="1"/>
  <c r="T10" i="131"/>
  <c r="T4" i="131"/>
  <c r="T5" i="131"/>
  <c r="T6" i="131"/>
  <c r="T7" i="131"/>
  <c r="T8" i="131"/>
  <c r="T11" i="131"/>
  <c r="T12" i="131"/>
  <c r="T13" i="131"/>
  <c r="Y170" i="84"/>
  <c r="E16" i="125" l="1"/>
  <c r="B16" i="125"/>
  <c r="G16" i="125" s="1"/>
  <c r="G13" i="125"/>
  <c r="G12" i="125"/>
  <c r="G11" i="125"/>
  <c r="G8" i="125"/>
  <c r="G10" i="125" l="1"/>
  <c r="B14" i="125"/>
  <c r="C11" i="125" s="1"/>
  <c r="E14" i="125"/>
  <c r="F13" i="125" s="1"/>
  <c r="B17" i="125"/>
  <c r="C12" i="125"/>
  <c r="C8" i="125"/>
  <c r="C10" i="125"/>
  <c r="C13" i="125"/>
  <c r="C14" i="125"/>
  <c r="F12" i="125"/>
  <c r="G9" i="125"/>
  <c r="C9" i="125"/>
  <c r="G14" i="125" l="1"/>
  <c r="F9" i="125"/>
  <c r="E17" i="125"/>
  <c r="F14" i="125"/>
  <c r="F8" i="125"/>
  <c r="F10" i="125"/>
  <c r="F11" i="125"/>
  <c r="G17" i="125"/>
  <c r="AB170" i="84" l="1"/>
  <c r="C17" i="121" l="1"/>
  <c r="B17" i="121"/>
  <c r="D17" i="121" s="1"/>
  <c r="C16" i="121"/>
  <c r="C18" i="121" s="1"/>
  <c r="B16" i="121"/>
  <c r="B18" i="121" s="1"/>
  <c r="D15" i="121"/>
  <c r="D11" i="121"/>
  <c r="C10" i="121"/>
  <c r="C12" i="121" s="1"/>
  <c r="C13" i="121" s="1"/>
  <c r="B10" i="121"/>
  <c r="D9" i="121"/>
  <c r="D8" i="121"/>
  <c r="A4" i="121"/>
  <c r="D16" i="121" l="1"/>
  <c r="D18" i="121" s="1"/>
  <c r="D10" i="121"/>
  <c r="B12" i="121"/>
  <c r="B16" i="53"/>
  <c r="B13" i="121" l="1"/>
  <c r="D12" i="121"/>
  <c r="D13" i="121" s="1"/>
  <c r="A4" i="78"/>
  <c r="A4" i="52"/>
  <c r="A45" i="59" l="1"/>
  <c r="E18" i="118" l="1"/>
  <c r="F18" i="118" s="1"/>
  <c r="F13" i="118"/>
  <c r="F14" i="118" s="1"/>
  <c r="F17" i="118" s="1"/>
  <c r="F19" i="118" s="1"/>
  <c r="C13" i="118" l="1"/>
  <c r="C14" i="118" s="1"/>
  <c r="C17" i="118" s="1"/>
  <c r="C11" i="118"/>
  <c r="B11" i="118"/>
  <c r="C9" i="118"/>
  <c r="G50" i="73"/>
  <c r="I50" i="73" s="1"/>
  <c r="C12" i="118" l="1"/>
  <c r="C24" i="45"/>
  <c r="G99" i="27" l="1"/>
  <c r="G98" i="27"/>
  <c r="G96" i="27"/>
  <c r="G95" i="27"/>
  <c r="G93" i="27"/>
  <c r="G92" i="27"/>
  <c r="G90" i="27"/>
  <c r="G89" i="27"/>
  <c r="G87" i="27"/>
  <c r="G86" i="27"/>
  <c r="G82" i="27"/>
  <c r="G81" i="27"/>
  <c r="G79" i="27"/>
  <c r="G78" i="27"/>
  <c r="G76" i="27"/>
  <c r="G75" i="27"/>
  <c r="G73" i="27"/>
  <c r="G72" i="27"/>
  <c r="G70" i="27"/>
  <c r="G69" i="27"/>
  <c r="S170" i="84"/>
  <c r="V170" i="84"/>
  <c r="I39" i="27" l="1"/>
  <c r="I38" i="27"/>
  <c r="I37" i="27"/>
  <c r="I36" i="27"/>
  <c r="I35" i="27"/>
  <c r="F39" i="27"/>
  <c r="F38" i="27"/>
  <c r="F37" i="27"/>
  <c r="F36" i="27"/>
  <c r="F35" i="27"/>
  <c r="D37" i="27"/>
  <c r="D36" i="27"/>
  <c r="D35" i="27"/>
  <c r="D38" i="27"/>
  <c r="C9" i="73" l="1"/>
  <c r="B12" i="30" l="1"/>
  <c r="B19" i="30"/>
  <c r="B26" i="30"/>
  <c r="B33" i="30"/>
  <c r="C12" i="30"/>
  <c r="C19" i="30"/>
  <c r="C26" i="30"/>
  <c r="C33" i="30"/>
  <c r="F9" i="118" l="1"/>
  <c r="B18" i="118"/>
  <c r="C18" i="118" s="1"/>
  <c r="C19" i="118" s="1"/>
  <c r="C5" i="71" l="1"/>
  <c r="B5" i="71"/>
  <c r="C5" i="70"/>
  <c r="B5" i="70"/>
  <c r="C5" i="69"/>
  <c r="B5" i="69"/>
  <c r="E16" i="116"/>
  <c r="B16" i="116"/>
  <c r="B10" i="53" s="1"/>
  <c r="G14" i="116"/>
  <c r="D11" i="27" l="1"/>
  <c r="F62" i="99"/>
  <c r="D35" i="99"/>
  <c r="E11" i="18" l="1"/>
  <c r="B47" i="52" l="1"/>
  <c r="B46" i="52"/>
  <c r="D28" i="51"/>
  <c r="D38" i="51"/>
  <c r="Q12" i="12"/>
  <c r="D25" i="10" l="1"/>
  <c r="H5" i="34" l="1"/>
  <c r="H20" i="109"/>
  <c r="I20" i="109"/>
  <c r="H35" i="109"/>
  <c r="I35" i="109"/>
  <c r="A24" i="110"/>
  <c r="A25" i="110"/>
  <c r="A26" i="110"/>
  <c r="A27" i="110"/>
  <c r="A28" i="110"/>
  <c r="A29" i="110"/>
  <c r="A30" i="110"/>
  <c r="A31" i="110"/>
  <c r="A32" i="110"/>
  <c r="A33" i="110"/>
  <c r="A34" i="110"/>
  <c r="A23" i="110"/>
  <c r="A9" i="110"/>
  <c r="A10" i="110"/>
  <c r="A11" i="110"/>
  <c r="A12" i="110"/>
  <c r="A13" i="110"/>
  <c r="A14" i="110"/>
  <c r="A15" i="110"/>
  <c r="A16" i="110"/>
  <c r="A17" i="110"/>
  <c r="A18" i="110"/>
  <c r="A19" i="110"/>
  <c r="A8" i="110"/>
  <c r="E13" i="18"/>
  <c r="E12" i="18"/>
  <c r="E38" i="51" l="1"/>
  <c r="E35" i="76"/>
  <c r="E19" i="76"/>
  <c r="C39" i="44"/>
  <c r="C19" i="44"/>
  <c r="F68" i="99" l="1"/>
  <c r="F61" i="99"/>
  <c r="F63" i="99" s="1"/>
  <c r="F50" i="99"/>
  <c r="D36" i="99"/>
  <c r="D34" i="99"/>
  <c r="D33" i="99"/>
  <c r="D32" i="99"/>
  <c r="D24" i="99"/>
  <c r="F19" i="99"/>
  <c r="D19" i="99"/>
  <c r="F11" i="99"/>
  <c r="D41" i="99" l="1"/>
  <c r="D31" i="99"/>
  <c r="F27" i="99"/>
  <c r="D37" i="99"/>
  <c r="D38" i="99"/>
  <c r="D39" i="99"/>
  <c r="F44" i="99" l="1"/>
  <c r="F52" i="99" s="1"/>
  <c r="F55" i="99" s="1"/>
  <c r="B20" i="109" l="1"/>
  <c r="F44" i="78" l="1"/>
  <c r="D44" i="78"/>
  <c r="C44" i="78"/>
  <c r="E44" i="78" l="1"/>
  <c r="G44" i="78"/>
  <c r="B39" i="78"/>
  <c r="B40" i="78" l="1"/>
  <c r="J160" i="27"/>
  <c r="G160" i="27"/>
  <c r="G42" i="27"/>
  <c r="J42" i="27"/>
  <c r="H150" i="27"/>
  <c r="H149" i="27"/>
  <c r="H147" i="27"/>
  <c r="H146" i="27"/>
  <c r="H144" i="27"/>
  <c r="H143" i="27"/>
  <c r="H141" i="27"/>
  <c r="H140" i="27"/>
  <c r="H138" i="27"/>
  <c r="H137" i="27"/>
  <c r="H133" i="27"/>
  <c r="H132" i="27"/>
  <c r="H130" i="27"/>
  <c r="H129" i="27"/>
  <c r="H127" i="27"/>
  <c r="H126" i="27"/>
  <c r="H124" i="27"/>
  <c r="H123" i="27"/>
  <c r="H121" i="27"/>
  <c r="H120" i="27"/>
  <c r="H116" i="27"/>
  <c r="H115" i="27"/>
  <c r="H113" i="27"/>
  <c r="H112" i="27"/>
  <c r="H110" i="27"/>
  <c r="H109" i="27"/>
  <c r="H107" i="27"/>
  <c r="H106" i="27"/>
  <c r="H104" i="27"/>
  <c r="H103" i="27"/>
  <c r="H99" i="27"/>
  <c r="J99" i="27" s="1"/>
  <c r="H98" i="27"/>
  <c r="J98" i="27" s="1"/>
  <c r="H96" i="27"/>
  <c r="J96" i="27" s="1"/>
  <c r="H95" i="27"/>
  <c r="J95" i="27" s="1"/>
  <c r="H93" i="27"/>
  <c r="J93" i="27" s="1"/>
  <c r="H92" i="27"/>
  <c r="J92" i="27" s="1"/>
  <c r="H90" i="27"/>
  <c r="J90" i="27" s="1"/>
  <c r="H89" i="27"/>
  <c r="J89" i="27" s="1"/>
  <c r="H87" i="27"/>
  <c r="J87" i="27" s="1"/>
  <c r="H86" i="27"/>
  <c r="J86" i="27" s="1"/>
  <c r="H82" i="27"/>
  <c r="J82" i="27" s="1"/>
  <c r="H81" i="27"/>
  <c r="J81" i="27" s="1"/>
  <c r="H79" i="27"/>
  <c r="J79" i="27" s="1"/>
  <c r="H78" i="27"/>
  <c r="J78" i="27" s="1"/>
  <c r="H76" i="27"/>
  <c r="J76" i="27" s="1"/>
  <c r="H75" i="27"/>
  <c r="J75" i="27" s="1"/>
  <c r="H73" i="27"/>
  <c r="J73" i="27" s="1"/>
  <c r="H72" i="27"/>
  <c r="J72" i="27" s="1"/>
  <c r="H70" i="27"/>
  <c r="J70" i="27" s="1"/>
  <c r="H69" i="27"/>
  <c r="J69" i="27" s="1"/>
  <c r="H65" i="27"/>
  <c r="H64" i="27"/>
  <c r="J64" i="27" s="1"/>
  <c r="H62" i="27"/>
  <c r="H61" i="27"/>
  <c r="H59" i="27"/>
  <c r="H58" i="27"/>
  <c r="H56" i="27"/>
  <c r="H55" i="27"/>
  <c r="H53" i="27"/>
  <c r="H52" i="27"/>
  <c r="H48" i="27"/>
  <c r="H45" i="27"/>
  <c r="H46" i="27"/>
  <c r="H47" i="27"/>
  <c r="H44" i="27"/>
  <c r="H29" i="27"/>
  <c r="H30" i="27"/>
  <c r="H31" i="27"/>
  <c r="H32" i="27"/>
  <c r="H28" i="27"/>
  <c r="H22" i="27"/>
  <c r="H21" i="27"/>
  <c r="H23" i="27"/>
  <c r="H24" i="27"/>
  <c r="H25" i="27"/>
  <c r="H15" i="27" l="1"/>
  <c r="H16" i="27"/>
  <c r="H17" i="27"/>
  <c r="H18" i="27"/>
  <c r="E19" i="30" s="1"/>
  <c r="H14" i="27"/>
  <c r="H11" i="27"/>
  <c r="H8" i="27"/>
  <c r="H9" i="27"/>
  <c r="H10" i="27"/>
  <c r="H7" i="27"/>
  <c r="A38" i="31" l="1"/>
  <c r="B18" i="31"/>
  <c r="C18" i="31" l="1"/>
  <c r="B26" i="31"/>
  <c r="G110" i="34"/>
  <c r="G109" i="34"/>
  <c r="D18" i="31" l="1"/>
  <c r="C26" i="31"/>
  <c r="C12" i="108"/>
  <c r="D26" i="31" l="1"/>
  <c r="I78" i="27"/>
  <c r="I96" i="27"/>
  <c r="I95" i="27"/>
  <c r="I93" i="27"/>
  <c r="I92" i="27"/>
  <c r="I90" i="27"/>
  <c r="I89" i="27"/>
  <c r="I87" i="27"/>
  <c r="I86" i="27"/>
  <c r="I79" i="27"/>
  <c r="I76" i="27"/>
  <c r="I75" i="27"/>
  <c r="I73" i="27"/>
  <c r="I72" i="27"/>
  <c r="I70" i="27"/>
  <c r="I69" i="27"/>
  <c r="F96" i="27"/>
  <c r="F95" i="27"/>
  <c r="F93" i="27"/>
  <c r="F92" i="27"/>
  <c r="F90" i="27"/>
  <c r="F89" i="27"/>
  <c r="F87" i="27"/>
  <c r="F86" i="27"/>
  <c r="F79" i="27"/>
  <c r="F78" i="27"/>
  <c r="F76" i="27"/>
  <c r="F75" i="27"/>
  <c r="F73" i="27"/>
  <c r="F72" i="27"/>
  <c r="F69" i="27"/>
  <c r="F70" i="27"/>
  <c r="I116" i="27"/>
  <c r="I115" i="27"/>
  <c r="I99" i="27"/>
  <c r="I98" i="27"/>
  <c r="I82" i="27"/>
  <c r="I81" i="27"/>
  <c r="F116" i="27"/>
  <c r="F115" i="27"/>
  <c r="F99" i="27"/>
  <c r="F98" i="27"/>
  <c r="F82" i="27"/>
  <c r="F81" i="27"/>
  <c r="D115" i="27"/>
  <c r="D116" i="27"/>
  <c r="D99" i="27"/>
  <c r="D98" i="27"/>
  <c r="D82" i="27"/>
  <c r="D81" i="27"/>
  <c r="D64" i="27"/>
  <c r="D100" i="27" l="1"/>
  <c r="F83" i="27"/>
  <c r="I100" i="27"/>
  <c r="I83" i="27"/>
  <c r="F100" i="27"/>
  <c r="G100" i="27" s="1"/>
  <c r="D83" i="27"/>
  <c r="C8" i="108"/>
  <c r="C9" i="108"/>
  <c r="C10" i="108"/>
  <c r="C11" i="108"/>
  <c r="C13" i="108"/>
  <c r="C7" i="108"/>
  <c r="J100" i="27" l="1"/>
  <c r="G83" i="27"/>
  <c r="J83" i="27"/>
  <c r="E16" i="53"/>
  <c r="D2" i="81" l="1"/>
  <c r="D24" i="15" l="1"/>
  <c r="E43" i="74"/>
  <c r="G43" i="74"/>
  <c r="I46" i="12"/>
  <c r="G46" i="12"/>
  <c r="A63" i="117" l="1"/>
  <c r="A62" i="117"/>
  <c r="A61" i="117"/>
  <c r="A65" i="117"/>
  <c r="A1" i="117"/>
  <c r="F31" i="56" l="1"/>
  <c r="F30" i="56"/>
  <c r="N14" i="79" l="1"/>
  <c r="G15" i="116" l="1"/>
  <c r="G13" i="116"/>
  <c r="G12" i="116"/>
  <c r="G11" i="116"/>
  <c r="G10" i="116"/>
  <c r="G9" i="116"/>
  <c r="E20" i="97"/>
  <c r="F20" i="97" s="1"/>
  <c r="B20" i="97"/>
  <c r="B9" i="53" s="1"/>
  <c r="G19" i="97"/>
  <c r="G18" i="97"/>
  <c r="G17" i="97"/>
  <c r="G16" i="97"/>
  <c r="G15" i="97"/>
  <c r="G14" i="97"/>
  <c r="G13" i="97"/>
  <c r="G12" i="97"/>
  <c r="G11" i="97"/>
  <c r="G10" i="97"/>
  <c r="G9" i="97"/>
  <c r="G8" i="97"/>
  <c r="E20" i="96"/>
  <c r="F20" i="96" s="1"/>
  <c r="B20" i="96"/>
  <c r="C13" i="96" s="1"/>
  <c r="G19" i="96"/>
  <c r="G18" i="96"/>
  <c r="G17" i="96"/>
  <c r="G16" i="96"/>
  <c r="G15" i="96"/>
  <c r="G14" i="96"/>
  <c r="G13" i="96"/>
  <c r="G12" i="96"/>
  <c r="G11" i="96"/>
  <c r="G10" i="96"/>
  <c r="G9" i="96"/>
  <c r="G8" i="96"/>
  <c r="C8" i="96" l="1"/>
  <c r="C9" i="96"/>
  <c r="F8" i="97"/>
  <c r="C12" i="116"/>
  <c r="C14" i="116"/>
  <c r="F16" i="116"/>
  <c r="F14" i="116"/>
  <c r="C14" i="96"/>
  <c r="C9" i="116"/>
  <c r="C15" i="116"/>
  <c r="C11" i="96"/>
  <c r="C16" i="96"/>
  <c r="C12" i="96"/>
  <c r="C17" i="96"/>
  <c r="F11" i="97"/>
  <c r="E10" i="53"/>
  <c r="F13" i="116"/>
  <c r="F10" i="116"/>
  <c r="F9" i="116"/>
  <c r="F11" i="116"/>
  <c r="F15" i="116"/>
  <c r="F12" i="116"/>
  <c r="G16" i="116"/>
  <c r="G20" i="97"/>
  <c r="C13" i="116"/>
  <c r="C10" i="116"/>
  <c r="C16" i="116"/>
  <c r="C11" i="116"/>
  <c r="F16" i="97"/>
  <c r="F9" i="97"/>
  <c r="F13" i="97"/>
  <c r="C14" i="97"/>
  <c r="F17" i="97"/>
  <c r="F10" i="97"/>
  <c r="C17" i="97"/>
  <c r="C11" i="97"/>
  <c r="F14" i="97"/>
  <c r="F15" i="97"/>
  <c r="C19" i="97"/>
  <c r="C9" i="97"/>
  <c r="F12" i="97"/>
  <c r="F19" i="97"/>
  <c r="C12" i="97"/>
  <c r="C15" i="97"/>
  <c r="C20" i="97"/>
  <c r="C10" i="97"/>
  <c r="C18" i="97"/>
  <c r="C13" i="97"/>
  <c r="F18" i="97"/>
  <c r="C8" i="97"/>
  <c r="C16" i="97"/>
  <c r="F11" i="96"/>
  <c r="F17" i="96"/>
  <c r="F15" i="96"/>
  <c r="F8" i="96"/>
  <c r="F14" i="96"/>
  <c r="G20" i="96"/>
  <c r="F9" i="96"/>
  <c r="F12" i="96"/>
  <c r="C19" i="96"/>
  <c r="F19" i="96"/>
  <c r="F10" i="96"/>
  <c r="F13" i="96"/>
  <c r="F16" i="96"/>
  <c r="C15" i="96"/>
  <c r="C20" i="96"/>
  <c r="C10" i="96"/>
  <c r="C18" i="96"/>
  <c r="F18" i="96"/>
  <c r="H127" i="34" l="1"/>
  <c r="H128" i="34"/>
  <c r="H129" i="34"/>
  <c r="H130" i="34"/>
  <c r="G127" i="34"/>
  <c r="G128" i="34"/>
  <c r="G129" i="34"/>
  <c r="G130" i="34"/>
  <c r="H126" i="34"/>
  <c r="G126" i="34"/>
  <c r="H113" i="34"/>
  <c r="H115" i="34"/>
  <c r="H116" i="34"/>
  <c r="H118" i="34"/>
  <c r="H119" i="34"/>
  <c r="H121" i="34"/>
  <c r="H122" i="34"/>
  <c r="H124" i="34"/>
  <c r="H125" i="34"/>
  <c r="G113" i="34"/>
  <c r="G115" i="34"/>
  <c r="G116" i="34"/>
  <c r="G118" i="34"/>
  <c r="G119" i="34"/>
  <c r="G121" i="34"/>
  <c r="G122" i="34"/>
  <c r="G124" i="34"/>
  <c r="G125" i="34"/>
  <c r="H112" i="34"/>
  <c r="G112" i="34"/>
  <c r="H98" i="34"/>
  <c r="H100" i="34"/>
  <c r="H101" i="34"/>
  <c r="H103" i="34"/>
  <c r="H104" i="34"/>
  <c r="H106" i="34"/>
  <c r="H107" i="34"/>
  <c r="H109" i="34"/>
  <c r="H110" i="34"/>
  <c r="G98" i="34"/>
  <c r="G100" i="34"/>
  <c r="G101" i="34"/>
  <c r="G103" i="34"/>
  <c r="G104" i="34"/>
  <c r="G106" i="34"/>
  <c r="G107" i="34"/>
  <c r="H97" i="34"/>
  <c r="G97" i="34"/>
  <c r="H83" i="34"/>
  <c r="H85" i="34"/>
  <c r="H86" i="34"/>
  <c r="H88" i="34"/>
  <c r="H89" i="34"/>
  <c r="H91" i="34"/>
  <c r="H92" i="34"/>
  <c r="H94" i="34"/>
  <c r="H95" i="34"/>
  <c r="H82" i="34"/>
  <c r="G83" i="34"/>
  <c r="G85" i="34"/>
  <c r="G86" i="34"/>
  <c r="G88" i="34"/>
  <c r="G89" i="34"/>
  <c r="G91" i="34"/>
  <c r="G92" i="34"/>
  <c r="G94" i="34"/>
  <c r="G95" i="34"/>
  <c r="G82" i="34"/>
  <c r="H68" i="34"/>
  <c r="H70" i="34"/>
  <c r="H71" i="34"/>
  <c r="H73" i="34"/>
  <c r="H74" i="34"/>
  <c r="H76" i="34"/>
  <c r="H77" i="34"/>
  <c r="H79" i="34"/>
  <c r="H80" i="34"/>
  <c r="G68" i="34"/>
  <c r="G70" i="34"/>
  <c r="G71" i="34"/>
  <c r="G73" i="34"/>
  <c r="G74" i="34"/>
  <c r="G76" i="34"/>
  <c r="G77" i="34"/>
  <c r="G79" i="34"/>
  <c r="G80" i="34"/>
  <c r="H67" i="34"/>
  <c r="G67" i="34"/>
  <c r="H53" i="34"/>
  <c r="H55" i="34"/>
  <c r="H56" i="34"/>
  <c r="H58" i="34"/>
  <c r="H59" i="34"/>
  <c r="H61" i="34"/>
  <c r="H62" i="34"/>
  <c r="H64" i="34"/>
  <c r="H65" i="34"/>
  <c r="H52" i="34"/>
  <c r="G53" i="34"/>
  <c r="G55" i="34"/>
  <c r="G56" i="34"/>
  <c r="G58" i="34"/>
  <c r="G59" i="34"/>
  <c r="G61" i="34"/>
  <c r="G62" i="34"/>
  <c r="G64" i="34"/>
  <c r="G65" i="34"/>
  <c r="G52" i="34"/>
  <c r="H38" i="34"/>
  <c r="H40" i="34"/>
  <c r="H41" i="34"/>
  <c r="H43" i="34"/>
  <c r="H44" i="34"/>
  <c r="H46" i="34"/>
  <c r="H47" i="34"/>
  <c r="H49" i="34"/>
  <c r="E45" i="117" s="1"/>
  <c r="H50" i="34"/>
  <c r="F45" i="117" s="1"/>
  <c r="G38" i="34"/>
  <c r="G40" i="34"/>
  <c r="G41" i="34"/>
  <c r="G43" i="34"/>
  <c r="G44" i="34"/>
  <c r="G46" i="34"/>
  <c r="G47" i="34"/>
  <c r="G49" i="34"/>
  <c r="G50" i="34"/>
  <c r="G37" i="34"/>
  <c r="G32" i="34"/>
  <c r="E37" i="117" s="1"/>
  <c r="H32" i="34"/>
  <c r="H37" i="117" s="1"/>
  <c r="G33" i="34"/>
  <c r="E38" i="117" s="1"/>
  <c r="H33" i="34"/>
  <c r="H38" i="117" s="1"/>
  <c r="G34" i="34"/>
  <c r="E39" i="117" s="1"/>
  <c r="H34" i="34"/>
  <c r="H39" i="117" s="1"/>
  <c r="G35" i="34"/>
  <c r="E40" i="117" s="1"/>
  <c r="H35" i="34"/>
  <c r="H40" i="117" s="1"/>
  <c r="H31" i="34"/>
  <c r="H36" i="117" s="1"/>
  <c r="G31" i="34"/>
  <c r="E36" i="117" s="1"/>
  <c r="H27" i="34"/>
  <c r="H32" i="117" s="1"/>
  <c r="H28" i="34"/>
  <c r="H33" i="117" s="1"/>
  <c r="H29" i="34"/>
  <c r="H34" i="117" s="1"/>
  <c r="H30" i="34"/>
  <c r="H35" i="117" s="1"/>
  <c r="H26" i="34"/>
  <c r="H31" i="117" s="1"/>
  <c r="G27" i="34"/>
  <c r="E32" i="117" s="1"/>
  <c r="G28" i="34"/>
  <c r="E33" i="117" s="1"/>
  <c r="G29" i="34"/>
  <c r="E34" i="117" s="1"/>
  <c r="G30" i="34"/>
  <c r="E35" i="117" s="1"/>
  <c r="G26" i="34"/>
  <c r="E31" i="117" s="1"/>
  <c r="H22" i="34"/>
  <c r="H27" i="117" s="1"/>
  <c r="H23" i="34"/>
  <c r="H28" i="117" s="1"/>
  <c r="H24" i="34"/>
  <c r="H29" i="117" s="1"/>
  <c r="H25" i="34"/>
  <c r="H30" i="117" s="1"/>
  <c r="H21" i="34"/>
  <c r="H26" i="117" s="1"/>
  <c r="G22" i="34"/>
  <c r="E27" i="117" s="1"/>
  <c r="G23" i="34"/>
  <c r="E28" i="117" s="1"/>
  <c r="G24" i="34"/>
  <c r="E29" i="117" s="1"/>
  <c r="G25" i="34"/>
  <c r="E30" i="117" s="1"/>
  <c r="G21" i="34"/>
  <c r="E26" i="117" s="1"/>
  <c r="H17" i="34"/>
  <c r="H22" i="117" s="1"/>
  <c r="H18" i="34"/>
  <c r="H23" i="117" s="1"/>
  <c r="H19" i="34"/>
  <c r="H24" i="117" s="1"/>
  <c r="H20" i="34"/>
  <c r="H25" i="117" s="1"/>
  <c r="G17" i="34"/>
  <c r="E22" i="117" s="1"/>
  <c r="G18" i="34"/>
  <c r="E23" i="117" s="1"/>
  <c r="G19" i="34"/>
  <c r="E24" i="117" s="1"/>
  <c r="G20" i="34"/>
  <c r="E25" i="117" s="1"/>
  <c r="H16" i="34"/>
  <c r="H21" i="117" s="1"/>
  <c r="G16" i="34"/>
  <c r="E21" i="117" s="1"/>
  <c r="H12" i="34"/>
  <c r="H17" i="117" s="1"/>
  <c r="H13" i="34"/>
  <c r="H18" i="117" s="1"/>
  <c r="H14" i="34"/>
  <c r="H19" i="117" s="1"/>
  <c r="H15" i="34"/>
  <c r="H20" i="117" s="1"/>
  <c r="G12" i="34"/>
  <c r="E17" i="117" s="1"/>
  <c r="G13" i="34"/>
  <c r="E18" i="117" s="1"/>
  <c r="G14" i="34"/>
  <c r="E19" i="117" s="1"/>
  <c r="G15" i="34"/>
  <c r="E20" i="117" s="1"/>
  <c r="H11" i="34"/>
  <c r="H16" i="117" s="1"/>
  <c r="G11" i="34"/>
  <c r="E16" i="117" s="1"/>
  <c r="H7" i="34"/>
  <c r="H12" i="117" s="1"/>
  <c r="H8" i="34"/>
  <c r="H13" i="117" s="1"/>
  <c r="H9" i="34"/>
  <c r="H14" i="117" s="1"/>
  <c r="H10" i="34"/>
  <c r="H15" i="117" s="1"/>
  <c r="G7" i="34"/>
  <c r="E12" i="117" s="1"/>
  <c r="G8" i="34"/>
  <c r="E13" i="117" s="1"/>
  <c r="G9" i="34"/>
  <c r="E14" i="117" s="1"/>
  <c r="G10" i="34"/>
  <c r="E15" i="117" s="1"/>
  <c r="G6" i="34"/>
  <c r="E11" i="117" s="1"/>
  <c r="H6" i="34"/>
  <c r="H11" i="117" s="1"/>
  <c r="B7" i="34"/>
  <c r="A12" i="117" s="1"/>
  <c r="B8" i="34"/>
  <c r="A13" i="117" s="1"/>
  <c r="B9" i="34"/>
  <c r="A14" i="117" s="1"/>
  <c r="B10" i="34"/>
  <c r="A15" i="117" s="1"/>
  <c r="B6" i="34"/>
  <c r="A11" i="117" s="1"/>
  <c r="A8" i="84"/>
  <c r="A9" i="84"/>
  <c r="A10" i="84"/>
  <c r="A11" i="84"/>
  <c r="A12" i="84"/>
  <c r="A154" i="27"/>
  <c r="A167" i="84" s="1"/>
  <c r="A155" i="27"/>
  <c r="A168" i="84" s="1"/>
  <c r="A156" i="27"/>
  <c r="A157" i="30" s="1"/>
  <c r="A157" i="27"/>
  <c r="A162" i="84" s="1"/>
  <c r="A153" i="27"/>
  <c r="A166" i="84" s="1"/>
  <c r="A148" i="27"/>
  <c r="A152" i="84" s="1"/>
  <c r="A145" i="27"/>
  <c r="A146" i="30" s="1"/>
  <c r="A142" i="27"/>
  <c r="A146" i="84" s="1"/>
  <c r="A139" i="27"/>
  <c r="A143" i="84" s="1"/>
  <c r="A136" i="27"/>
  <c r="A137" i="30" s="1"/>
  <c r="A131" i="27"/>
  <c r="A132" i="30" s="1"/>
  <c r="A128" i="27"/>
  <c r="A131" i="84" s="1"/>
  <c r="A125" i="27"/>
  <c r="A128" i="84" s="1"/>
  <c r="A122" i="27"/>
  <c r="A123" i="30" s="1"/>
  <c r="A119" i="27"/>
  <c r="A120" i="30" s="1"/>
  <c r="A114" i="27"/>
  <c r="A115" i="30" s="1"/>
  <c r="A111" i="27"/>
  <c r="A113" i="84" s="1"/>
  <c r="A108" i="27"/>
  <c r="A109" i="30" s="1"/>
  <c r="A105" i="27"/>
  <c r="A106" i="30" s="1"/>
  <c r="A102" i="27"/>
  <c r="A104" i="84" s="1"/>
  <c r="A97" i="27"/>
  <c r="B78" i="34" s="1"/>
  <c r="A94" i="27"/>
  <c r="A95" i="30" s="1"/>
  <c r="A91" i="27"/>
  <c r="A92" i="30" s="1"/>
  <c r="A88" i="27"/>
  <c r="A89" i="84" s="1"/>
  <c r="A85" i="27"/>
  <c r="A86" i="84" s="1"/>
  <c r="A80" i="27"/>
  <c r="A81" i="30" s="1"/>
  <c r="A77" i="27"/>
  <c r="A78" i="30" s="1"/>
  <c r="A74" i="27"/>
  <c r="A74" i="84" s="1"/>
  <c r="A71" i="27"/>
  <c r="A71" i="84" s="1"/>
  <c r="A68" i="27"/>
  <c r="A69" i="30" s="1"/>
  <c r="A45" i="27"/>
  <c r="A43" i="84" s="1"/>
  <c r="A46" i="27"/>
  <c r="A47" i="30" s="1"/>
  <c r="A47" i="27"/>
  <c r="A48" i="30" s="1"/>
  <c r="A48" i="27"/>
  <c r="A46" i="84" s="1"/>
  <c r="A44" i="27"/>
  <c r="A42" i="84" s="1"/>
  <c r="A36" i="27"/>
  <c r="A33" i="84" s="1"/>
  <c r="A37" i="27"/>
  <c r="A38" i="30" s="1"/>
  <c r="A38" i="27"/>
  <c r="A39" i="30" s="1"/>
  <c r="A39" i="27"/>
  <c r="A36" i="84" s="1"/>
  <c r="A35" i="27"/>
  <c r="A32" i="84" s="1"/>
  <c r="A29" i="27"/>
  <c r="A30" i="30" s="1"/>
  <c r="A30" i="27"/>
  <c r="A31" i="30" s="1"/>
  <c r="A31" i="27"/>
  <c r="A32" i="30" s="1"/>
  <c r="A32" i="27"/>
  <c r="A29" i="84" s="1"/>
  <c r="A28" i="27"/>
  <c r="A29" i="30" s="1"/>
  <c r="A22" i="27"/>
  <c r="A23" i="30" s="1"/>
  <c r="A23" i="27"/>
  <c r="A24" i="30" s="1"/>
  <c r="A24" i="27"/>
  <c r="A25" i="30" s="1"/>
  <c r="A25" i="27"/>
  <c r="B20" i="34" s="1"/>
  <c r="A25" i="117" s="1"/>
  <c r="A21" i="27"/>
  <c r="A22" i="84" s="1"/>
  <c r="A15" i="27"/>
  <c r="A16" i="30" s="1"/>
  <c r="A16" i="27"/>
  <c r="A17" i="30" s="1"/>
  <c r="A17" i="27"/>
  <c r="A18" i="30" s="1"/>
  <c r="A18" i="27"/>
  <c r="A19" i="84" s="1"/>
  <c r="A14" i="27"/>
  <c r="A15" i="84" s="1"/>
  <c r="A33" i="30"/>
  <c r="A9" i="30"/>
  <c r="A10" i="30"/>
  <c r="A11" i="30"/>
  <c r="A12" i="30"/>
  <c r="A8" i="30"/>
  <c r="AE170" i="84"/>
  <c r="C169" i="84"/>
  <c r="B169" i="84"/>
  <c r="C168" i="84"/>
  <c r="B168" i="84"/>
  <c r="C167" i="84"/>
  <c r="B167" i="84"/>
  <c r="C166" i="84"/>
  <c r="B166" i="84"/>
  <c r="AB167" i="84" l="1"/>
  <c r="Y167" i="84"/>
  <c r="AB169" i="84"/>
  <c r="Y169" i="84"/>
  <c r="AA166" i="84"/>
  <c r="X166" i="84"/>
  <c r="AA168" i="84"/>
  <c r="X168" i="84"/>
  <c r="AB166" i="84"/>
  <c r="Y166" i="84"/>
  <c r="AB168" i="84"/>
  <c r="Y168" i="84"/>
  <c r="AA167" i="84"/>
  <c r="X167" i="84"/>
  <c r="AA169" i="84"/>
  <c r="X169" i="84"/>
  <c r="A22" i="30"/>
  <c r="V167" i="84"/>
  <c r="S167" i="84"/>
  <c r="V166" i="84"/>
  <c r="S166" i="84"/>
  <c r="V168" i="84"/>
  <c r="S168" i="84"/>
  <c r="U167" i="84"/>
  <c r="R167" i="84"/>
  <c r="U169" i="84"/>
  <c r="R169" i="84"/>
  <c r="V169" i="84"/>
  <c r="S169" i="84"/>
  <c r="U166" i="84"/>
  <c r="R166" i="84"/>
  <c r="U168" i="84"/>
  <c r="R168" i="84"/>
  <c r="J166" i="84"/>
  <c r="P168" i="84"/>
  <c r="AD167" i="84"/>
  <c r="O169" i="84"/>
  <c r="AE167" i="84"/>
  <c r="P169" i="84"/>
  <c r="O166" i="84"/>
  <c r="AD168" i="84"/>
  <c r="M166" i="84"/>
  <c r="AE166" i="84"/>
  <c r="P166" i="84"/>
  <c r="B25" i="34"/>
  <c r="A30" i="117" s="1"/>
  <c r="B63" i="34"/>
  <c r="A80" i="84"/>
  <c r="A49" i="30"/>
  <c r="A110" i="84"/>
  <c r="A149" i="30"/>
  <c r="B99" i="34"/>
  <c r="B105" i="34"/>
  <c r="D166" i="84"/>
  <c r="G166" i="84"/>
  <c r="G168" i="84"/>
  <c r="J170" i="84"/>
  <c r="B117" i="34"/>
  <c r="G169" i="84"/>
  <c r="A170" i="84"/>
  <c r="B87" i="34"/>
  <c r="M169" i="84"/>
  <c r="B93" i="34"/>
  <c r="B69" i="34"/>
  <c r="B130" i="34"/>
  <c r="A19" i="30"/>
  <c r="B111" i="34"/>
  <c r="F166" i="84"/>
  <c r="L169" i="84"/>
  <c r="G170" i="84"/>
  <c r="A40" i="30"/>
  <c r="A158" i="30"/>
  <c r="A98" i="84"/>
  <c r="B35" i="34"/>
  <c r="A40" i="117" s="1"/>
  <c r="B90" i="34"/>
  <c r="B102" i="34"/>
  <c r="B114" i="34"/>
  <c r="B126" i="34"/>
  <c r="A26" i="84"/>
  <c r="B30" i="34"/>
  <c r="A35" i="117" s="1"/>
  <c r="F167" i="84"/>
  <c r="M168" i="84"/>
  <c r="AD169" i="84"/>
  <c r="A116" i="84"/>
  <c r="B29" i="34"/>
  <c r="A34" i="117" s="1"/>
  <c r="B72" i="34"/>
  <c r="B108" i="34"/>
  <c r="B120" i="34"/>
  <c r="B129" i="34"/>
  <c r="L166" i="84"/>
  <c r="I167" i="84"/>
  <c r="AE168" i="84"/>
  <c r="AE169" i="84"/>
  <c r="M170" i="84"/>
  <c r="A34" i="84"/>
  <c r="A134" i="84"/>
  <c r="B51" i="34"/>
  <c r="B75" i="34"/>
  <c r="B123" i="34"/>
  <c r="B128" i="34"/>
  <c r="L167" i="84"/>
  <c r="P170" i="84"/>
  <c r="A98" i="30"/>
  <c r="A140" i="84"/>
  <c r="B54" i="34"/>
  <c r="B66" i="34"/>
  <c r="B127" i="34"/>
  <c r="B15" i="34"/>
  <c r="A20" i="117" s="1"/>
  <c r="B57" i="34"/>
  <c r="B81" i="34"/>
  <c r="O167" i="84"/>
  <c r="AD166" i="84"/>
  <c r="F169" i="84"/>
  <c r="A26" i="30"/>
  <c r="A68" i="84"/>
  <c r="B60" i="34"/>
  <c r="B84" i="34"/>
  <c r="B96" i="34"/>
  <c r="A18" i="84"/>
  <c r="A45" i="84"/>
  <c r="B14" i="34"/>
  <c r="A19" i="117" s="1"/>
  <c r="B21" i="34"/>
  <c r="A26" i="117" s="1"/>
  <c r="B22" i="34"/>
  <c r="A27" i="117" s="1"/>
  <c r="B33" i="34"/>
  <c r="A38" i="117" s="1"/>
  <c r="B26" i="34"/>
  <c r="A31" i="117" s="1"/>
  <c r="B27" i="34"/>
  <c r="A32" i="117" s="1"/>
  <c r="B13" i="34"/>
  <c r="A18" i="117" s="1"/>
  <c r="B19" i="34"/>
  <c r="A24" i="117" s="1"/>
  <c r="B31" i="34"/>
  <c r="A36" i="117" s="1"/>
  <c r="B32" i="34"/>
  <c r="A37" i="117" s="1"/>
  <c r="B11" i="34"/>
  <c r="A16" i="117" s="1"/>
  <c r="B12" i="34"/>
  <c r="A17" i="117" s="1"/>
  <c r="B18" i="34"/>
  <c r="A23" i="117" s="1"/>
  <c r="B24" i="34"/>
  <c r="A29" i="117" s="1"/>
  <c r="B16" i="34"/>
  <c r="A21" i="117" s="1"/>
  <c r="B17" i="34"/>
  <c r="A22" i="117" s="1"/>
  <c r="B23" i="34"/>
  <c r="A28" i="117" s="1"/>
  <c r="B34" i="34"/>
  <c r="A39" i="117" s="1"/>
  <c r="B28" i="34"/>
  <c r="A33" i="117" s="1"/>
  <c r="A86" i="30"/>
  <c r="A126" i="30"/>
  <c r="A154" i="30"/>
  <c r="A169" i="84"/>
  <c r="A95" i="84"/>
  <c r="A125" i="84"/>
  <c r="A72" i="30"/>
  <c r="A112" i="30"/>
  <c r="A140" i="30"/>
  <c r="A155" i="30"/>
  <c r="A160" i="84"/>
  <c r="A156" i="30"/>
  <c r="A23" i="84"/>
  <c r="A35" i="84"/>
  <c r="A77" i="84"/>
  <c r="A92" i="84"/>
  <c r="A107" i="84"/>
  <c r="A122" i="84"/>
  <c r="A149" i="84"/>
  <c r="A161" i="84"/>
  <c r="A36" i="30"/>
  <c r="A37" i="30"/>
  <c r="A45" i="30"/>
  <c r="A46" i="30"/>
  <c r="A75" i="30"/>
  <c r="A89" i="30"/>
  <c r="A103" i="30"/>
  <c r="A129" i="30"/>
  <c r="A143" i="30"/>
  <c r="A17" i="84"/>
  <c r="A25" i="84"/>
  <c r="A44" i="84"/>
  <c r="A158" i="84"/>
  <c r="A159" i="84"/>
  <c r="A15" i="30"/>
  <c r="A16" i="84"/>
  <c r="A24" i="84"/>
  <c r="D167" i="84"/>
  <c r="J167" i="84"/>
  <c r="P167" i="84"/>
  <c r="I168" i="84"/>
  <c r="O168" i="84"/>
  <c r="D168" i="84"/>
  <c r="J168" i="84"/>
  <c r="I169" i="84"/>
  <c r="I166" i="84"/>
  <c r="G167" i="84"/>
  <c r="M167" i="84"/>
  <c r="F168" i="84"/>
  <c r="L168" i="84"/>
  <c r="D169" i="84"/>
  <c r="J169" i="84"/>
  <c r="C159" i="84" l="1"/>
  <c r="C160" i="84"/>
  <c r="C161" i="84"/>
  <c r="C162" i="84"/>
  <c r="C158" i="84"/>
  <c r="B159" i="84"/>
  <c r="F159" i="84" s="1"/>
  <c r="B160" i="84"/>
  <c r="F160" i="84" s="1"/>
  <c r="B161" i="84"/>
  <c r="B162" i="84"/>
  <c r="F162" i="84" s="1"/>
  <c r="B158" i="84"/>
  <c r="F158" i="84" s="1"/>
  <c r="C142" i="84"/>
  <c r="C144" i="84"/>
  <c r="C145" i="84"/>
  <c r="C147" i="84"/>
  <c r="C148" i="84"/>
  <c r="C150" i="84"/>
  <c r="C151" i="84"/>
  <c r="C153" i="84"/>
  <c r="C154" i="84"/>
  <c r="B142" i="84"/>
  <c r="B144" i="84"/>
  <c r="B145" i="84"/>
  <c r="B147" i="84"/>
  <c r="B148" i="84"/>
  <c r="B150" i="84"/>
  <c r="B151" i="84"/>
  <c r="B153" i="84"/>
  <c r="B154" i="84"/>
  <c r="C141" i="84"/>
  <c r="B141" i="84"/>
  <c r="C124" i="84"/>
  <c r="C126" i="84"/>
  <c r="C127" i="84"/>
  <c r="C129" i="84"/>
  <c r="C130" i="84"/>
  <c r="C132" i="84"/>
  <c r="C133" i="84"/>
  <c r="C135" i="84"/>
  <c r="C136" i="84"/>
  <c r="B124" i="84"/>
  <c r="B126" i="84"/>
  <c r="B127" i="84"/>
  <c r="B129" i="84"/>
  <c r="B130" i="84"/>
  <c r="B132" i="84"/>
  <c r="B133" i="84"/>
  <c r="B135" i="84"/>
  <c r="B136" i="84"/>
  <c r="C106" i="84"/>
  <c r="C108" i="84"/>
  <c r="C109" i="84"/>
  <c r="C111" i="84"/>
  <c r="C112" i="84"/>
  <c r="C114" i="84"/>
  <c r="C115" i="84"/>
  <c r="C117" i="84"/>
  <c r="C118" i="84"/>
  <c r="C105" i="84"/>
  <c r="B106" i="84"/>
  <c r="B108" i="84"/>
  <c r="B109" i="84"/>
  <c r="B111" i="84"/>
  <c r="B112" i="84"/>
  <c r="B114" i="84"/>
  <c r="B115" i="84"/>
  <c r="B117" i="84"/>
  <c r="B118" i="84"/>
  <c r="B105" i="84"/>
  <c r="C88" i="84"/>
  <c r="C90" i="84"/>
  <c r="C91" i="84"/>
  <c r="C93" i="84"/>
  <c r="C94" i="84"/>
  <c r="C96" i="84"/>
  <c r="C97" i="84"/>
  <c r="C99" i="84"/>
  <c r="C100" i="84"/>
  <c r="B88" i="84"/>
  <c r="B90" i="84"/>
  <c r="B91" i="84"/>
  <c r="B93" i="84"/>
  <c r="B94" i="84"/>
  <c r="B96" i="84"/>
  <c r="B97" i="84"/>
  <c r="B99" i="84"/>
  <c r="B100" i="84"/>
  <c r="C87" i="84"/>
  <c r="B87" i="84"/>
  <c r="C70" i="84"/>
  <c r="C72" i="84"/>
  <c r="C73" i="84"/>
  <c r="C75" i="84"/>
  <c r="C76" i="84"/>
  <c r="C78" i="84"/>
  <c r="C79" i="84"/>
  <c r="C81" i="84"/>
  <c r="C82" i="84"/>
  <c r="C69" i="84"/>
  <c r="B70" i="84"/>
  <c r="B72" i="84"/>
  <c r="B73" i="84"/>
  <c r="B75" i="84"/>
  <c r="B76" i="84"/>
  <c r="B78" i="84"/>
  <c r="B79" i="84"/>
  <c r="B81" i="84"/>
  <c r="B82" i="84"/>
  <c r="B69" i="84"/>
  <c r="C64" i="84"/>
  <c r="B64" i="84"/>
  <c r="C63" i="84"/>
  <c r="B63" i="84"/>
  <c r="C61" i="84"/>
  <c r="B61" i="84"/>
  <c r="C60" i="84"/>
  <c r="B60" i="84"/>
  <c r="C58" i="84"/>
  <c r="B58" i="84"/>
  <c r="C57" i="84"/>
  <c r="B57" i="84"/>
  <c r="C55" i="84"/>
  <c r="B55" i="84"/>
  <c r="C54" i="84"/>
  <c r="B54" i="84"/>
  <c r="C43" i="84"/>
  <c r="C44" i="84"/>
  <c r="C45" i="84"/>
  <c r="C46" i="84"/>
  <c r="C42" i="84"/>
  <c r="B43" i="84"/>
  <c r="B44" i="84"/>
  <c r="B45" i="84"/>
  <c r="B46" i="84"/>
  <c r="B42" i="84"/>
  <c r="C36" i="84"/>
  <c r="B36" i="84"/>
  <c r="C35" i="84"/>
  <c r="B35" i="84"/>
  <c r="C34" i="84"/>
  <c r="B34" i="84"/>
  <c r="C33" i="84"/>
  <c r="B33" i="84"/>
  <c r="C32" i="84"/>
  <c r="B32" i="84"/>
  <c r="C29" i="84"/>
  <c r="B29" i="84"/>
  <c r="C23" i="84"/>
  <c r="C24" i="84"/>
  <c r="C25" i="84"/>
  <c r="C26" i="84"/>
  <c r="C22" i="84"/>
  <c r="B23" i="84"/>
  <c r="B24" i="84"/>
  <c r="B25" i="84"/>
  <c r="B26" i="84"/>
  <c r="B22" i="84"/>
  <c r="D7" i="45"/>
  <c r="C23" i="45" s="1"/>
  <c r="D15" i="45"/>
  <c r="D14" i="45"/>
  <c r="D6" i="45"/>
  <c r="N14" i="53"/>
  <c r="Q16" i="74"/>
  <c r="Q15" i="74"/>
  <c r="C16" i="84"/>
  <c r="C17" i="84"/>
  <c r="C18" i="84"/>
  <c r="C19" i="84"/>
  <c r="C15" i="84"/>
  <c r="B16" i="84"/>
  <c r="B17" i="84"/>
  <c r="B18" i="84"/>
  <c r="B19" i="84"/>
  <c r="B15" i="84"/>
  <c r="C9" i="84"/>
  <c r="C10" i="84"/>
  <c r="C11" i="84"/>
  <c r="C12" i="84"/>
  <c r="C8" i="84"/>
  <c r="B9" i="84"/>
  <c r="B10" i="84"/>
  <c r="B11" i="84"/>
  <c r="B12" i="84"/>
  <c r="B8" i="84"/>
  <c r="E151" i="30"/>
  <c r="C151" i="30"/>
  <c r="M151" i="30" s="1"/>
  <c r="B151" i="30"/>
  <c r="L151" i="30" s="1"/>
  <c r="E150" i="30"/>
  <c r="C150" i="30"/>
  <c r="J150" i="30" s="1"/>
  <c r="B150" i="30"/>
  <c r="I150" i="30" s="1"/>
  <c r="E148" i="30"/>
  <c r="C148" i="30"/>
  <c r="M148" i="30" s="1"/>
  <c r="B148" i="30"/>
  <c r="L148" i="30" s="1"/>
  <c r="E147" i="30"/>
  <c r="C147" i="30"/>
  <c r="J147" i="30" s="1"/>
  <c r="B147" i="30"/>
  <c r="I147" i="30" s="1"/>
  <c r="E145" i="30"/>
  <c r="C145" i="30"/>
  <c r="M145" i="30" s="1"/>
  <c r="B145" i="30"/>
  <c r="L145" i="30" s="1"/>
  <c r="E144" i="30"/>
  <c r="C144" i="30"/>
  <c r="J144" i="30" s="1"/>
  <c r="B144" i="30"/>
  <c r="I144" i="30" s="1"/>
  <c r="E142" i="30"/>
  <c r="C142" i="30"/>
  <c r="M142" i="30" s="1"/>
  <c r="B142" i="30"/>
  <c r="L142" i="30" s="1"/>
  <c r="E141" i="30"/>
  <c r="C141" i="30"/>
  <c r="J141" i="30" s="1"/>
  <c r="B141" i="30"/>
  <c r="I141" i="30" s="1"/>
  <c r="E139" i="30"/>
  <c r="C139" i="30"/>
  <c r="M139" i="30" s="1"/>
  <c r="B139" i="30"/>
  <c r="L139" i="30" s="1"/>
  <c r="E138" i="30"/>
  <c r="C138" i="30"/>
  <c r="J138" i="30" s="1"/>
  <c r="B138" i="30"/>
  <c r="I138" i="30" s="1"/>
  <c r="E158" i="30"/>
  <c r="C158" i="30"/>
  <c r="J158" i="30" s="1"/>
  <c r="B158" i="30"/>
  <c r="I158" i="30" s="1"/>
  <c r="E157" i="30"/>
  <c r="C157" i="30"/>
  <c r="M157" i="30" s="1"/>
  <c r="B157" i="30"/>
  <c r="E156" i="30"/>
  <c r="C156" i="30"/>
  <c r="J156" i="30" s="1"/>
  <c r="B156" i="30"/>
  <c r="I156" i="30" s="1"/>
  <c r="E155" i="30"/>
  <c r="C155" i="30"/>
  <c r="M155" i="30" s="1"/>
  <c r="B155" i="30"/>
  <c r="L155" i="30" s="1"/>
  <c r="E154" i="30"/>
  <c r="C154" i="30"/>
  <c r="J154" i="30" s="1"/>
  <c r="B154" i="30"/>
  <c r="L154" i="30" s="1"/>
  <c r="D39" i="27"/>
  <c r="E134" i="30"/>
  <c r="C134" i="30"/>
  <c r="M134" i="30" s="1"/>
  <c r="B134" i="30"/>
  <c r="L134" i="30" s="1"/>
  <c r="E133" i="30"/>
  <c r="C133" i="30"/>
  <c r="J133" i="30" s="1"/>
  <c r="B133" i="30"/>
  <c r="L133" i="30" s="1"/>
  <c r="E131" i="30"/>
  <c r="C131" i="30"/>
  <c r="M131" i="30" s="1"/>
  <c r="B131" i="30"/>
  <c r="L131" i="30" s="1"/>
  <c r="E130" i="30"/>
  <c r="C130" i="30"/>
  <c r="J130" i="30" s="1"/>
  <c r="B130" i="30"/>
  <c r="L130" i="30" s="1"/>
  <c r="E128" i="30"/>
  <c r="C128" i="30"/>
  <c r="M128" i="30" s="1"/>
  <c r="B128" i="30"/>
  <c r="L128" i="30" s="1"/>
  <c r="E127" i="30"/>
  <c r="C127" i="30"/>
  <c r="J127" i="30" s="1"/>
  <c r="B127" i="30"/>
  <c r="L127" i="30" s="1"/>
  <c r="E105" i="30"/>
  <c r="E107" i="30"/>
  <c r="E108" i="30"/>
  <c r="E110" i="30"/>
  <c r="E111" i="30"/>
  <c r="E113" i="30"/>
  <c r="E114" i="30"/>
  <c r="E116" i="30"/>
  <c r="E117" i="30"/>
  <c r="E104" i="30"/>
  <c r="C105" i="30"/>
  <c r="J105" i="30" s="1"/>
  <c r="C107" i="30"/>
  <c r="J107" i="30" s="1"/>
  <c r="C108" i="30"/>
  <c r="M108" i="30" s="1"/>
  <c r="C110" i="30"/>
  <c r="J110" i="30" s="1"/>
  <c r="C111" i="30"/>
  <c r="M111" i="30" s="1"/>
  <c r="C113" i="30"/>
  <c r="J113" i="30" s="1"/>
  <c r="C114" i="30"/>
  <c r="M114" i="30" s="1"/>
  <c r="C116" i="30"/>
  <c r="J116" i="30" s="1"/>
  <c r="C117" i="30"/>
  <c r="M117" i="30" s="1"/>
  <c r="C104" i="30"/>
  <c r="B105" i="30"/>
  <c r="L105" i="30" s="1"/>
  <c r="B107" i="30"/>
  <c r="I107" i="30" s="1"/>
  <c r="B108" i="30"/>
  <c r="L108" i="30" s="1"/>
  <c r="B110" i="30"/>
  <c r="L110" i="30" s="1"/>
  <c r="B111" i="30"/>
  <c r="L111" i="30" s="1"/>
  <c r="B113" i="30"/>
  <c r="L113" i="30" s="1"/>
  <c r="B114" i="30"/>
  <c r="L114" i="30" s="1"/>
  <c r="B116" i="30"/>
  <c r="L116" i="30" s="1"/>
  <c r="B117" i="30"/>
  <c r="L117" i="30" s="1"/>
  <c r="B104" i="30"/>
  <c r="I104" i="30" s="1"/>
  <c r="E88" i="30"/>
  <c r="E90" i="30"/>
  <c r="E91" i="30"/>
  <c r="E93" i="30"/>
  <c r="E94" i="30"/>
  <c r="E96" i="30"/>
  <c r="E97" i="30"/>
  <c r="E99" i="30"/>
  <c r="E100" i="30"/>
  <c r="C88" i="30"/>
  <c r="M88" i="30" s="1"/>
  <c r="C90" i="30"/>
  <c r="J90" i="30" s="1"/>
  <c r="C91" i="30"/>
  <c r="M91" i="30" s="1"/>
  <c r="C93" i="30"/>
  <c r="J93" i="30" s="1"/>
  <c r="C94" i="30"/>
  <c r="M94" i="30" s="1"/>
  <c r="C96" i="30"/>
  <c r="J96" i="30" s="1"/>
  <c r="C97" i="30"/>
  <c r="M97" i="30" s="1"/>
  <c r="C99" i="30"/>
  <c r="J99" i="30" s="1"/>
  <c r="C100" i="30"/>
  <c r="M100" i="30" s="1"/>
  <c r="E87" i="30"/>
  <c r="C87" i="30"/>
  <c r="B88" i="30"/>
  <c r="L88" i="30" s="1"/>
  <c r="B90" i="30"/>
  <c r="I90" i="30" s="1"/>
  <c r="B91" i="30"/>
  <c r="B93" i="30"/>
  <c r="I93" i="30" s="1"/>
  <c r="B94" i="30"/>
  <c r="B96" i="30"/>
  <c r="I96" i="30" s="1"/>
  <c r="B97" i="30"/>
  <c r="L97" i="30" s="1"/>
  <c r="B99" i="30"/>
  <c r="I99" i="30" s="1"/>
  <c r="B100" i="30"/>
  <c r="L100" i="30" s="1"/>
  <c r="B87" i="30"/>
  <c r="I87" i="30" s="1"/>
  <c r="E83" i="30"/>
  <c r="C83" i="30"/>
  <c r="M83" i="30" s="1"/>
  <c r="B83" i="30"/>
  <c r="L83" i="30" s="1"/>
  <c r="E82" i="30"/>
  <c r="C82" i="30"/>
  <c r="J82" i="30" s="1"/>
  <c r="B82" i="30"/>
  <c r="L82" i="30" s="1"/>
  <c r="E80" i="30"/>
  <c r="C80" i="30"/>
  <c r="M80" i="30" s="1"/>
  <c r="B80" i="30"/>
  <c r="L80" i="30" s="1"/>
  <c r="E79" i="30"/>
  <c r="C79" i="30"/>
  <c r="J79" i="30" s="1"/>
  <c r="B79" i="30"/>
  <c r="L79" i="30" s="1"/>
  <c r="E77" i="30"/>
  <c r="C77" i="30"/>
  <c r="M77" i="30" s="1"/>
  <c r="B77" i="30"/>
  <c r="L77" i="30" s="1"/>
  <c r="E76" i="30"/>
  <c r="C76" i="30"/>
  <c r="J76" i="30" s="1"/>
  <c r="B76" i="30"/>
  <c r="L76" i="30" s="1"/>
  <c r="E74" i="30"/>
  <c r="C74" i="30"/>
  <c r="M74" i="30" s="1"/>
  <c r="B74" i="30"/>
  <c r="L74" i="30" s="1"/>
  <c r="E73" i="30"/>
  <c r="C73" i="30"/>
  <c r="J73" i="30" s="1"/>
  <c r="B73" i="30"/>
  <c r="L73" i="30" s="1"/>
  <c r="E71" i="30"/>
  <c r="C71" i="30"/>
  <c r="M71" i="30" s="1"/>
  <c r="B71" i="30"/>
  <c r="L71" i="30" s="1"/>
  <c r="E70" i="30"/>
  <c r="C70" i="30"/>
  <c r="J70" i="30" s="1"/>
  <c r="B70" i="30"/>
  <c r="L70" i="30" s="1"/>
  <c r="E57" i="30"/>
  <c r="C57" i="30"/>
  <c r="B57" i="30"/>
  <c r="I57" i="30" s="1"/>
  <c r="E56" i="30"/>
  <c r="C56" i="30"/>
  <c r="J56" i="30" s="1"/>
  <c r="B56" i="30"/>
  <c r="L56" i="30" s="1"/>
  <c r="E66" i="30"/>
  <c r="C66" i="30"/>
  <c r="M66" i="30" s="1"/>
  <c r="B66" i="30"/>
  <c r="L66" i="30" s="1"/>
  <c r="E65" i="30"/>
  <c r="C65" i="30"/>
  <c r="J65" i="30" s="1"/>
  <c r="B65" i="30"/>
  <c r="L65" i="30" s="1"/>
  <c r="E63" i="30"/>
  <c r="C63" i="30"/>
  <c r="B63" i="30"/>
  <c r="L63" i="30" s="1"/>
  <c r="E62" i="30"/>
  <c r="C62" i="30"/>
  <c r="B62" i="30"/>
  <c r="I62" i="30" s="1"/>
  <c r="E60" i="30"/>
  <c r="C60" i="30"/>
  <c r="M60" i="30" s="1"/>
  <c r="B60" i="30"/>
  <c r="E59" i="30"/>
  <c r="C59" i="30"/>
  <c r="M59" i="30" s="1"/>
  <c r="B59" i="30"/>
  <c r="L59" i="30" s="1"/>
  <c r="E45" i="30"/>
  <c r="E46" i="30"/>
  <c r="E47" i="30"/>
  <c r="C49" i="30"/>
  <c r="C45" i="30"/>
  <c r="J45" i="30" s="1"/>
  <c r="C46" i="30"/>
  <c r="J46" i="30" s="1"/>
  <c r="C47" i="30"/>
  <c r="J47" i="30" s="1"/>
  <c r="B45" i="30"/>
  <c r="I45" i="30" s="1"/>
  <c r="B46" i="30"/>
  <c r="I46" i="30" s="1"/>
  <c r="B47" i="30"/>
  <c r="I47" i="30" s="1"/>
  <c r="E40" i="30"/>
  <c r="C40" i="30"/>
  <c r="M40" i="30" s="1"/>
  <c r="B40" i="30"/>
  <c r="I40" i="30" s="1"/>
  <c r="E39" i="30"/>
  <c r="C39" i="30"/>
  <c r="B39" i="30"/>
  <c r="I39" i="30" s="1"/>
  <c r="E38" i="30"/>
  <c r="C38" i="30"/>
  <c r="M38" i="30" s="1"/>
  <c r="B38" i="30"/>
  <c r="L38" i="30" s="1"/>
  <c r="E37" i="30"/>
  <c r="C37" i="30"/>
  <c r="B37" i="30"/>
  <c r="L37" i="30" s="1"/>
  <c r="E36" i="30"/>
  <c r="C36" i="30"/>
  <c r="M36" i="30" s="1"/>
  <c r="B36" i="30"/>
  <c r="L36" i="30" s="1"/>
  <c r="E33" i="30"/>
  <c r="E30" i="30"/>
  <c r="E31" i="30"/>
  <c r="E32" i="30"/>
  <c r="E29" i="30"/>
  <c r="C30" i="30"/>
  <c r="M30" i="30" s="1"/>
  <c r="C31" i="30"/>
  <c r="M31" i="30" s="1"/>
  <c r="C32" i="30"/>
  <c r="J32" i="30" s="1"/>
  <c r="M33" i="30"/>
  <c r="C29" i="30"/>
  <c r="B30" i="30"/>
  <c r="L30" i="30" s="1"/>
  <c r="B31" i="30"/>
  <c r="L31" i="30" s="1"/>
  <c r="B32" i="30"/>
  <c r="I32" i="30" s="1"/>
  <c r="L33" i="30"/>
  <c r="B29" i="30"/>
  <c r="E23" i="30"/>
  <c r="E24" i="30"/>
  <c r="E25" i="30"/>
  <c r="E26" i="30"/>
  <c r="E22" i="30"/>
  <c r="B23" i="30"/>
  <c r="I23" i="30" s="1"/>
  <c r="B24" i="30"/>
  <c r="L24" i="30" s="1"/>
  <c r="B25" i="30"/>
  <c r="L26" i="30"/>
  <c r="B22" i="30"/>
  <c r="C23" i="30"/>
  <c r="M23" i="30" s="1"/>
  <c r="C24" i="30"/>
  <c r="M24" i="30" s="1"/>
  <c r="C25" i="30"/>
  <c r="M25" i="30" s="1"/>
  <c r="J26" i="30"/>
  <c r="C22" i="30"/>
  <c r="E16" i="30"/>
  <c r="E17" i="30"/>
  <c r="E18" i="30"/>
  <c r="C16" i="30"/>
  <c r="M16" i="30" s="1"/>
  <c r="C17" i="30"/>
  <c r="M17" i="30" s="1"/>
  <c r="C18" i="30"/>
  <c r="M18" i="30" s="1"/>
  <c r="J19" i="30"/>
  <c r="B16" i="30"/>
  <c r="L16" i="30" s="1"/>
  <c r="B17" i="30"/>
  <c r="I17" i="30" s="1"/>
  <c r="B18" i="30"/>
  <c r="I18" i="30" s="1"/>
  <c r="L19" i="30"/>
  <c r="E9" i="30"/>
  <c r="E10" i="30"/>
  <c r="E11" i="30"/>
  <c r="E12" i="30"/>
  <c r="C9" i="30"/>
  <c r="C10" i="30"/>
  <c r="J10" i="30" s="1"/>
  <c r="C11" i="30"/>
  <c r="M11" i="30" s="1"/>
  <c r="M12" i="30"/>
  <c r="L12" i="30"/>
  <c r="B9" i="30"/>
  <c r="L9" i="30" s="1"/>
  <c r="B10" i="30"/>
  <c r="L10" i="30" s="1"/>
  <c r="B11" i="30"/>
  <c r="L11" i="30" s="1"/>
  <c r="F23" i="10"/>
  <c r="F22" i="10"/>
  <c r="F21" i="10"/>
  <c r="G48" i="73"/>
  <c r="I48" i="73" s="1"/>
  <c r="K40" i="73"/>
  <c r="C40" i="73"/>
  <c r="K38" i="73"/>
  <c r="C38" i="73"/>
  <c r="K36" i="73"/>
  <c r="C36" i="73"/>
  <c r="K28" i="73"/>
  <c r="K30" i="73"/>
  <c r="K32" i="73"/>
  <c r="K34" i="73"/>
  <c r="C34" i="73"/>
  <c r="C32" i="73"/>
  <c r="C30" i="73"/>
  <c r="C28" i="73"/>
  <c r="K24" i="73"/>
  <c r="C24" i="73"/>
  <c r="K22" i="73"/>
  <c r="F18" i="52"/>
  <c r="D18" i="52"/>
  <c r="F17" i="52"/>
  <c r="D17" i="52"/>
  <c r="C18" i="52"/>
  <c r="C17" i="52"/>
  <c r="J39" i="27"/>
  <c r="G39" i="27"/>
  <c r="J38" i="27"/>
  <c r="G38" i="27"/>
  <c r="J37" i="27"/>
  <c r="G37" i="27"/>
  <c r="J36" i="27"/>
  <c r="G36" i="27"/>
  <c r="J35" i="27"/>
  <c r="G35" i="27"/>
  <c r="J150" i="27"/>
  <c r="I150" i="27"/>
  <c r="G150" i="27"/>
  <c r="F150" i="27"/>
  <c r="D150" i="27"/>
  <c r="J149" i="27"/>
  <c r="I149" i="27"/>
  <c r="G149" i="27"/>
  <c r="F149" i="27"/>
  <c r="D149" i="27"/>
  <c r="J147" i="27"/>
  <c r="I147" i="27"/>
  <c r="G147" i="27"/>
  <c r="F147" i="27"/>
  <c r="D147" i="27"/>
  <c r="J146" i="27"/>
  <c r="I146" i="27"/>
  <c r="G146" i="27"/>
  <c r="F146" i="27"/>
  <c r="D146" i="27"/>
  <c r="J144" i="27"/>
  <c r="I144" i="27"/>
  <c r="G144" i="27"/>
  <c r="F144" i="27"/>
  <c r="D144" i="27"/>
  <c r="J143" i="27"/>
  <c r="I143" i="27"/>
  <c r="G143" i="27"/>
  <c r="F143" i="27"/>
  <c r="D143" i="27"/>
  <c r="J141" i="27"/>
  <c r="I141" i="27"/>
  <c r="G141" i="27"/>
  <c r="F141" i="27"/>
  <c r="D141" i="27"/>
  <c r="J140" i="27"/>
  <c r="I140" i="27"/>
  <c r="G140" i="27"/>
  <c r="F140" i="27"/>
  <c r="D140" i="27"/>
  <c r="J138" i="27"/>
  <c r="I138" i="27"/>
  <c r="G138" i="27"/>
  <c r="F138" i="27"/>
  <c r="D138" i="27"/>
  <c r="J137" i="27"/>
  <c r="I137" i="27"/>
  <c r="G137" i="27"/>
  <c r="F137" i="27"/>
  <c r="D137" i="27"/>
  <c r="Z10" i="84" l="1"/>
  <c r="W10" i="84"/>
  <c r="Z19" i="84"/>
  <c r="AB19" i="84" s="1"/>
  <c r="W19" i="84"/>
  <c r="Z22" i="84"/>
  <c r="AB22" i="84" s="1"/>
  <c r="W22" i="84"/>
  <c r="Z23" i="84"/>
  <c r="AB23" i="84" s="1"/>
  <c r="W23" i="84"/>
  <c r="Z32" i="84"/>
  <c r="W32" i="84"/>
  <c r="Z34" i="84"/>
  <c r="AA34" i="84" s="1"/>
  <c r="W34" i="84"/>
  <c r="Z36" i="84"/>
  <c r="AB36" i="84" s="1"/>
  <c r="W36" i="84"/>
  <c r="Z45" i="84"/>
  <c r="AA45" i="84" s="1"/>
  <c r="W45" i="84"/>
  <c r="Z54" i="84"/>
  <c r="W54" i="84"/>
  <c r="Z57" i="84"/>
  <c r="AA57" i="84" s="1"/>
  <c r="W57" i="84"/>
  <c r="Z60" i="84"/>
  <c r="AA60" i="84" s="1"/>
  <c r="W60" i="84"/>
  <c r="Z63" i="84"/>
  <c r="AA63" i="84" s="1"/>
  <c r="W63" i="84"/>
  <c r="Z79" i="84"/>
  <c r="W79" i="84"/>
  <c r="Z73" i="84"/>
  <c r="AA73" i="84" s="1"/>
  <c r="W73" i="84"/>
  <c r="Z87" i="84"/>
  <c r="AB87" i="84" s="1"/>
  <c r="W87" i="84"/>
  <c r="Z97" i="84"/>
  <c r="AB97" i="84" s="1"/>
  <c r="W97" i="84"/>
  <c r="Z91" i="84"/>
  <c r="W91" i="84"/>
  <c r="Z115" i="84"/>
  <c r="AA115" i="84" s="1"/>
  <c r="W115" i="84"/>
  <c r="Z109" i="84"/>
  <c r="AB109" i="84" s="1"/>
  <c r="W109" i="84"/>
  <c r="Z136" i="84"/>
  <c r="AB136" i="84" s="1"/>
  <c r="W136" i="84"/>
  <c r="Z130" i="84"/>
  <c r="W130" i="84"/>
  <c r="Z124" i="84"/>
  <c r="AB124" i="84" s="1"/>
  <c r="W124" i="84"/>
  <c r="Z154" i="84"/>
  <c r="AB154" i="84" s="1"/>
  <c r="W154" i="84"/>
  <c r="Z148" i="84"/>
  <c r="AA148" i="84" s="1"/>
  <c r="W148" i="84"/>
  <c r="Z142" i="84"/>
  <c r="W142" i="84"/>
  <c r="Z161" i="84"/>
  <c r="AB161" i="84" s="1"/>
  <c r="W161" i="84"/>
  <c r="Z8" i="84"/>
  <c r="AA8" i="84" s="1"/>
  <c r="W8" i="84"/>
  <c r="Z9" i="84"/>
  <c r="AB9" i="84" s="1"/>
  <c r="W9" i="84"/>
  <c r="Z18" i="84"/>
  <c r="W18" i="84"/>
  <c r="Z26" i="84"/>
  <c r="AB26" i="84" s="1"/>
  <c r="W26" i="84"/>
  <c r="Z44" i="84"/>
  <c r="AB44" i="84" s="1"/>
  <c r="W44" i="84"/>
  <c r="Z69" i="84"/>
  <c r="AB69" i="84" s="1"/>
  <c r="W69" i="84"/>
  <c r="Z78" i="84"/>
  <c r="W78" i="84"/>
  <c r="Z72" i="84"/>
  <c r="AA72" i="84" s="1"/>
  <c r="W72" i="84"/>
  <c r="Z96" i="84"/>
  <c r="AB96" i="84" s="1"/>
  <c r="W96" i="84"/>
  <c r="Z90" i="84"/>
  <c r="AA90" i="84" s="1"/>
  <c r="W90" i="84"/>
  <c r="Z105" i="84"/>
  <c r="W105" i="84"/>
  <c r="Z114" i="84"/>
  <c r="AB114" i="84" s="1"/>
  <c r="W114" i="84"/>
  <c r="Z108" i="84"/>
  <c r="AA108" i="84" s="1"/>
  <c r="W108" i="84"/>
  <c r="Z135" i="84"/>
  <c r="AA135" i="84" s="1"/>
  <c r="W135" i="84"/>
  <c r="Z129" i="84"/>
  <c r="W129" i="84"/>
  <c r="Z153" i="84"/>
  <c r="AB153" i="84" s="1"/>
  <c r="W153" i="84"/>
  <c r="Z147" i="84"/>
  <c r="AB147" i="84" s="1"/>
  <c r="W147" i="84"/>
  <c r="Z160" i="84"/>
  <c r="AA160" i="84" s="1"/>
  <c r="W160" i="84"/>
  <c r="Z12" i="84"/>
  <c r="W12" i="84"/>
  <c r="Z17" i="84"/>
  <c r="W17" i="84"/>
  <c r="Z25" i="84"/>
  <c r="AA25" i="84" s="1"/>
  <c r="W25" i="84"/>
  <c r="Z29" i="84"/>
  <c r="W29" i="84"/>
  <c r="Z33" i="84"/>
  <c r="W33" i="84"/>
  <c r="Z35" i="84"/>
  <c r="W35" i="84"/>
  <c r="Z42" i="84"/>
  <c r="AA42" i="84" s="1"/>
  <c r="W42" i="84"/>
  <c r="Z43" i="84"/>
  <c r="W43" i="84"/>
  <c r="Z55" i="84"/>
  <c r="W55" i="84"/>
  <c r="Z58" i="84"/>
  <c r="W58" i="84"/>
  <c r="Z61" i="84"/>
  <c r="AB61" i="84" s="1"/>
  <c r="W61" i="84"/>
  <c r="Z64" i="84"/>
  <c r="W64" i="84"/>
  <c r="Z82" i="84"/>
  <c r="W82" i="84"/>
  <c r="Z76" i="84"/>
  <c r="W76" i="84"/>
  <c r="Z70" i="84"/>
  <c r="AB70" i="84" s="1"/>
  <c r="W70" i="84"/>
  <c r="Z100" i="84"/>
  <c r="W100" i="84"/>
  <c r="Z94" i="84"/>
  <c r="W94" i="84"/>
  <c r="Z88" i="84"/>
  <c r="W88" i="84"/>
  <c r="Z118" i="84"/>
  <c r="AB118" i="84" s="1"/>
  <c r="W118" i="84"/>
  <c r="Z112" i="84"/>
  <c r="W112" i="84"/>
  <c r="Z106" i="84"/>
  <c r="W106" i="84"/>
  <c r="Z133" i="84"/>
  <c r="W133" i="84"/>
  <c r="Z127" i="84"/>
  <c r="AB127" i="84" s="1"/>
  <c r="W127" i="84"/>
  <c r="Z141" i="84"/>
  <c r="W141" i="84"/>
  <c r="Z151" i="84"/>
  <c r="W151" i="84"/>
  <c r="Z145" i="84"/>
  <c r="W145" i="84"/>
  <c r="Z158" i="84"/>
  <c r="AB158" i="84" s="1"/>
  <c r="W158" i="84"/>
  <c r="Z159" i="84"/>
  <c r="W159" i="84"/>
  <c r="Z11" i="84"/>
  <c r="W11" i="84"/>
  <c r="Z15" i="84"/>
  <c r="AB15" i="84" s="1"/>
  <c r="W15" i="84"/>
  <c r="Z16" i="84"/>
  <c r="AA16" i="84" s="1"/>
  <c r="W16" i="84"/>
  <c r="Z24" i="84"/>
  <c r="AA24" i="84" s="1"/>
  <c r="W24" i="84"/>
  <c r="Z46" i="84"/>
  <c r="AB46" i="84" s="1"/>
  <c r="W46" i="84"/>
  <c r="Z81" i="84"/>
  <c r="AB81" i="84" s="1"/>
  <c r="W81" i="84"/>
  <c r="Z75" i="84"/>
  <c r="AA75" i="84" s="1"/>
  <c r="W75" i="84"/>
  <c r="Z99" i="84"/>
  <c r="AA99" i="84" s="1"/>
  <c r="W99" i="84"/>
  <c r="Z93" i="84"/>
  <c r="AB93" i="84" s="1"/>
  <c r="W93" i="84"/>
  <c r="Z117" i="84"/>
  <c r="AA117" i="84" s="1"/>
  <c r="W117" i="84"/>
  <c r="Z111" i="84"/>
  <c r="AB111" i="84" s="1"/>
  <c r="W111" i="84"/>
  <c r="Z132" i="84"/>
  <c r="AA132" i="84" s="1"/>
  <c r="W132" i="84"/>
  <c r="Z126" i="84"/>
  <c r="AA126" i="84" s="1"/>
  <c r="W126" i="84"/>
  <c r="Z150" i="84"/>
  <c r="AA150" i="84" s="1"/>
  <c r="W150" i="84"/>
  <c r="Z144" i="84"/>
  <c r="AB144" i="84" s="1"/>
  <c r="W144" i="84"/>
  <c r="Z162" i="84"/>
  <c r="AA162" i="84" s="1"/>
  <c r="W162" i="84"/>
  <c r="AA12" i="84"/>
  <c r="AA11" i="84"/>
  <c r="AB11" i="84"/>
  <c r="AA15" i="84"/>
  <c r="AB16" i="84"/>
  <c r="AB24" i="84"/>
  <c r="AA46" i="84"/>
  <c r="AA81" i="84"/>
  <c r="AB99" i="84"/>
  <c r="AB117" i="84"/>
  <c r="AB126" i="84"/>
  <c r="AB150" i="84"/>
  <c r="AA10" i="84"/>
  <c r="AB10" i="84"/>
  <c r="AA22" i="84"/>
  <c r="AA23" i="84"/>
  <c r="AB32" i="84"/>
  <c r="AA32" i="84"/>
  <c r="AB34" i="84"/>
  <c r="AB45" i="84"/>
  <c r="AB54" i="84"/>
  <c r="AA54" i="84"/>
  <c r="AB57" i="84"/>
  <c r="AB63" i="84"/>
  <c r="AB79" i="84"/>
  <c r="AA79" i="84"/>
  <c r="AB73" i="84"/>
  <c r="AA97" i="84"/>
  <c r="AA91" i="84"/>
  <c r="AB91" i="84"/>
  <c r="AB115" i="84"/>
  <c r="AA109" i="84"/>
  <c r="AA136" i="84"/>
  <c r="AA130" i="84"/>
  <c r="AB130" i="84"/>
  <c r="AA124" i="84"/>
  <c r="AB148" i="84"/>
  <c r="AB142" i="84"/>
  <c r="AA142" i="84"/>
  <c r="AA161" i="84"/>
  <c r="AA9" i="84"/>
  <c r="AB18" i="84"/>
  <c r="AA18" i="84"/>
  <c r="AA26" i="84"/>
  <c r="AA69" i="84"/>
  <c r="AB78" i="84"/>
  <c r="AA78" i="84"/>
  <c r="AB72" i="84"/>
  <c r="AA96" i="84"/>
  <c r="AB90" i="84"/>
  <c r="AB105" i="84"/>
  <c r="AA105" i="84"/>
  <c r="AA114" i="84"/>
  <c r="AB135" i="84"/>
  <c r="AB129" i="84"/>
  <c r="AA129" i="84"/>
  <c r="AA153" i="84"/>
  <c r="AB160" i="84"/>
  <c r="AB12" i="84"/>
  <c r="AB17" i="84"/>
  <c r="AA17" i="84"/>
  <c r="AA29" i="84"/>
  <c r="AA30" i="84" s="1"/>
  <c r="AB29" i="84"/>
  <c r="AA33" i="84"/>
  <c r="AB33" i="84"/>
  <c r="AB35" i="84"/>
  <c r="AA35" i="84"/>
  <c r="AB43" i="84"/>
  <c r="AA43" i="84"/>
  <c r="AB55" i="84"/>
  <c r="AA55" i="84"/>
  <c r="AA58" i="84"/>
  <c r="AB58" i="84"/>
  <c r="AA64" i="84"/>
  <c r="AB64" i="84"/>
  <c r="AB82" i="84"/>
  <c r="AA82" i="84"/>
  <c r="AB76" i="84"/>
  <c r="AA76" i="84"/>
  <c r="AB100" i="84"/>
  <c r="AA100" i="84"/>
  <c r="AB94" i="84"/>
  <c r="AA94" i="84"/>
  <c r="AB88" i="84"/>
  <c r="AA88" i="84"/>
  <c r="AB112" i="84"/>
  <c r="AA112" i="84"/>
  <c r="AB106" i="84"/>
  <c r="AA106" i="84"/>
  <c r="AB133" i="84"/>
  <c r="AA133" i="84"/>
  <c r="AA141" i="84"/>
  <c r="AB141" i="84"/>
  <c r="AB151" i="84"/>
  <c r="AA151" i="84"/>
  <c r="AB145" i="84"/>
  <c r="AA145" i="84"/>
  <c r="AB159" i="84"/>
  <c r="AA159" i="84"/>
  <c r="T81" i="84"/>
  <c r="U81" i="84" s="1"/>
  <c r="Q81" i="84"/>
  <c r="T99" i="84"/>
  <c r="U99" i="84" s="1"/>
  <c r="Q99" i="84"/>
  <c r="T93" i="84"/>
  <c r="U93" i="84" s="1"/>
  <c r="Q93" i="84"/>
  <c r="T117" i="84"/>
  <c r="V117" i="84" s="1"/>
  <c r="Q117" i="84"/>
  <c r="T111" i="84"/>
  <c r="V111" i="84" s="1"/>
  <c r="Q111" i="84"/>
  <c r="T132" i="84"/>
  <c r="V132" i="84" s="1"/>
  <c r="Q132" i="84"/>
  <c r="T126" i="84"/>
  <c r="U126" i="84" s="1"/>
  <c r="Q126" i="84"/>
  <c r="T150" i="84"/>
  <c r="V150" i="84" s="1"/>
  <c r="Q150" i="84"/>
  <c r="T144" i="84"/>
  <c r="V144" i="84" s="1"/>
  <c r="Q144" i="84"/>
  <c r="T8" i="84"/>
  <c r="U8" i="84" s="1"/>
  <c r="Q8" i="84"/>
  <c r="T18" i="84"/>
  <c r="U18" i="84" s="1"/>
  <c r="Q18" i="84"/>
  <c r="T22" i="84"/>
  <c r="U22" i="84" s="1"/>
  <c r="Q22" i="84"/>
  <c r="T23" i="84"/>
  <c r="V23" i="84" s="1"/>
  <c r="Q23" i="84"/>
  <c r="T32" i="84"/>
  <c r="V32" i="84" s="1"/>
  <c r="Q32" i="84"/>
  <c r="T34" i="84"/>
  <c r="U34" i="84" s="1"/>
  <c r="Q34" i="84"/>
  <c r="T36" i="84"/>
  <c r="U36" i="84" s="1"/>
  <c r="Q36" i="84"/>
  <c r="T45" i="84"/>
  <c r="Q45" i="84"/>
  <c r="T54" i="84"/>
  <c r="U54" i="84" s="1"/>
  <c r="Q54" i="84"/>
  <c r="T57" i="84"/>
  <c r="U57" i="84" s="1"/>
  <c r="Q57" i="84"/>
  <c r="T60" i="84"/>
  <c r="V60" i="84" s="1"/>
  <c r="Q60" i="84"/>
  <c r="T63" i="84"/>
  <c r="Q63" i="84"/>
  <c r="T79" i="84"/>
  <c r="V79" i="84" s="1"/>
  <c r="Q79" i="84"/>
  <c r="T73" i="84"/>
  <c r="Q73" i="84"/>
  <c r="T87" i="84"/>
  <c r="V87" i="84" s="1"/>
  <c r="Q87" i="84"/>
  <c r="T97" i="84"/>
  <c r="U97" i="84" s="1"/>
  <c r="Q97" i="84"/>
  <c r="T91" i="84"/>
  <c r="U91" i="84" s="1"/>
  <c r="Q91" i="84"/>
  <c r="T115" i="84"/>
  <c r="U115" i="84" s="1"/>
  <c r="Q115" i="84"/>
  <c r="T109" i="84"/>
  <c r="U109" i="84" s="1"/>
  <c r="Q109" i="84"/>
  <c r="T136" i="84"/>
  <c r="U136" i="84" s="1"/>
  <c r="Q136" i="84"/>
  <c r="T130" i="84"/>
  <c r="U130" i="84" s="1"/>
  <c r="Q130" i="84"/>
  <c r="T124" i="84"/>
  <c r="U124" i="84" s="1"/>
  <c r="Q124" i="84"/>
  <c r="T154" i="84"/>
  <c r="U154" i="84" s="1"/>
  <c r="Q154" i="84"/>
  <c r="T148" i="84"/>
  <c r="Q148" i="84"/>
  <c r="T142" i="84"/>
  <c r="U142" i="84" s="1"/>
  <c r="Q142" i="84"/>
  <c r="T161" i="84"/>
  <c r="V161" i="84" s="1"/>
  <c r="Q161" i="84"/>
  <c r="T12" i="84"/>
  <c r="V12" i="84" s="1"/>
  <c r="Q12" i="84"/>
  <c r="T17" i="84"/>
  <c r="Q17" i="84"/>
  <c r="T26" i="84"/>
  <c r="U26" i="84" s="1"/>
  <c r="Q26" i="84"/>
  <c r="T44" i="84"/>
  <c r="Q44" i="84"/>
  <c r="T69" i="84"/>
  <c r="U69" i="84" s="1"/>
  <c r="Q69" i="84"/>
  <c r="T78" i="84"/>
  <c r="Q78" i="84"/>
  <c r="T72" i="84"/>
  <c r="V72" i="84" s="1"/>
  <c r="Q72" i="84"/>
  <c r="T96" i="84"/>
  <c r="V96" i="84" s="1"/>
  <c r="Q96" i="84"/>
  <c r="T90" i="84"/>
  <c r="V90" i="84" s="1"/>
  <c r="Q90" i="84"/>
  <c r="T105" i="84"/>
  <c r="U105" i="84" s="1"/>
  <c r="Q105" i="84"/>
  <c r="T114" i="84"/>
  <c r="U114" i="84" s="1"/>
  <c r="Q114" i="84"/>
  <c r="T108" i="84"/>
  <c r="U108" i="84" s="1"/>
  <c r="Q108" i="84"/>
  <c r="T135" i="84"/>
  <c r="V135" i="84" s="1"/>
  <c r="Q135" i="84"/>
  <c r="T129" i="84"/>
  <c r="V129" i="84" s="1"/>
  <c r="Q129" i="84"/>
  <c r="T153" i="84"/>
  <c r="U153" i="84" s="1"/>
  <c r="Q153" i="84"/>
  <c r="T147" i="84"/>
  <c r="U147" i="84" s="1"/>
  <c r="Q147" i="84"/>
  <c r="T160" i="84"/>
  <c r="V160" i="84" s="1"/>
  <c r="Q160" i="84"/>
  <c r="T10" i="84"/>
  <c r="Q10" i="84"/>
  <c r="T19" i="84"/>
  <c r="V19" i="84" s="1"/>
  <c r="Q19" i="84"/>
  <c r="T24" i="84"/>
  <c r="U24" i="84" s="1"/>
  <c r="Q24" i="84"/>
  <c r="T46" i="84"/>
  <c r="U46" i="84" s="1"/>
  <c r="Q46" i="84"/>
  <c r="T75" i="84"/>
  <c r="V75" i="84" s="1"/>
  <c r="Q75" i="84"/>
  <c r="T162" i="84"/>
  <c r="U162" i="84" s="1"/>
  <c r="Q162" i="84"/>
  <c r="T9" i="84"/>
  <c r="U9" i="84" s="1"/>
  <c r="Q9" i="84"/>
  <c r="T11" i="84"/>
  <c r="V11" i="84" s="1"/>
  <c r="Q11" i="84"/>
  <c r="T15" i="84"/>
  <c r="Q15" i="84"/>
  <c r="T16" i="84"/>
  <c r="V16" i="84" s="1"/>
  <c r="Q16" i="84"/>
  <c r="T25" i="84"/>
  <c r="V25" i="84" s="1"/>
  <c r="Q25" i="84"/>
  <c r="T29" i="84"/>
  <c r="U29" i="84" s="1"/>
  <c r="U30" i="84" s="1"/>
  <c r="Q29" i="84"/>
  <c r="T33" i="84"/>
  <c r="Q33" i="84"/>
  <c r="T35" i="84"/>
  <c r="V35" i="84" s="1"/>
  <c r="Q35" i="84"/>
  <c r="T42" i="84"/>
  <c r="V42" i="84" s="1"/>
  <c r="Q42" i="84"/>
  <c r="T43" i="84"/>
  <c r="V43" i="84" s="1"/>
  <c r="Q43" i="84"/>
  <c r="T55" i="84"/>
  <c r="Q55" i="84"/>
  <c r="T58" i="84"/>
  <c r="V58" i="84" s="1"/>
  <c r="Q58" i="84"/>
  <c r="T61" i="84"/>
  <c r="Q61" i="84"/>
  <c r="T64" i="84"/>
  <c r="V64" i="84" s="1"/>
  <c r="Q64" i="84"/>
  <c r="T82" i="84"/>
  <c r="Q82" i="84"/>
  <c r="T76" i="84"/>
  <c r="V76" i="84" s="1"/>
  <c r="Q76" i="84"/>
  <c r="T70" i="84"/>
  <c r="U70" i="84" s="1"/>
  <c r="Q70" i="84"/>
  <c r="T100" i="84"/>
  <c r="V100" i="84" s="1"/>
  <c r="Q100" i="84"/>
  <c r="T94" i="84"/>
  <c r="Q94" i="84"/>
  <c r="T88" i="84"/>
  <c r="V88" i="84" s="1"/>
  <c r="Q88" i="84"/>
  <c r="T118" i="84"/>
  <c r="Q118" i="84"/>
  <c r="T112" i="84"/>
  <c r="V112" i="84" s="1"/>
  <c r="Q112" i="84"/>
  <c r="T106" i="84"/>
  <c r="V106" i="84" s="1"/>
  <c r="Q106" i="84"/>
  <c r="T133" i="84"/>
  <c r="V133" i="84" s="1"/>
  <c r="Q133" i="84"/>
  <c r="T127" i="84"/>
  <c r="V127" i="84" s="1"/>
  <c r="Q127" i="84"/>
  <c r="T141" i="84"/>
  <c r="V141" i="84" s="1"/>
  <c r="Q141" i="84"/>
  <c r="T151" i="84"/>
  <c r="Q151" i="84"/>
  <c r="T145" i="84"/>
  <c r="V145" i="84" s="1"/>
  <c r="Q145" i="84"/>
  <c r="T158" i="84"/>
  <c r="U158" i="84" s="1"/>
  <c r="Q158" i="84"/>
  <c r="T159" i="84"/>
  <c r="V159" i="84" s="1"/>
  <c r="Q159" i="84"/>
  <c r="V81" i="84"/>
  <c r="V126" i="84"/>
  <c r="U144" i="84"/>
  <c r="V9" i="84"/>
  <c r="U23" i="84"/>
  <c r="U79" i="84"/>
  <c r="V73" i="84"/>
  <c r="U73" i="84"/>
  <c r="V97" i="84"/>
  <c r="V136" i="84"/>
  <c r="U148" i="84"/>
  <c r="V148" i="84"/>
  <c r="U161" i="84"/>
  <c r="V17" i="84"/>
  <c r="U17" i="84"/>
  <c r="V44" i="84"/>
  <c r="U44" i="84"/>
  <c r="V78" i="84"/>
  <c r="U78" i="84"/>
  <c r="V105" i="84"/>
  <c r="V108" i="84"/>
  <c r="U129" i="84"/>
  <c r="U10" i="84"/>
  <c r="V10" i="84"/>
  <c r="V24" i="84"/>
  <c r="V34" i="84"/>
  <c r="V45" i="84"/>
  <c r="U45" i="84"/>
  <c r="U63" i="84"/>
  <c r="V63" i="84"/>
  <c r="V15" i="84"/>
  <c r="U15" i="84"/>
  <c r="U33" i="84"/>
  <c r="V33" i="84"/>
  <c r="V55" i="84"/>
  <c r="U55" i="84"/>
  <c r="V61" i="84"/>
  <c r="U61" i="84"/>
  <c r="U82" i="84"/>
  <c r="V82" i="84"/>
  <c r="V94" i="84"/>
  <c r="U94" i="84"/>
  <c r="V118" i="84"/>
  <c r="U118" i="84"/>
  <c r="V151" i="84"/>
  <c r="U151" i="84"/>
  <c r="AC42" i="84"/>
  <c r="AD42" i="84" s="1"/>
  <c r="N42" i="84"/>
  <c r="P42" i="84" s="1"/>
  <c r="E42" i="84"/>
  <c r="G42" i="84" s="1"/>
  <c r="N43" i="84"/>
  <c r="O43" i="84" s="1"/>
  <c r="E43" i="84"/>
  <c r="G43" i="84" s="1"/>
  <c r="AC43" i="84"/>
  <c r="AE43" i="84" s="1"/>
  <c r="AC55" i="84"/>
  <c r="AD55" i="84" s="1"/>
  <c r="E55" i="84"/>
  <c r="G55" i="84" s="1"/>
  <c r="N55" i="84"/>
  <c r="P55" i="84" s="1"/>
  <c r="N58" i="84"/>
  <c r="O58" i="84" s="1"/>
  <c r="AC58" i="84"/>
  <c r="AE58" i="84" s="1"/>
  <c r="E58" i="84"/>
  <c r="F58" i="84" s="1"/>
  <c r="AC61" i="84"/>
  <c r="AD61" i="84" s="1"/>
  <c r="E61" i="84"/>
  <c r="G61" i="84" s="1"/>
  <c r="N61" i="84"/>
  <c r="N64" i="84"/>
  <c r="O64" i="84" s="1"/>
  <c r="AC64" i="84"/>
  <c r="AE64" i="84" s="1"/>
  <c r="E64" i="84"/>
  <c r="F64" i="84" s="1"/>
  <c r="AC82" i="84"/>
  <c r="AD82" i="84" s="1"/>
  <c r="E82" i="84"/>
  <c r="G82" i="84" s="1"/>
  <c r="N82" i="84"/>
  <c r="P82" i="84" s="1"/>
  <c r="AC76" i="84"/>
  <c r="AE76" i="84" s="1"/>
  <c r="E76" i="84"/>
  <c r="G76" i="84" s="1"/>
  <c r="N76" i="84"/>
  <c r="O76" i="84" s="1"/>
  <c r="AC70" i="84"/>
  <c r="AE70" i="84" s="1"/>
  <c r="E70" i="84"/>
  <c r="N70" i="84"/>
  <c r="P70" i="84" s="1"/>
  <c r="N100" i="84"/>
  <c r="P100" i="84" s="1"/>
  <c r="AC100" i="84"/>
  <c r="AD100" i="84" s="1"/>
  <c r="E100" i="84"/>
  <c r="F100" i="84" s="1"/>
  <c r="N94" i="84"/>
  <c r="O94" i="84" s="1"/>
  <c r="AC94" i="84"/>
  <c r="AD94" i="84" s="1"/>
  <c r="E94" i="84"/>
  <c r="F94" i="84" s="1"/>
  <c r="N88" i="84"/>
  <c r="P88" i="84" s="1"/>
  <c r="AC88" i="84"/>
  <c r="AD88" i="84" s="1"/>
  <c r="E88" i="84"/>
  <c r="G88" i="84" s="1"/>
  <c r="AC118" i="84"/>
  <c r="AD118" i="84" s="1"/>
  <c r="E118" i="84"/>
  <c r="N118" i="84"/>
  <c r="P118" i="84" s="1"/>
  <c r="AC112" i="84"/>
  <c r="AD112" i="84" s="1"/>
  <c r="E112" i="84"/>
  <c r="G112" i="84" s="1"/>
  <c r="N112" i="84"/>
  <c r="P112" i="84" s="1"/>
  <c r="AC106" i="84"/>
  <c r="AE106" i="84" s="1"/>
  <c r="E106" i="84"/>
  <c r="N106" i="84"/>
  <c r="O106" i="84" s="1"/>
  <c r="N135" i="84"/>
  <c r="P135" i="84" s="1"/>
  <c r="AC135" i="84"/>
  <c r="AD135" i="84" s="1"/>
  <c r="E135" i="84"/>
  <c r="F135" i="84" s="1"/>
  <c r="N129" i="84"/>
  <c r="AC129" i="84"/>
  <c r="AE129" i="84" s="1"/>
  <c r="E129" i="84"/>
  <c r="G129" i="84" s="1"/>
  <c r="AC154" i="84"/>
  <c r="AD154" i="84" s="1"/>
  <c r="E154" i="84"/>
  <c r="G154" i="84" s="1"/>
  <c r="N154" i="84"/>
  <c r="P154" i="84" s="1"/>
  <c r="AC148" i="84"/>
  <c r="E148" i="84"/>
  <c r="G148" i="84" s="1"/>
  <c r="N148" i="84"/>
  <c r="P148" i="84" s="1"/>
  <c r="AC142" i="84"/>
  <c r="AD142" i="84" s="1"/>
  <c r="E142" i="84"/>
  <c r="F142" i="84" s="1"/>
  <c r="N142" i="84"/>
  <c r="O142" i="84" s="1"/>
  <c r="G162" i="84"/>
  <c r="AC162" i="84"/>
  <c r="AE162" i="84" s="1"/>
  <c r="N162" i="84"/>
  <c r="O162" i="84" s="1"/>
  <c r="AC46" i="84"/>
  <c r="N46" i="84"/>
  <c r="P46" i="84" s="1"/>
  <c r="E46" i="84"/>
  <c r="F46" i="84" s="1"/>
  <c r="N81" i="84"/>
  <c r="AC81" i="84"/>
  <c r="AE81" i="84" s="1"/>
  <c r="E81" i="84"/>
  <c r="F81" i="84" s="1"/>
  <c r="N75" i="84"/>
  <c r="P75" i="84" s="1"/>
  <c r="AC75" i="84"/>
  <c r="AE75" i="84" s="1"/>
  <c r="E75" i="84"/>
  <c r="F75" i="84" s="1"/>
  <c r="N99" i="84"/>
  <c r="P99" i="84" s="1"/>
  <c r="AC99" i="84"/>
  <c r="AD99" i="84" s="1"/>
  <c r="E99" i="84"/>
  <c r="F99" i="84" s="1"/>
  <c r="N93" i="84"/>
  <c r="O93" i="84" s="1"/>
  <c r="AC93" i="84"/>
  <c r="E93" i="84"/>
  <c r="G93" i="84" s="1"/>
  <c r="N117" i="84"/>
  <c r="O117" i="84" s="1"/>
  <c r="AC117" i="84"/>
  <c r="AD117" i="84" s="1"/>
  <c r="E117" i="84"/>
  <c r="F117" i="84" s="1"/>
  <c r="N111" i="84"/>
  <c r="P111" i="84" s="1"/>
  <c r="AC111" i="84"/>
  <c r="AE111" i="84" s="1"/>
  <c r="E111" i="84"/>
  <c r="F111" i="84" s="1"/>
  <c r="AC133" i="84"/>
  <c r="AE133" i="84" s="1"/>
  <c r="E133" i="84"/>
  <c r="G133" i="84" s="1"/>
  <c r="N133" i="84"/>
  <c r="O133" i="84" s="1"/>
  <c r="AC127" i="84"/>
  <c r="E127" i="84"/>
  <c r="F127" i="84" s="1"/>
  <c r="N127" i="84"/>
  <c r="P127" i="84" s="1"/>
  <c r="N153" i="84"/>
  <c r="O153" i="84" s="1"/>
  <c r="AC153" i="84"/>
  <c r="AE153" i="84" s="1"/>
  <c r="E153" i="84"/>
  <c r="F153" i="84" s="1"/>
  <c r="N147" i="84"/>
  <c r="AC147" i="84"/>
  <c r="AE147" i="84" s="1"/>
  <c r="E147" i="84"/>
  <c r="G147" i="84" s="1"/>
  <c r="N161" i="84"/>
  <c r="O161" i="84" s="1"/>
  <c r="AC161" i="84"/>
  <c r="AE161" i="84" s="1"/>
  <c r="E161" i="84"/>
  <c r="F161" i="84" s="1"/>
  <c r="F163" i="84" s="1"/>
  <c r="AC45" i="84"/>
  <c r="AE45" i="84" s="1"/>
  <c r="N45" i="84"/>
  <c r="O45" i="84" s="1"/>
  <c r="E45" i="84"/>
  <c r="F45" i="84" s="1"/>
  <c r="N54" i="84"/>
  <c r="O54" i="84" s="1"/>
  <c r="E54" i="84"/>
  <c r="F54" i="84" s="1"/>
  <c r="AC54" i="84"/>
  <c r="AD54" i="84" s="1"/>
  <c r="N57" i="84"/>
  <c r="O57" i="84" s="1"/>
  <c r="AC57" i="84"/>
  <c r="AD57" i="84" s="1"/>
  <c r="E57" i="84"/>
  <c r="N60" i="84"/>
  <c r="O60" i="84" s="1"/>
  <c r="AC60" i="84"/>
  <c r="AD60" i="84" s="1"/>
  <c r="E60" i="84"/>
  <c r="G60" i="84" s="1"/>
  <c r="N63" i="84"/>
  <c r="AC63" i="84"/>
  <c r="AE63" i="84" s="1"/>
  <c r="E63" i="84"/>
  <c r="N79" i="84"/>
  <c r="O79" i="84" s="1"/>
  <c r="AC79" i="84"/>
  <c r="AD79" i="84" s="1"/>
  <c r="E79" i="84"/>
  <c r="F79" i="84" s="1"/>
  <c r="N73" i="84"/>
  <c r="P73" i="84" s="1"/>
  <c r="AC73" i="84"/>
  <c r="AE73" i="84" s="1"/>
  <c r="E73" i="84"/>
  <c r="N87" i="84"/>
  <c r="O87" i="84" s="1"/>
  <c r="AC87" i="84"/>
  <c r="AD87" i="84" s="1"/>
  <c r="E87" i="84"/>
  <c r="AC97" i="84"/>
  <c r="AE97" i="84" s="1"/>
  <c r="E97" i="84"/>
  <c r="G97" i="84" s="1"/>
  <c r="N97" i="84"/>
  <c r="O97" i="84" s="1"/>
  <c r="AC91" i="84"/>
  <c r="AE91" i="84" s="1"/>
  <c r="E91" i="84"/>
  <c r="F91" i="84" s="1"/>
  <c r="N91" i="84"/>
  <c r="O91" i="84" s="1"/>
  <c r="N115" i="84"/>
  <c r="O115" i="84" s="1"/>
  <c r="AC115" i="84"/>
  <c r="AE115" i="84" s="1"/>
  <c r="E115" i="84"/>
  <c r="G115" i="84" s="1"/>
  <c r="N109" i="84"/>
  <c r="O109" i="84" s="1"/>
  <c r="AC109" i="84"/>
  <c r="AE109" i="84" s="1"/>
  <c r="E109" i="84"/>
  <c r="F109" i="84" s="1"/>
  <c r="N132" i="84"/>
  <c r="O132" i="84" s="1"/>
  <c r="AC132" i="84"/>
  <c r="E132" i="84"/>
  <c r="G132" i="84" s="1"/>
  <c r="N126" i="84"/>
  <c r="P126" i="84" s="1"/>
  <c r="AC126" i="84"/>
  <c r="AE126" i="84" s="1"/>
  <c r="E126" i="84"/>
  <c r="G126" i="84" s="1"/>
  <c r="N141" i="84"/>
  <c r="P141" i="84" s="1"/>
  <c r="AC141" i="84"/>
  <c r="AD141" i="84" s="1"/>
  <c r="E141" i="84"/>
  <c r="G141" i="84" s="1"/>
  <c r="N151" i="84"/>
  <c r="P151" i="84" s="1"/>
  <c r="AC151" i="84"/>
  <c r="AD151" i="84" s="1"/>
  <c r="E151" i="84"/>
  <c r="G151" i="84" s="1"/>
  <c r="N145" i="84"/>
  <c r="O145" i="84" s="1"/>
  <c r="AC145" i="84"/>
  <c r="AD145" i="84" s="1"/>
  <c r="E145" i="84"/>
  <c r="F145" i="84" s="1"/>
  <c r="G160" i="84"/>
  <c r="AC160" i="84"/>
  <c r="AD160" i="84" s="1"/>
  <c r="N160" i="84"/>
  <c r="AC12" i="84"/>
  <c r="AE12" i="84" s="1"/>
  <c r="E44" i="84"/>
  <c r="G44" i="84" s="1"/>
  <c r="AC44" i="84"/>
  <c r="AE44" i="84" s="1"/>
  <c r="N44" i="84"/>
  <c r="N69" i="84"/>
  <c r="P69" i="84" s="1"/>
  <c r="AC69" i="84"/>
  <c r="AE69" i="84" s="1"/>
  <c r="E69" i="84"/>
  <c r="N78" i="84"/>
  <c r="O78" i="84" s="1"/>
  <c r="AC78" i="84"/>
  <c r="E78" i="84"/>
  <c r="F78" i="84" s="1"/>
  <c r="N72" i="84"/>
  <c r="P72" i="84" s="1"/>
  <c r="AC72" i="84"/>
  <c r="AD72" i="84" s="1"/>
  <c r="E72" i="84"/>
  <c r="G72" i="84" s="1"/>
  <c r="N96" i="84"/>
  <c r="O96" i="84" s="1"/>
  <c r="AC96" i="84"/>
  <c r="AD96" i="84" s="1"/>
  <c r="E96" i="84"/>
  <c r="F96" i="84" s="1"/>
  <c r="N90" i="84"/>
  <c r="P90" i="84" s="1"/>
  <c r="AC90" i="84"/>
  <c r="AD90" i="84" s="1"/>
  <c r="E90" i="84"/>
  <c r="N105" i="84"/>
  <c r="P105" i="84" s="1"/>
  <c r="AC105" i="84"/>
  <c r="AE105" i="84" s="1"/>
  <c r="E105" i="84"/>
  <c r="G105" i="84" s="1"/>
  <c r="N114" i="84"/>
  <c r="P114" i="84" s="1"/>
  <c r="AC114" i="84"/>
  <c r="AD114" i="84" s="1"/>
  <c r="E114" i="84"/>
  <c r="N108" i="84"/>
  <c r="P108" i="84" s="1"/>
  <c r="AC108" i="84"/>
  <c r="AE108" i="84" s="1"/>
  <c r="E108" i="84"/>
  <c r="F108" i="84" s="1"/>
  <c r="N136" i="84"/>
  <c r="P136" i="84" s="1"/>
  <c r="AC136" i="84"/>
  <c r="AD136" i="84" s="1"/>
  <c r="E136" i="84"/>
  <c r="N130" i="84"/>
  <c r="O130" i="84" s="1"/>
  <c r="AC130" i="84"/>
  <c r="AD130" i="84" s="1"/>
  <c r="E130" i="84"/>
  <c r="F130" i="84" s="1"/>
  <c r="N124" i="84"/>
  <c r="AC124" i="84"/>
  <c r="E124" i="84"/>
  <c r="N150" i="84"/>
  <c r="P150" i="84" s="1"/>
  <c r="AC150" i="84"/>
  <c r="E150" i="84"/>
  <c r="F150" i="84" s="1"/>
  <c r="N144" i="84"/>
  <c r="O144" i="84" s="1"/>
  <c r="AC144" i="84"/>
  <c r="AD144" i="84" s="1"/>
  <c r="E144" i="84"/>
  <c r="G144" i="84" s="1"/>
  <c r="AC158" i="84"/>
  <c r="AE158" i="84" s="1"/>
  <c r="N158" i="84"/>
  <c r="P158" i="84" s="1"/>
  <c r="AC159" i="84"/>
  <c r="AE159" i="84" s="1"/>
  <c r="N159" i="84"/>
  <c r="O159" i="84" s="1"/>
  <c r="AC11" i="84"/>
  <c r="AD11" i="84" s="1"/>
  <c r="E11" i="84"/>
  <c r="F11" i="84" s="1"/>
  <c r="N11" i="84"/>
  <c r="P11" i="84" s="1"/>
  <c r="N15" i="84"/>
  <c r="O15" i="84" s="1"/>
  <c r="E15" i="84"/>
  <c r="F15" i="84" s="1"/>
  <c r="AC15" i="84"/>
  <c r="AD15" i="84" s="1"/>
  <c r="E29" i="84"/>
  <c r="F29" i="84" s="1"/>
  <c r="AC29" i="84"/>
  <c r="AD29" i="84" s="1"/>
  <c r="N29" i="84"/>
  <c r="P29" i="84" s="1"/>
  <c r="AC35" i="84"/>
  <c r="AE35" i="84" s="1"/>
  <c r="N35" i="84"/>
  <c r="O35" i="84" s="1"/>
  <c r="E35" i="84"/>
  <c r="F35" i="84" s="1"/>
  <c r="AC24" i="84"/>
  <c r="AE24" i="84" s="1"/>
  <c r="E24" i="84"/>
  <c r="F24" i="84" s="1"/>
  <c r="N24" i="84"/>
  <c r="P24" i="84" s="1"/>
  <c r="AC8" i="84"/>
  <c r="AD8" i="84" s="1"/>
  <c r="N8" i="84"/>
  <c r="P8" i="84" s="1"/>
  <c r="E8" i="84"/>
  <c r="F8" i="84" s="1"/>
  <c r="N9" i="84"/>
  <c r="P9" i="84" s="1"/>
  <c r="AC9" i="84"/>
  <c r="E9" i="84"/>
  <c r="G9" i="84" s="1"/>
  <c r="AC18" i="84"/>
  <c r="AD18" i="84" s="1"/>
  <c r="N18" i="84"/>
  <c r="O18" i="84" s="1"/>
  <c r="E18" i="84"/>
  <c r="E22" i="84"/>
  <c r="G22" i="84" s="1"/>
  <c r="N22" i="84"/>
  <c r="O22" i="84" s="1"/>
  <c r="AC22" i="84"/>
  <c r="AD22" i="84" s="1"/>
  <c r="AC23" i="84"/>
  <c r="AE23" i="84" s="1"/>
  <c r="N23" i="84"/>
  <c r="O23" i="84" s="1"/>
  <c r="E23" i="84"/>
  <c r="F23" i="84" s="1"/>
  <c r="AC32" i="84"/>
  <c r="AD32" i="84" s="1"/>
  <c r="N32" i="84"/>
  <c r="P32" i="84" s="1"/>
  <c r="E32" i="84"/>
  <c r="G32" i="84" s="1"/>
  <c r="E34" i="84"/>
  <c r="G34" i="84" s="1"/>
  <c r="AC34" i="84"/>
  <c r="AE34" i="84" s="1"/>
  <c r="N34" i="84"/>
  <c r="O34" i="84" s="1"/>
  <c r="AC36" i="84"/>
  <c r="AD36" i="84" s="1"/>
  <c r="E36" i="84"/>
  <c r="F36" i="84" s="1"/>
  <c r="N36" i="84"/>
  <c r="E16" i="84"/>
  <c r="AC16" i="84"/>
  <c r="AD16" i="84" s="1"/>
  <c r="N16" i="84"/>
  <c r="O16" i="84" s="1"/>
  <c r="N25" i="84"/>
  <c r="P25" i="84" s="1"/>
  <c r="E25" i="84"/>
  <c r="G25" i="84" s="1"/>
  <c r="AC25" i="84"/>
  <c r="AE25" i="84" s="1"/>
  <c r="N33" i="84"/>
  <c r="P33" i="84" s="1"/>
  <c r="AC33" i="84"/>
  <c r="AE33" i="84" s="1"/>
  <c r="E33" i="84"/>
  <c r="E10" i="84"/>
  <c r="F10" i="84" s="1"/>
  <c r="N10" i="84"/>
  <c r="P10" i="84" s="1"/>
  <c r="AC10" i="84"/>
  <c r="AD10" i="84" s="1"/>
  <c r="N19" i="84"/>
  <c r="AC19" i="84"/>
  <c r="AE19" i="84" s="1"/>
  <c r="E19" i="84"/>
  <c r="G19" i="84" s="1"/>
  <c r="E12" i="84"/>
  <c r="F12" i="84" s="1"/>
  <c r="N12" i="84"/>
  <c r="O12" i="84" s="1"/>
  <c r="N17" i="84"/>
  <c r="O17" i="84" s="1"/>
  <c r="E17" i="84"/>
  <c r="G17" i="84" s="1"/>
  <c r="AC17" i="84"/>
  <c r="AE17" i="84" s="1"/>
  <c r="E26" i="84"/>
  <c r="G26" i="84" s="1"/>
  <c r="N26" i="84"/>
  <c r="O26" i="84" s="1"/>
  <c r="AC26" i="84"/>
  <c r="AD26" i="84" s="1"/>
  <c r="J134" i="30"/>
  <c r="D151" i="30"/>
  <c r="G151" i="30"/>
  <c r="F151" i="27"/>
  <c r="I151" i="27"/>
  <c r="G150" i="30"/>
  <c r="I151" i="30"/>
  <c r="F151" i="30"/>
  <c r="M133" i="30"/>
  <c r="G148" i="30"/>
  <c r="F40" i="30"/>
  <c r="G138" i="30"/>
  <c r="G139" i="30"/>
  <c r="D148" i="30"/>
  <c r="D157" i="30"/>
  <c r="L141" i="30"/>
  <c r="G142" i="30"/>
  <c r="L156" i="30"/>
  <c r="D145" i="30"/>
  <c r="F156" i="30"/>
  <c r="G141" i="30"/>
  <c r="D142" i="30"/>
  <c r="G145" i="30"/>
  <c r="D40" i="27"/>
  <c r="C14" i="52" s="1"/>
  <c r="F40" i="27"/>
  <c r="G144" i="30"/>
  <c r="G157" i="30"/>
  <c r="D154" i="30"/>
  <c r="I157" i="30"/>
  <c r="D139" i="30"/>
  <c r="F158" i="30"/>
  <c r="L158" i="30"/>
  <c r="G155" i="30"/>
  <c r="I139" i="30"/>
  <c r="F154" i="30"/>
  <c r="I154" i="30"/>
  <c r="I142" i="30"/>
  <c r="I145" i="30"/>
  <c r="I148" i="30"/>
  <c r="I10" i="84"/>
  <c r="J15" i="84"/>
  <c r="J25" i="84"/>
  <c r="J35" i="84"/>
  <c r="J43" i="84"/>
  <c r="J61" i="84"/>
  <c r="I75" i="84"/>
  <c r="J78" i="84"/>
  <c r="I94" i="84"/>
  <c r="J90" i="84"/>
  <c r="J105" i="84"/>
  <c r="J108" i="84"/>
  <c r="I142" i="84"/>
  <c r="I11" i="84"/>
  <c r="I15" i="84"/>
  <c r="I16" i="84"/>
  <c r="J17" i="84"/>
  <c r="I25" i="84"/>
  <c r="J26" i="84"/>
  <c r="I33" i="84"/>
  <c r="I42" i="84"/>
  <c r="I43" i="84"/>
  <c r="J44" i="84"/>
  <c r="I55" i="84"/>
  <c r="I58" i="84"/>
  <c r="I61" i="84"/>
  <c r="I82" i="84"/>
  <c r="I76" i="84"/>
  <c r="I70" i="84"/>
  <c r="J79" i="84"/>
  <c r="J73" i="84"/>
  <c r="J87" i="84"/>
  <c r="I96" i="84"/>
  <c r="I90" i="84"/>
  <c r="J97" i="84"/>
  <c r="I118" i="84"/>
  <c r="I112" i="84"/>
  <c r="I106" i="84"/>
  <c r="J115" i="84"/>
  <c r="J109" i="84"/>
  <c r="I132" i="84"/>
  <c r="I126" i="84"/>
  <c r="J127" i="84"/>
  <c r="I144" i="84"/>
  <c r="J151" i="84"/>
  <c r="I19" i="84"/>
  <c r="I29" i="84"/>
  <c r="J33" i="84"/>
  <c r="I46" i="84"/>
  <c r="J55" i="84"/>
  <c r="J64" i="84"/>
  <c r="J69" i="84"/>
  <c r="I100" i="84"/>
  <c r="J96" i="84"/>
  <c r="I111" i="84"/>
  <c r="I136" i="84"/>
  <c r="J126" i="84"/>
  <c r="I8" i="84"/>
  <c r="I9" i="84"/>
  <c r="J10" i="84"/>
  <c r="I18" i="84"/>
  <c r="J19" i="84"/>
  <c r="I22" i="84"/>
  <c r="I23" i="84"/>
  <c r="J24" i="84"/>
  <c r="J29" i="84"/>
  <c r="I32" i="84"/>
  <c r="F32" i="84"/>
  <c r="I34" i="84"/>
  <c r="I36" i="84"/>
  <c r="I45" i="84"/>
  <c r="J46" i="84"/>
  <c r="I54" i="84"/>
  <c r="I57" i="84"/>
  <c r="I60" i="84"/>
  <c r="I63" i="84"/>
  <c r="I79" i="84"/>
  <c r="I73" i="84"/>
  <c r="J82" i="84"/>
  <c r="J70" i="84"/>
  <c r="I99" i="84"/>
  <c r="I93" i="84"/>
  <c r="J100" i="84"/>
  <c r="J94" i="84"/>
  <c r="J88" i="84"/>
  <c r="I115" i="84"/>
  <c r="I109" i="84"/>
  <c r="J118" i="84"/>
  <c r="J112" i="84"/>
  <c r="J106" i="84"/>
  <c r="I135" i="84"/>
  <c r="I129" i="84"/>
  <c r="J136" i="84"/>
  <c r="J130" i="84"/>
  <c r="I153" i="84"/>
  <c r="I147" i="84"/>
  <c r="F147" i="84"/>
  <c r="J148" i="84"/>
  <c r="J158" i="84"/>
  <c r="G158" i="84"/>
  <c r="J159" i="84"/>
  <c r="G159" i="84"/>
  <c r="J11" i="84"/>
  <c r="J16" i="84"/>
  <c r="I24" i="84"/>
  <c r="J42" i="84"/>
  <c r="J58" i="84"/>
  <c r="I81" i="84"/>
  <c r="J72" i="84"/>
  <c r="I88" i="84"/>
  <c r="I117" i="84"/>
  <c r="J114" i="84"/>
  <c r="J132" i="84"/>
  <c r="I154" i="84"/>
  <c r="I148" i="84"/>
  <c r="J150" i="84"/>
  <c r="J144" i="84"/>
  <c r="I12" i="84"/>
  <c r="J9" i="84"/>
  <c r="I17" i="84"/>
  <c r="J18" i="84"/>
  <c r="I26" i="84"/>
  <c r="J22" i="84"/>
  <c r="J23" i="84"/>
  <c r="J32" i="84"/>
  <c r="J34" i="84"/>
  <c r="J36" i="84"/>
  <c r="I44" i="84"/>
  <c r="J45" i="84"/>
  <c r="J54" i="84"/>
  <c r="J57" i="84"/>
  <c r="J60" i="84"/>
  <c r="J63" i="84"/>
  <c r="I69" i="84"/>
  <c r="I78" i="84"/>
  <c r="I72" i="84"/>
  <c r="J81" i="84"/>
  <c r="J75" i="84"/>
  <c r="I87" i="84"/>
  <c r="I97" i="84"/>
  <c r="I91" i="84"/>
  <c r="J99" i="84"/>
  <c r="J93" i="84"/>
  <c r="I114" i="84"/>
  <c r="I108" i="84"/>
  <c r="J117" i="84"/>
  <c r="J111" i="84"/>
  <c r="I133" i="84"/>
  <c r="I127" i="84"/>
  <c r="J135" i="84"/>
  <c r="I141" i="84"/>
  <c r="I151" i="84"/>
  <c r="I145" i="84"/>
  <c r="J147" i="84"/>
  <c r="M162" i="84"/>
  <c r="J162" i="84"/>
  <c r="M76" i="84"/>
  <c r="J76" i="84"/>
  <c r="L130" i="84"/>
  <c r="I130" i="84"/>
  <c r="L124" i="84"/>
  <c r="I124" i="84"/>
  <c r="M141" i="84"/>
  <c r="J141" i="84"/>
  <c r="L150" i="84"/>
  <c r="I150" i="84"/>
  <c r="M145" i="84"/>
  <c r="J145" i="84"/>
  <c r="L162" i="84"/>
  <c r="I162" i="84"/>
  <c r="M8" i="84"/>
  <c r="J8" i="84"/>
  <c r="I105" i="84"/>
  <c r="M12" i="84"/>
  <c r="J12" i="84"/>
  <c r="L35" i="84"/>
  <c r="I35" i="84"/>
  <c r="L64" i="84"/>
  <c r="I64" i="84"/>
  <c r="M91" i="84"/>
  <c r="J91" i="84"/>
  <c r="M129" i="84"/>
  <c r="J129" i="84"/>
  <c r="M154" i="84"/>
  <c r="J154" i="84"/>
  <c r="M142" i="84"/>
  <c r="J142" i="84"/>
  <c r="L160" i="84"/>
  <c r="I160" i="84"/>
  <c r="M161" i="84"/>
  <c r="J161" i="84"/>
  <c r="M124" i="84"/>
  <c r="J124" i="84"/>
  <c r="L161" i="84"/>
  <c r="I161" i="84"/>
  <c r="D161" i="84"/>
  <c r="M133" i="84"/>
  <c r="J133" i="84"/>
  <c r="M153" i="84"/>
  <c r="J153" i="84"/>
  <c r="L158" i="84"/>
  <c r="I158" i="84"/>
  <c r="L159" i="84"/>
  <c r="I159" i="84"/>
  <c r="D160" i="84"/>
  <c r="J160" i="84"/>
  <c r="L15" i="84"/>
  <c r="M17" i="84"/>
  <c r="L25" i="84"/>
  <c r="M26" i="84"/>
  <c r="L33" i="84"/>
  <c r="L43" i="84"/>
  <c r="L55" i="84"/>
  <c r="L61" i="84"/>
  <c r="L78" i="84"/>
  <c r="M75" i="84"/>
  <c r="L91" i="84"/>
  <c r="M93" i="84"/>
  <c r="L108" i="84"/>
  <c r="M136" i="84"/>
  <c r="L151" i="84"/>
  <c r="L145" i="84"/>
  <c r="M147" i="84"/>
  <c r="L10" i="84"/>
  <c r="M11" i="84"/>
  <c r="L19" i="84"/>
  <c r="M15" i="84"/>
  <c r="M16" i="84"/>
  <c r="L24" i="84"/>
  <c r="M25" i="84"/>
  <c r="L29" i="84"/>
  <c r="M33" i="84"/>
  <c r="M35" i="84"/>
  <c r="L46" i="84"/>
  <c r="M42" i="84"/>
  <c r="M43" i="84"/>
  <c r="M55" i="84"/>
  <c r="M58" i="84"/>
  <c r="M61" i="84"/>
  <c r="M64" i="84"/>
  <c r="L82" i="84"/>
  <c r="L76" i="84"/>
  <c r="L70" i="84"/>
  <c r="M79" i="84"/>
  <c r="M73" i="84"/>
  <c r="M87" i="84"/>
  <c r="L96" i="84"/>
  <c r="L90" i="84"/>
  <c r="M97" i="84"/>
  <c r="L118" i="84"/>
  <c r="L112" i="84"/>
  <c r="L106" i="84"/>
  <c r="M115" i="84"/>
  <c r="M109" i="84"/>
  <c r="L133" i="84"/>
  <c r="L127" i="84"/>
  <c r="M135" i="84"/>
  <c r="L144" i="84"/>
  <c r="M151" i="84"/>
  <c r="M158" i="84"/>
  <c r="M159" i="84"/>
  <c r="M81" i="84"/>
  <c r="L97" i="84"/>
  <c r="L114" i="84"/>
  <c r="L8" i="84"/>
  <c r="L9" i="84"/>
  <c r="M10" i="84"/>
  <c r="L18" i="84"/>
  <c r="M19" i="84"/>
  <c r="L22" i="84"/>
  <c r="L23" i="84"/>
  <c r="M24" i="84"/>
  <c r="AE29" i="84"/>
  <c r="M29" i="84"/>
  <c r="L32" i="84"/>
  <c r="L34" i="84"/>
  <c r="L36" i="84"/>
  <c r="L45" i="84"/>
  <c r="M46" i="84"/>
  <c r="L54" i="84"/>
  <c r="L57" i="84"/>
  <c r="L60" i="84"/>
  <c r="L63" i="84"/>
  <c r="L81" i="84"/>
  <c r="L75" i="84"/>
  <c r="M69" i="84"/>
  <c r="M78" i="84"/>
  <c r="M72" i="84"/>
  <c r="L100" i="84"/>
  <c r="L94" i="84"/>
  <c r="L88" i="84"/>
  <c r="M96" i="84"/>
  <c r="M90" i="84"/>
  <c r="L117" i="84"/>
  <c r="L111" i="84"/>
  <c r="M105" i="84"/>
  <c r="M114" i="84"/>
  <c r="M108" i="84"/>
  <c r="L132" i="84"/>
  <c r="L126" i="84"/>
  <c r="M127" i="84"/>
  <c r="L154" i="84"/>
  <c r="L148" i="84"/>
  <c r="L142" i="84"/>
  <c r="M150" i="84"/>
  <c r="M144" i="84"/>
  <c r="D158" i="84"/>
  <c r="D159" i="84"/>
  <c r="L11" i="84"/>
  <c r="L16" i="84"/>
  <c r="L42" i="84"/>
  <c r="M44" i="84"/>
  <c r="L58" i="84"/>
  <c r="L69" i="84"/>
  <c r="L72" i="84"/>
  <c r="L87" i="84"/>
  <c r="M99" i="84"/>
  <c r="L105" i="84"/>
  <c r="M117" i="84"/>
  <c r="M111" i="84"/>
  <c r="L135" i="84"/>
  <c r="L129" i="84"/>
  <c r="M130" i="84"/>
  <c r="L141" i="84"/>
  <c r="M160" i="84"/>
  <c r="L12" i="84"/>
  <c r="M9" i="84"/>
  <c r="L17" i="84"/>
  <c r="M18" i="84"/>
  <c r="L26" i="84"/>
  <c r="M22" i="84"/>
  <c r="M23" i="84"/>
  <c r="M32" i="84"/>
  <c r="M34" i="84"/>
  <c r="M36" i="84"/>
  <c r="L44" i="84"/>
  <c r="M45" i="84"/>
  <c r="M54" i="84"/>
  <c r="M57" i="84"/>
  <c r="M60" i="84"/>
  <c r="P63" i="84"/>
  <c r="M63" i="84"/>
  <c r="L79" i="84"/>
  <c r="L73" i="84"/>
  <c r="AE82" i="84"/>
  <c r="M82" i="84"/>
  <c r="M70" i="84"/>
  <c r="L99" i="84"/>
  <c r="L93" i="84"/>
  <c r="M100" i="84"/>
  <c r="M94" i="84"/>
  <c r="M88" i="84"/>
  <c r="L115" i="84"/>
  <c r="L109" i="84"/>
  <c r="M118" i="84"/>
  <c r="M112" i="84"/>
  <c r="M106" i="84"/>
  <c r="L136" i="84"/>
  <c r="M132" i="84"/>
  <c r="M126" i="84"/>
  <c r="L153" i="84"/>
  <c r="D147" i="84"/>
  <c r="L147" i="84"/>
  <c r="M148" i="84"/>
  <c r="D162" i="84"/>
  <c r="D153" i="84"/>
  <c r="P144" i="84"/>
  <c r="D141" i="84"/>
  <c r="D142" i="84"/>
  <c r="D148" i="84"/>
  <c r="D154" i="84"/>
  <c r="D145" i="84"/>
  <c r="D151" i="84"/>
  <c r="D144" i="84"/>
  <c r="D150" i="84"/>
  <c r="D129" i="84"/>
  <c r="D126" i="84"/>
  <c r="D127" i="84"/>
  <c r="D91" i="84"/>
  <c r="D117" i="84"/>
  <c r="D130" i="84"/>
  <c r="AE135" i="84"/>
  <c r="D132" i="84"/>
  <c r="D135" i="84"/>
  <c r="D136" i="84"/>
  <c r="D133" i="84"/>
  <c r="D111" i="84"/>
  <c r="D105" i="84"/>
  <c r="D64" i="84"/>
  <c r="P94" i="84"/>
  <c r="D76" i="84"/>
  <c r="D97" i="84"/>
  <c r="D106" i="84"/>
  <c r="D112" i="84"/>
  <c r="D118" i="84"/>
  <c r="D109" i="84"/>
  <c r="D115" i="84"/>
  <c r="D70" i="84"/>
  <c r="D108" i="84"/>
  <c r="D114" i="84"/>
  <c r="D82" i="84"/>
  <c r="D88" i="84"/>
  <c r="D94" i="84"/>
  <c r="D100" i="84"/>
  <c r="D87" i="84"/>
  <c r="D93" i="84"/>
  <c r="D99" i="84"/>
  <c r="D90" i="84"/>
  <c r="D96" i="84"/>
  <c r="D69" i="84"/>
  <c r="D75" i="84"/>
  <c r="D81" i="84"/>
  <c r="O63" i="84"/>
  <c r="D73" i="84"/>
  <c r="D79" i="84"/>
  <c r="D72" i="84"/>
  <c r="D78" i="84"/>
  <c r="D63" i="84"/>
  <c r="D60" i="84"/>
  <c r="D61" i="84"/>
  <c r="D57" i="84"/>
  <c r="D54" i="84"/>
  <c r="D55" i="84"/>
  <c r="D58" i="84"/>
  <c r="D44" i="84"/>
  <c r="D43" i="84"/>
  <c r="D46" i="84"/>
  <c r="D45" i="84"/>
  <c r="D42" i="84"/>
  <c r="D8" i="84"/>
  <c r="D35" i="84"/>
  <c r="D25" i="84"/>
  <c r="D23" i="84"/>
  <c r="D33" i="84"/>
  <c r="D12" i="84"/>
  <c r="D18" i="84"/>
  <c r="D26" i="84"/>
  <c r="D34" i="84"/>
  <c r="D17" i="84"/>
  <c r="D16" i="84"/>
  <c r="D24" i="84"/>
  <c r="D32" i="84"/>
  <c r="D36" i="84"/>
  <c r="D19" i="84"/>
  <c r="D29" i="84"/>
  <c r="D22" i="84"/>
  <c r="F70" i="30"/>
  <c r="F76" i="30"/>
  <c r="F82" i="30"/>
  <c r="D15" i="84"/>
  <c r="AE8" i="84"/>
  <c r="D11" i="84"/>
  <c r="D10" i="84"/>
  <c r="D9" i="84"/>
  <c r="D155" i="30"/>
  <c r="F138" i="30"/>
  <c r="L138" i="30"/>
  <c r="F141" i="30"/>
  <c r="F144" i="30"/>
  <c r="L144" i="30"/>
  <c r="F147" i="30"/>
  <c r="L147" i="30"/>
  <c r="F150" i="30"/>
  <c r="L150" i="30"/>
  <c r="D40" i="30"/>
  <c r="I130" i="30"/>
  <c r="G156" i="30"/>
  <c r="D158" i="30"/>
  <c r="F155" i="30"/>
  <c r="L157" i="30"/>
  <c r="M138" i="30"/>
  <c r="J139" i="30"/>
  <c r="M141" i="30"/>
  <c r="J142" i="30"/>
  <c r="M144" i="30"/>
  <c r="J145" i="30"/>
  <c r="G147" i="30"/>
  <c r="M147" i="30"/>
  <c r="J148" i="30"/>
  <c r="M150" i="30"/>
  <c r="J151" i="30"/>
  <c r="I155" i="30"/>
  <c r="D138" i="30"/>
  <c r="F139" i="30"/>
  <c r="D141" i="30"/>
  <c r="F142" i="30"/>
  <c r="D144" i="30"/>
  <c r="F145" i="30"/>
  <c r="D147" i="30"/>
  <c r="F148" i="30"/>
  <c r="D150" i="30"/>
  <c r="G71" i="30"/>
  <c r="G77" i="30"/>
  <c r="G83" i="30"/>
  <c r="D91" i="30"/>
  <c r="G97" i="30"/>
  <c r="G91" i="30"/>
  <c r="G154" i="30"/>
  <c r="G158" i="30"/>
  <c r="D156" i="30"/>
  <c r="F157" i="30"/>
  <c r="F130" i="30"/>
  <c r="I133" i="30"/>
  <c r="G134" i="30"/>
  <c r="M154" i="30"/>
  <c r="J155" i="30"/>
  <c r="M156" i="30"/>
  <c r="J157" i="30"/>
  <c r="M158" i="30"/>
  <c r="L40" i="30"/>
  <c r="F133" i="30"/>
  <c r="D134" i="30"/>
  <c r="I134" i="30"/>
  <c r="G133" i="30"/>
  <c r="G131" i="30"/>
  <c r="D133" i="30"/>
  <c r="F134" i="30"/>
  <c r="G74" i="30"/>
  <c r="G80" i="30"/>
  <c r="D94" i="30"/>
  <c r="G88" i="30"/>
  <c r="G128" i="30"/>
  <c r="J131" i="30"/>
  <c r="L91" i="30"/>
  <c r="D97" i="30"/>
  <c r="D104" i="30"/>
  <c r="I127" i="30"/>
  <c r="D131" i="30"/>
  <c r="I131" i="30"/>
  <c r="G130" i="30"/>
  <c r="M130" i="30"/>
  <c r="M105" i="30"/>
  <c r="L84" i="30"/>
  <c r="F73" i="30"/>
  <c r="F79" i="30"/>
  <c r="D87" i="30"/>
  <c r="F104" i="30"/>
  <c r="D127" i="30"/>
  <c r="D130" i="30"/>
  <c r="F131" i="30"/>
  <c r="D105" i="30"/>
  <c r="G127" i="30"/>
  <c r="J104" i="30"/>
  <c r="F127" i="30"/>
  <c r="D128" i="30"/>
  <c r="I128" i="30"/>
  <c r="J87" i="30"/>
  <c r="M127" i="30"/>
  <c r="J128" i="30"/>
  <c r="F128" i="30"/>
  <c r="I70" i="30"/>
  <c r="J71" i="30"/>
  <c r="I73" i="30"/>
  <c r="J74" i="30"/>
  <c r="I76" i="30"/>
  <c r="J77" i="30"/>
  <c r="I79" i="30"/>
  <c r="J80" i="30"/>
  <c r="I82" i="30"/>
  <c r="J83" i="30"/>
  <c r="D99" i="30"/>
  <c r="G100" i="30"/>
  <c r="G94" i="30"/>
  <c r="D88" i="30"/>
  <c r="L94" i="30"/>
  <c r="D100" i="30"/>
  <c r="M70" i="30"/>
  <c r="M73" i="30"/>
  <c r="G79" i="30"/>
  <c r="G82" i="30"/>
  <c r="G117" i="30"/>
  <c r="I56" i="30"/>
  <c r="G108" i="30"/>
  <c r="G114" i="30"/>
  <c r="D71" i="30"/>
  <c r="I71" i="30"/>
  <c r="D74" i="30"/>
  <c r="I74" i="30"/>
  <c r="D77" i="30"/>
  <c r="I77" i="30"/>
  <c r="D80" i="30"/>
  <c r="I80" i="30"/>
  <c r="D83" i="30"/>
  <c r="I83" i="30"/>
  <c r="G73" i="30"/>
  <c r="M76" i="30"/>
  <c r="M82" i="30"/>
  <c r="D57" i="30"/>
  <c r="G87" i="30"/>
  <c r="G90" i="30"/>
  <c r="G99" i="30"/>
  <c r="D70" i="30"/>
  <c r="F71" i="30"/>
  <c r="D73" i="30"/>
  <c r="F74" i="30"/>
  <c r="D76" i="30"/>
  <c r="F77" i="30"/>
  <c r="D79" i="30"/>
  <c r="F80" i="30"/>
  <c r="D82" i="30"/>
  <c r="F83" i="30"/>
  <c r="G70" i="30"/>
  <c r="G76" i="30"/>
  <c r="M79" i="30"/>
  <c r="G111" i="30"/>
  <c r="F56" i="30"/>
  <c r="J117" i="30"/>
  <c r="I88" i="30"/>
  <c r="I91" i="30"/>
  <c r="I94" i="30"/>
  <c r="I97" i="30"/>
  <c r="I100" i="30"/>
  <c r="F87" i="30"/>
  <c r="L87" i="30"/>
  <c r="F90" i="30"/>
  <c r="L90" i="30"/>
  <c r="F93" i="30"/>
  <c r="L93" i="30"/>
  <c r="F96" i="30"/>
  <c r="L96" i="30"/>
  <c r="F99" i="30"/>
  <c r="L99" i="30"/>
  <c r="D63" i="30"/>
  <c r="M87" i="30"/>
  <c r="J88" i="30"/>
  <c r="M90" i="30"/>
  <c r="J91" i="30"/>
  <c r="G93" i="30"/>
  <c r="M93" i="30"/>
  <c r="J94" i="30"/>
  <c r="G96" i="30"/>
  <c r="M96" i="30"/>
  <c r="J97" i="30"/>
  <c r="M99" i="30"/>
  <c r="J100" i="30"/>
  <c r="F63" i="30"/>
  <c r="F110" i="30"/>
  <c r="F113" i="30"/>
  <c r="F116" i="30"/>
  <c r="F88" i="30"/>
  <c r="D90" i="30"/>
  <c r="F91" i="30"/>
  <c r="D93" i="30"/>
  <c r="F94" i="30"/>
  <c r="D96" i="30"/>
  <c r="F97" i="30"/>
  <c r="F100" i="30"/>
  <c r="F65" i="30"/>
  <c r="I63" i="30"/>
  <c r="I65" i="30"/>
  <c r="G105" i="30"/>
  <c r="F107" i="30"/>
  <c r="J108" i="30"/>
  <c r="I110" i="30"/>
  <c r="J111" i="30"/>
  <c r="I113" i="30"/>
  <c r="J114" i="30"/>
  <c r="I116" i="30"/>
  <c r="L104" i="30"/>
  <c r="I105" i="30"/>
  <c r="L107" i="30"/>
  <c r="D108" i="30"/>
  <c r="I108" i="30"/>
  <c r="D111" i="30"/>
  <c r="I111" i="30"/>
  <c r="D114" i="30"/>
  <c r="I114" i="30"/>
  <c r="D117" i="30"/>
  <c r="I117" i="30"/>
  <c r="G104" i="30"/>
  <c r="M104" i="30"/>
  <c r="G107" i="30"/>
  <c r="M107" i="30"/>
  <c r="G110" i="30"/>
  <c r="M110" i="30"/>
  <c r="G113" i="30"/>
  <c r="M113" i="30"/>
  <c r="G116" i="30"/>
  <c r="M116" i="30"/>
  <c r="D62" i="30"/>
  <c r="G66" i="30"/>
  <c r="G57" i="30"/>
  <c r="F105" i="30"/>
  <c r="D107" i="30"/>
  <c r="F108" i="30"/>
  <c r="D110" i="30"/>
  <c r="F111" i="30"/>
  <c r="D113" i="30"/>
  <c r="F114" i="30"/>
  <c r="D116" i="30"/>
  <c r="F117" i="30"/>
  <c r="F62" i="30"/>
  <c r="J66" i="30"/>
  <c r="J57" i="30"/>
  <c r="G56" i="30"/>
  <c r="M56" i="30"/>
  <c r="D56" i="30"/>
  <c r="F57" i="30"/>
  <c r="L57" i="30"/>
  <c r="M57" i="30"/>
  <c r="G46" i="30"/>
  <c r="D66" i="30"/>
  <c r="I66" i="30"/>
  <c r="G65" i="30"/>
  <c r="M65" i="30"/>
  <c r="D65" i="30"/>
  <c r="F66" i="30"/>
  <c r="G47" i="30"/>
  <c r="J62" i="30"/>
  <c r="M46" i="30"/>
  <c r="F60" i="30"/>
  <c r="G62" i="30"/>
  <c r="M62" i="30"/>
  <c r="J63" i="30"/>
  <c r="F47" i="30"/>
  <c r="L47" i="30"/>
  <c r="I59" i="30"/>
  <c r="G63" i="30"/>
  <c r="M63" i="30"/>
  <c r="F46" i="30"/>
  <c r="L46" i="30"/>
  <c r="J59" i="30"/>
  <c r="L62" i="30"/>
  <c r="F26" i="30"/>
  <c r="D47" i="30"/>
  <c r="D59" i="30"/>
  <c r="D46" i="30"/>
  <c r="F45" i="30"/>
  <c r="G45" i="30"/>
  <c r="M45" i="30"/>
  <c r="G59" i="30"/>
  <c r="L60" i="30"/>
  <c r="D29" i="30"/>
  <c r="G33" i="30"/>
  <c r="D45" i="30"/>
  <c r="L45" i="30"/>
  <c r="F59" i="30"/>
  <c r="D60" i="30"/>
  <c r="I60" i="30"/>
  <c r="M47" i="30"/>
  <c r="J60" i="30"/>
  <c r="G60" i="30"/>
  <c r="G31" i="30"/>
  <c r="I24" i="30"/>
  <c r="D33" i="30"/>
  <c r="I33" i="30"/>
  <c r="D24" i="30"/>
  <c r="G32" i="30"/>
  <c r="J33" i="30"/>
  <c r="I36" i="30"/>
  <c r="F38" i="30"/>
  <c r="D39" i="30"/>
  <c r="J36" i="30"/>
  <c r="I38" i="30"/>
  <c r="G30" i="30"/>
  <c r="L32" i="30"/>
  <c r="D36" i="30"/>
  <c r="J38" i="30"/>
  <c r="G23" i="30"/>
  <c r="F32" i="30"/>
  <c r="G36" i="30"/>
  <c r="D37" i="30"/>
  <c r="D38" i="30"/>
  <c r="J40" i="30"/>
  <c r="F37" i="30"/>
  <c r="F39" i="30"/>
  <c r="L39" i="30"/>
  <c r="D32" i="30"/>
  <c r="M32" i="30"/>
  <c r="G37" i="30"/>
  <c r="M37" i="30"/>
  <c r="G39" i="30"/>
  <c r="M39" i="30"/>
  <c r="J24" i="30"/>
  <c r="D31" i="30"/>
  <c r="F30" i="30"/>
  <c r="I31" i="30"/>
  <c r="J31" i="30"/>
  <c r="F36" i="30"/>
  <c r="I37" i="30"/>
  <c r="G19" i="30"/>
  <c r="J23" i="30"/>
  <c r="G24" i="30"/>
  <c r="D30" i="30"/>
  <c r="F33" i="30"/>
  <c r="I30" i="30"/>
  <c r="J30" i="30"/>
  <c r="J37" i="30"/>
  <c r="G38" i="30"/>
  <c r="J39" i="30"/>
  <c r="G40" i="30"/>
  <c r="F31" i="30"/>
  <c r="M26" i="30"/>
  <c r="I26" i="30"/>
  <c r="D22" i="30"/>
  <c r="F24" i="30"/>
  <c r="L23" i="30"/>
  <c r="G26" i="30"/>
  <c r="L17" i="30"/>
  <c r="D26" i="30"/>
  <c r="F25" i="30"/>
  <c r="F23" i="30"/>
  <c r="D23" i="30"/>
  <c r="L25" i="30"/>
  <c r="I25" i="30"/>
  <c r="D25" i="30"/>
  <c r="G25" i="30"/>
  <c r="J25" i="30"/>
  <c r="G10" i="30"/>
  <c r="G16" i="30"/>
  <c r="J17" i="30"/>
  <c r="J16" i="30"/>
  <c r="I19" i="30"/>
  <c r="F17" i="30"/>
  <c r="I16" i="30"/>
  <c r="F18" i="30"/>
  <c r="G18" i="30"/>
  <c r="G17" i="30"/>
  <c r="D19" i="30"/>
  <c r="F19" i="30"/>
  <c r="J18" i="30"/>
  <c r="L18" i="30"/>
  <c r="M19" i="30"/>
  <c r="D18" i="30"/>
  <c r="D17" i="30"/>
  <c r="D16" i="30"/>
  <c r="F16" i="30"/>
  <c r="I9" i="30"/>
  <c r="D9" i="30"/>
  <c r="F9" i="30"/>
  <c r="D10" i="30"/>
  <c r="I10" i="30"/>
  <c r="M10" i="30"/>
  <c r="F12" i="30"/>
  <c r="F11" i="30"/>
  <c r="G11" i="30"/>
  <c r="F10" i="30"/>
  <c r="J9" i="30"/>
  <c r="D11" i="30"/>
  <c r="G9" i="30"/>
  <c r="J12" i="30"/>
  <c r="M9" i="30"/>
  <c r="G12" i="30"/>
  <c r="I12" i="30"/>
  <c r="J11" i="30"/>
  <c r="I11" i="30"/>
  <c r="E17" i="52"/>
  <c r="I40" i="27"/>
  <c r="D151" i="27"/>
  <c r="C21" i="52" s="1"/>
  <c r="G17" i="52"/>
  <c r="G18" i="52"/>
  <c r="E18" i="52"/>
  <c r="E32" i="73"/>
  <c r="E30" i="73"/>
  <c r="G30" i="73" s="1"/>
  <c r="I30" i="73" s="1"/>
  <c r="K20" i="73"/>
  <c r="K26" i="73"/>
  <c r="C26" i="73"/>
  <c r="C22" i="73"/>
  <c r="C20" i="73"/>
  <c r="K18" i="73"/>
  <c r="C18" i="73"/>
  <c r="K16" i="73"/>
  <c r="C16" i="73"/>
  <c r="J153" i="27"/>
  <c r="J154" i="27"/>
  <c r="J155" i="27"/>
  <c r="J156" i="27"/>
  <c r="I153" i="27"/>
  <c r="I154" i="27"/>
  <c r="I155" i="27"/>
  <c r="I156" i="27"/>
  <c r="G153" i="27"/>
  <c r="G154" i="27"/>
  <c r="G155" i="27"/>
  <c r="G156" i="27"/>
  <c r="F153" i="27"/>
  <c r="F154" i="27"/>
  <c r="F155" i="27"/>
  <c r="F156" i="27"/>
  <c r="D153" i="27"/>
  <c r="D154" i="27"/>
  <c r="D155" i="27"/>
  <c r="D156" i="27"/>
  <c r="O148" i="84" l="1"/>
  <c r="U32" i="84"/>
  <c r="U37" i="84" s="1"/>
  <c r="AA93" i="84"/>
  <c r="AA101" i="84" s="1"/>
  <c r="V8" i="84"/>
  <c r="V162" i="84"/>
  <c r="P45" i="84"/>
  <c r="G117" i="84"/>
  <c r="V114" i="84"/>
  <c r="AA147" i="84"/>
  <c r="AA144" i="84"/>
  <c r="AA155" i="84" s="1"/>
  <c r="U64" i="84"/>
  <c r="AA158" i="84"/>
  <c r="AA127" i="84"/>
  <c r="AA118" i="84"/>
  <c r="AA70" i="84"/>
  <c r="AA83" i="84" s="1"/>
  <c r="AA61" i="84"/>
  <c r="AB42" i="84"/>
  <c r="AB25" i="84"/>
  <c r="AA44" i="84"/>
  <c r="AA47" i="84" s="1"/>
  <c r="AA87" i="84"/>
  <c r="AB8" i="84"/>
  <c r="AB60" i="84"/>
  <c r="U11" i="84"/>
  <c r="V46" i="84"/>
  <c r="AB75" i="84"/>
  <c r="AB108" i="84"/>
  <c r="AA154" i="84"/>
  <c r="AA36" i="84"/>
  <c r="AB132" i="84"/>
  <c r="O99" i="84"/>
  <c r="AA111" i="84"/>
  <c r="G150" i="84"/>
  <c r="U135" i="84"/>
  <c r="AB162" i="84"/>
  <c r="Y19" i="84"/>
  <c r="X19" i="84"/>
  <c r="AA19" i="84"/>
  <c r="AA20" i="84" s="1"/>
  <c r="Y150" i="84"/>
  <c r="X150" i="84"/>
  <c r="Y117" i="84"/>
  <c r="X117" i="84"/>
  <c r="X81" i="84"/>
  <c r="Y81" i="84"/>
  <c r="Y15" i="84"/>
  <c r="X15" i="84"/>
  <c r="X145" i="84"/>
  <c r="Y145" i="84"/>
  <c r="X133" i="84"/>
  <c r="Y133" i="84"/>
  <c r="Y88" i="84"/>
  <c r="X88" i="84"/>
  <c r="Y76" i="84"/>
  <c r="X76" i="84"/>
  <c r="X58" i="84"/>
  <c r="Y58" i="84"/>
  <c r="X29" i="84"/>
  <c r="X30" i="84" s="1"/>
  <c r="Y29" i="84"/>
  <c r="X160" i="84"/>
  <c r="Y160" i="84"/>
  <c r="X135" i="84"/>
  <c r="Y135" i="84"/>
  <c r="X90" i="84"/>
  <c r="Y90" i="84"/>
  <c r="X69" i="84"/>
  <c r="Y69" i="84"/>
  <c r="Y26" i="84"/>
  <c r="X26" i="84"/>
  <c r="X161" i="84"/>
  <c r="Y161" i="84"/>
  <c r="X136" i="84"/>
  <c r="Y136" i="84"/>
  <c r="X97" i="84"/>
  <c r="Y97" i="84"/>
  <c r="Y63" i="84"/>
  <c r="X63" i="84"/>
  <c r="Y45" i="84"/>
  <c r="X45" i="84"/>
  <c r="Y34" i="84"/>
  <c r="X34" i="84"/>
  <c r="O118" i="84"/>
  <c r="Y162" i="84"/>
  <c r="X162" i="84"/>
  <c r="Y132" i="84"/>
  <c r="X132" i="84"/>
  <c r="Y99" i="84"/>
  <c r="X99" i="84"/>
  <c r="Y24" i="84"/>
  <c r="X24" i="84"/>
  <c r="Y159" i="84"/>
  <c r="X159" i="84"/>
  <c r="X141" i="84"/>
  <c r="Y141" i="84"/>
  <c r="Y112" i="84"/>
  <c r="X112" i="84"/>
  <c r="X100" i="84"/>
  <c r="Y100" i="84"/>
  <c r="X64" i="84"/>
  <c r="Y64" i="84"/>
  <c r="Y43" i="84"/>
  <c r="X43" i="84"/>
  <c r="Y35" i="84"/>
  <c r="X35" i="84"/>
  <c r="X17" i="84"/>
  <c r="Y17" i="84"/>
  <c r="X153" i="84"/>
  <c r="Y153" i="84"/>
  <c r="X114" i="84"/>
  <c r="Y114" i="84"/>
  <c r="Y72" i="84"/>
  <c r="X72" i="84"/>
  <c r="X9" i="84"/>
  <c r="Y9" i="84"/>
  <c r="Y148" i="84"/>
  <c r="X148" i="84"/>
  <c r="X124" i="84"/>
  <c r="Y124" i="84"/>
  <c r="Y115" i="84"/>
  <c r="X115" i="84"/>
  <c r="Y73" i="84"/>
  <c r="X73" i="84"/>
  <c r="Y57" i="84"/>
  <c r="X57" i="84"/>
  <c r="X23" i="84"/>
  <c r="Y23" i="84"/>
  <c r="U133" i="84"/>
  <c r="U16" i="84"/>
  <c r="V130" i="84"/>
  <c r="U132" i="84"/>
  <c r="V26" i="84"/>
  <c r="V142" i="84"/>
  <c r="Y144" i="84"/>
  <c r="X144" i="84"/>
  <c r="Y126" i="84"/>
  <c r="X126" i="84"/>
  <c r="X111" i="84"/>
  <c r="Y111" i="84"/>
  <c r="Y93" i="84"/>
  <c r="X93" i="84"/>
  <c r="X75" i="84"/>
  <c r="Y75" i="84"/>
  <c r="X46" i="84"/>
  <c r="Y46" i="84"/>
  <c r="Y16" i="84"/>
  <c r="X16" i="84"/>
  <c r="Y11" i="84"/>
  <c r="X11" i="84"/>
  <c r="Y158" i="84"/>
  <c r="X158" i="84"/>
  <c r="Y151" i="84"/>
  <c r="X151" i="84"/>
  <c r="Y127" i="84"/>
  <c r="X127" i="84"/>
  <c r="Y106" i="84"/>
  <c r="X106" i="84"/>
  <c r="Y118" i="84"/>
  <c r="X118" i="84"/>
  <c r="Y94" i="84"/>
  <c r="X94" i="84"/>
  <c r="Y70" i="84"/>
  <c r="X70" i="84"/>
  <c r="Y82" i="84"/>
  <c r="X82" i="84"/>
  <c r="Y61" i="84"/>
  <c r="X61" i="84"/>
  <c r="X55" i="84"/>
  <c r="Y55" i="84"/>
  <c r="X42" i="84"/>
  <c r="Y42" i="84"/>
  <c r="X33" i="84"/>
  <c r="Y33" i="84"/>
  <c r="X25" i="84"/>
  <c r="Y25" i="84"/>
  <c r="Y12" i="84"/>
  <c r="X12" i="84"/>
  <c r="X147" i="84"/>
  <c r="Y147" i="84"/>
  <c r="Y129" i="84"/>
  <c r="X129" i="84"/>
  <c r="X108" i="84"/>
  <c r="Y108" i="84"/>
  <c r="Y105" i="84"/>
  <c r="X105" i="84"/>
  <c r="Y96" i="84"/>
  <c r="X96" i="84"/>
  <c r="X78" i="84"/>
  <c r="Y78" i="84"/>
  <c r="Y44" i="84"/>
  <c r="X44" i="84"/>
  <c r="Y18" i="84"/>
  <c r="X18" i="84"/>
  <c r="X8" i="84"/>
  <c r="Y8" i="84"/>
  <c r="Y142" i="84"/>
  <c r="X142" i="84"/>
  <c r="Y154" i="84"/>
  <c r="X154" i="84"/>
  <c r="X130" i="84"/>
  <c r="Y130" i="84"/>
  <c r="Y109" i="84"/>
  <c r="X109" i="84"/>
  <c r="X91" i="84"/>
  <c r="Y91" i="84"/>
  <c r="Y87" i="84"/>
  <c r="X87" i="84"/>
  <c r="X79" i="84"/>
  <c r="Y79" i="84"/>
  <c r="Y60" i="84"/>
  <c r="X60" i="84"/>
  <c r="Y54" i="84"/>
  <c r="X54" i="84"/>
  <c r="Y36" i="84"/>
  <c r="X36" i="84"/>
  <c r="X32" i="84"/>
  <c r="Y32" i="84"/>
  <c r="Y22" i="84"/>
  <c r="X22" i="84"/>
  <c r="Y10" i="84"/>
  <c r="X10" i="84"/>
  <c r="AE141" i="84"/>
  <c r="AE151" i="84"/>
  <c r="O151" i="84"/>
  <c r="U145" i="84"/>
  <c r="U35" i="84"/>
  <c r="V99" i="84"/>
  <c r="F26" i="84"/>
  <c r="U127" i="84"/>
  <c r="V70" i="84"/>
  <c r="U25" i="84"/>
  <c r="U27" i="84" s="1"/>
  <c r="U87" i="84"/>
  <c r="V22" i="84"/>
  <c r="V154" i="84"/>
  <c r="V36" i="84"/>
  <c r="U117" i="84"/>
  <c r="G79" i="84"/>
  <c r="AE118" i="84"/>
  <c r="V147" i="84"/>
  <c r="U96" i="84"/>
  <c r="V124" i="84"/>
  <c r="V93" i="84"/>
  <c r="F144" i="84"/>
  <c r="V109" i="84"/>
  <c r="V158" i="84"/>
  <c r="U42" i="84"/>
  <c r="U150" i="84"/>
  <c r="U12" i="84"/>
  <c r="V18" i="84"/>
  <c r="U141" i="84"/>
  <c r="V29" i="84"/>
  <c r="U112" i="84"/>
  <c r="V57" i="84"/>
  <c r="V115" i="84"/>
  <c r="O90" i="84"/>
  <c r="AE11" i="84"/>
  <c r="P109" i="84"/>
  <c r="P161" i="84"/>
  <c r="AE18" i="84"/>
  <c r="AD12" i="84"/>
  <c r="P130" i="84"/>
  <c r="O105" i="84"/>
  <c r="G64" i="84"/>
  <c r="F61" i="84"/>
  <c r="U159" i="84"/>
  <c r="U100" i="84"/>
  <c r="U43" i="84"/>
  <c r="V153" i="84"/>
  <c r="U60" i="84"/>
  <c r="U19" i="84"/>
  <c r="AA163" i="84"/>
  <c r="AA119" i="84"/>
  <c r="AA13" i="84"/>
  <c r="AA37" i="84"/>
  <c r="AA27" i="84"/>
  <c r="O46" i="84"/>
  <c r="AE36" i="84"/>
  <c r="AD63" i="84"/>
  <c r="G46" i="84"/>
  <c r="G24" i="84"/>
  <c r="U88" i="84"/>
  <c r="AD58" i="84"/>
  <c r="U58" i="84"/>
  <c r="V54" i="84"/>
  <c r="U76" i="84"/>
  <c r="U160" i="84"/>
  <c r="AD159" i="84"/>
  <c r="AD108" i="84"/>
  <c r="AE61" i="84"/>
  <c r="P60" i="84"/>
  <c r="AE54" i="84"/>
  <c r="O42" i="84"/>
  <c r="AD43" i="84"/>
  <c r="U106" i="84"/>
  <c r="U111" i="84"/>
  <c r="O111" i="84"/>
  <c r="AD115" i="84"/>
  <c r="P91" i="84"/>
  <c r="B44" i="52"/>
  <c r="V91" i="84"/>
  <c r="U90" i="84"/>
  <c r="U75" i="84"/>
  <c r="U72" i="84"/>
  <c r="V69" i="84"/>
  <c r="AD70" i="84"/>
  <c r="F76" i="84"/>
  <c r="R159" i="84"/>
  <c r="S159" i="84"/>
  <c r="S145" i="84"/>
  <c r="R145" i="84"/>
  <c r="R141" i="84"/>
  <c r="S141" i="84"/>
  <c r="S133" i="84"/>
  <c r="R133" i="84"/>
  <c r="S112" i="84"/>
  <c r="R112" i="84"/>
  <c r="S88" i="84"/>
  <c r="R88" i="84"/>
  <c r="S100" i="84"/>
  <c r="R100" i="84"/>
  <c r="S76" i="84"/>
  <c r="R76" i="84"/>
  <c r="R64" i="84"/>
  <c r="S64" i="84"/>
  <c r="R58" i="84"/>
  <c r="S58" i="84"/>
  <c r="S43" i="84"/>
  <c r="R43" i="84"/>
  <c r="S35" i="84"/>
  <c r="R35" i="84"/>
  <c r="R29" i="84"/>
  <c r="R30" i="84" s="1"/>
  <c r="S29" i="84"/>
  <c r="R16" i="84"/>
  <c r="S16" i="84"/>
  <c r="R11" i="84"/>
  <c r="S11" i="84"/>
  <c r="S162" i="84"/>
  <c r="R162" i="84"/>
  <c r="R46" i="84"/>
  <c r="S46" i="84"/>
  <c r="S19" i="84"/>
  <c r="R19" i="84"/>
  <c r="S160" i="84"/>
  <c r="R160" i="84"/>
  <c r="R153" i="84"/>
  <c r="S153" i="84"/>
  <c r="S135" i="84"/>
  <c r="R135" i="84"/>
  <c r="R114" i="84"/>
  <c r="S114" i="84"/>
  <c r="S90" i="84"/>
  <c r="R90" i="84"/>
  <c r="S72" i="84"/>
  <c r="R72" i="84"/>
  <c r="R69" i="84"/>
  <c r="S69" i="84"/>
  <c r="S26" i="84"/>
  <c r="R26" i="84"/>
  <c r="S12" i="84"/>
  <c r="R12" i="84"/>
  <c r="S142" i="84"/>
  <c r="R142" i="84"/>
  <c r="S154" i="84"/>
  <c r="R154" i="84"/>
  <c r="R130" i="84"/>
  <c r="S130" i="84"/>
  <c r="S109" i="84"/>
  <c r="R109" i="84"/>
  <c r="R91" i="84"/>
  <c r="S91" i="84"/>
  <c r="S87" i="84"/>
  <c r="R87" i="84"/>
  <c r="S79" i="84"/>
  <c r="R79" i="84"/>
  <c r="S60" i="84"/>
  <c r="R60" i="84"/>
  <c r="S54" i="84"/>
  <c r="R54" i="84"/>
  <c r="R36" i="84"/>
  <c r="S36" i="84"/>
  <c r="S32" i="84"/>
  <c r="R32" i="84"/>
  <c r="S22" i="84"/>
  <c r="R22" i="84"/>
  <c r="S8" i="84"/>
  <c r="R8" i="84"/>
  <c r="R150" i="84"/>
  <c r="S150" i="84"/>
  <c r="S132" i="84"/>
  <c r="R132" i="84"/>
  <c r="S117" i="84"/>
  <c r="R117" i="84"/>
  <c r="S99" i="84"/>
  <c r="R99" i="84"/>
  <c r="O88" i="84"/>
  <c r="AD129" i="84"/>
  <c r="O135" i="84"/>
  <c r="AD162" i="84"/>
  <c r="AE79" i="84"/>
  <c r="F72" i="84"/>
  <c r="F22" i="84"/>
  <c r="F126" i="84"/>
  <c r="G15" i="84"/>
  <c r="AE142" i="84"/>
  <c r="AE145" i="84"/>
  <c r="S158" i="84"/>
  <c r="R158" i="84"/>
  <c r="S151" i="84"/>
  <c r="R151" i="84"/>
  <c r="S127" i="84"/>
  <c r="R127" i="84"/>
  <c r="S106" i="84"/>
  <c r="R106" i="84"/>
  <c r="R118" i="84"/>
  <c r="S118" i="84"/>
  <c r="R94" i="84"/>
  <c r="S94" i="84"/>
  <c r="S70" i="84"/>
  <c r="R70" i="84"/>
  <c r="S82" i="84"/>
  <c r="R82" i="84"/>
  <c r="S61" i="84"/>
  <c r="R61" i="84"/>
  <c r="S55" i="84"/>
  <c r="R55" i="84"/>
  <c r="R42" i="84"/>
  <c r="S42" i="84"/>
  <c r="R33" i="84"/>
  <c r="S33" i="84"/>
  <c r="R25" i="84"/>
  <c r="S25" i="84"/>
  <c r="S15" i="84"/>
  <c r="R15" i="84"/>
  <c r="R9" i="84"/>
  <c r="S9" i="84"/>
  <c r="R75" i="84"/>
  <c r="S75" i="84"/>
  <c r="S24" i="84"/>
  <c r="R24" i="84"/>
  <c r="S10" i="84"/>
  <c r="R10" i="84"/>
  <c r="R147" i="84"/>
  <c r="S147" i="84"/>
  <c r="R129" i="84"/>
  <c r="S129" i="84"/>
  <c r="R108" i="84"/>
  <c r="S108" i="84"/>
  <c r="R105" i="84"/>
  <c r="S105" i="84"/>
  <c r="S96" i="84"/>
  <c r="R96" i="84"/>
  <c r="S78" i="84"/>
  <c r="R78" i="84"/>
  <c r="S44" i="84"/>
  <c r="R44" i="84"/>
  <c r="R17" i="84"/>
  <c r="S17" i="84"/>
  <c r="R161" i="84"/>
  <c r="S161" i="84"/>
  <c r="S148" i="84"/>
  <c r="R148" i="84"/>
  <c r="R124" i="84"/>
  <c r="S124" i="84"/>
  <c r="R136" i="84"/>
  <c r="S136" i="84"/>
  <c r="S115" i="84"/>
  <c r="R115" i="84"/>
  <c r="R97" i="84"/>
  <c r="S97" i="84"/>
  <c r="R73" i="84"/>
  <c r="S73" i="84"/>
  <c r="R63" i="84"/>
  <c r="S63" i="84"/>
  <c r="S57" i="84"/>
  <c r="R57" i="84"/>
  <c r="R45" i="84"/>
  <c r="S45" i="84"/>
  <c r="S34" i="84"/>
  <c r="R34" i="84"/>
  <c r="S23" i="84"/>
  <c r="R23" i="84"/>
  <c r="S18" i="84"/>
  <c r="R18" i="84"/>
  <c r="S144" i="84"/>
  <c r="R144" i="84"/>
  <c r="S126" i="84"/>
  <c r="R126" i="84"/>
  <c r="S111" i="84"/>
  <c r="R111" i="84"/>
  <c r="S93" i="84"/>
  <c r="R93" i="84"/>
  <c r="R81" i="84"/>
  <c r="S81" i="84"/>
  <c r="AE160" i="84"/>
  <c r="AD45" i="84"/>
  <c r="P159" i="84"/>
  <c r="P64" i="84"/>
  <c r="F93" i="84"/>
  <c r="P22" i="84"/>
  <c r="P35" i="84"/>
  <c r="G23" i="84"/>
  <c r="P133" i="84"/>
  <c r="AE112" i="84"/>
  <c r="O141" i="84"/>
  <c r="O126" i="84"/>
  <c r="O24" i="84"/>
  <c r="O108" i="84"/>
  <c r="F133" i="84"/>
  <c r="F129" i="84"/>
  <c r="F19" i="84"/>
  <c r="F132" i="84"/>
  <c r="AE154" i="84"/>
  <c r="O150" i="84"/>
  <c r="AD147" i="84"/>
  <c r="AE26" i="84"/>
  <c r="P23" i="84"/>
  <c r="O136" i="84"/>
  <c r="AE136" i="84"/>
  <c r="G135" i="84"/>
  <c r="G29" i="84"/>
  <c r="F9" i="84"/>
  <c r="F13" i="84" s="1"/>
  <c r="F82" i="84"/>
  <c r="G8" i="84"/>
  <c r="F34" i="84"/>
  <c r="J40" i="27"/>
  <c r="G91" i="84"/>
  <c r="P87" i="84"/>
  <c r="F97" i="84"/>
  <c r="AD76" i="84"/>
  <c r="AD73" i="84"/>
  <c r="G75" i="84"/>
  <c r="P79" i="84"/>
  <c r="P76" i="84"/>
  <c r="P96" i="84"/>
  <c r="AD97" i="84"/>
  <c r="AE94" i="84"/>
  <c r="AE90" i="84"/>
  <c r="AD91" i="84"/>
  <c r="AE42" i="84"/>
  <c r="F43" i="84"/>
  <c r="F44" i="84"/>
  <c r="F55" i="84"/>
  <c r="AE55" i="84"/>
  <c r="O73" i="84"/>
  <c r="AD111" i="84"/>
  <c r="P106" i="84"/>
  <c r="P115" i="84"/>
  <c r="AD109" i="84"/>
  <c r="G109" i="84"/>
  <c r="F112" i="84"/>
  <c r="P43" i="84"/>
  <c r="AD44" i="84"/>
  <c r="AE57" i="84"/>
  <c r="P57" i="84"/>
  <c r="O70" i="84"/>
  <c r="P78" i="84"/>
  <c r="O75" i="84"/>
  <c r="P19" i="84"/>
  <c r="O19" i="84"/>
  <c r="O20" i="84" s="1"/>
  <c r="F33" i="84"/>
  <c r="G33" i="84"/>
  <c r="G16" i="84"/>
  <c r="F16" i="84"/>
  <c r="G18" i="84"/>
  <c r="F18" i="84"/>
  <c r="AD9" i="84"/>
  <c r="AE9" i="84"/>
  <c r="AD150" i="84"/>
  <c r="AE150" i="84"/>
  <c r="AD78" i="84"/>
  <c r="AE78" i="84"/>
  <c r="O44" i="84"/>
  <c r="P44" i="84"/>
  <c r="O160" i="84"/>
  <c r="P160" i="84"/>
  <c r="G145" i="84"/>
  <c r="G106" i="84"/>
  <c r="F106" i="84"/>
  <c r="G118" i="84"/>
  <c r="F118" i="84"/>
  <c r="F70" i="84"/>
  <c r="G70" i="84"/>
  <c r="O61" i="84"/>
  <c r="P61" i="84"/>
  <c r="O158" i="84"/>
  <c r="O36" i="84"/>
  <c r="P36" i="84"/>
  <c r="O147" i="84"/>
  <c r="P147" i="84"/>
  <c r="AD127" i="84"/>
  <c r="AE127" i="84"/>
  <c r="AD93" i="84"/>
  <c r="AE93" i="84"/>
  <c r="AE148" i="84"/>
  <c r="AD148" i="84"/>
  <c r="O129" i="84"/>
  <c r="P129" i="84"/>
  <c r="AD17" i="84"/>
  <c r="AE130" i="84"/>
  <c r="P153" i="84"/>
  <c r="AE88" i="84"/>
  <c r="AE100" i="84"/>
  <c r="AE99" i="84"/>
  <c r="AE144" i="84"/>
  <c r="AE114" i="84"/>
  <c r="AE72" i="84"/>
  <c r="AE132" i="84"/>
  <c r="AD132" i="84"/>
  <c r="F87" i="84"/>
  <c r="G87" i="84"/>
  <c r="G73" i="84"/>
  <c r="F73" i="84"/>
  <c r="G63" i="84"/>
  <c r="F63" i="84"/>
  <c r="G57" i="84"/>
  <c r="F57" i="84"/>
  <c r="G161" i="84"/>
  <c r="O81" i="84"/>
  <c r="P81" i="84"/>
  <c r="AD46" i="84"/>
  <c r="AE46" i="84"/>
  <c r="O29" i="84"/>
  <c r="O30" i="84" s="1"/>
  <c r="AE22" i="84"/>
  <c r="O55" i="84"/>
  <c r="AD69" i="84"/>
  <c r="AD75" i="84"/>
  <c r="P97" i="84"/>
  <c r="P93" i="84"/>
  <c r="AE117" i="84"/>
  <c r="AD23" i="84"/>
  <c r="G58" i="84"/>
  <c r="F60" i="84"/>
  <c r="G124" i="84"/>
  <c r="F124" i="84"/>
  <c r="G136" i="84"/>
  <c r="F136" i="84"/>
  <c r="G114" i="84"/>
  <c r="F114" i="84"/>
  <c r="F90" i="84"/>
  <c r="G90" i="84"/>
  <c r="G69" i="84"/>
  <c r="F69" i="84"/>
  <c r="O11" i="84"/>
  <c r="O72" i="84"/>
  <c r="O33" i="84"/>
  <c r="P162" i="84"/>
  <c r="F151" i="84"/>
  <c r="O8" i="84"/>
  <c r="AD64" i="84"/>
  <c r="O127" i="84"/>
  <c r="P142" i="84"/>
  <c r="AD161" i="84"/>
  <c r="AE16" i="84"/>
  <c r="G99" i="84"/>
  <c r="G54" i="84"/>
  <c r="F148" i="84"/>
  <c r="G11" i="84"/>
  <c r="G130" i="84"/>
  <c r="F115" i="84"/>
  <c r="G94" i="84"/>
  <c r="G96" i="84"/>
  <c r="G108" i="84"/>
  <c r="G78" i="84"/>
  <c r="F105" i="84"/>
  <c r="AD153" i="84"/>
  <c r="AD19" i="84"/>
  <c r="AD24" i="84"/>
  <c r="P58" i="84"/>
  <c r="O82" i="84"/>
  <c r="O100" i="84"/>
  <c r="O114" i="84"/>
  <c r="O112" i="84"/>
  <c r="AE87" i="84"/>
  <c r="P132" i="84"/>
  <c r="P117" i="84"/>
  <c r="P145" i="84"/>
  <c r="AD126" i="84"/>
  <c r="AE60" i="84"/>
  <c r="P54" i="84"/>
  <c r="AD158" i="84"/>
  <c r="AD105" i="84"/>
  <c r="O69" i="84"/>
  <c r="AE96" i="84"/>
  <c r="AD81" i="84"/>
  <c r="O32" i="84"/>
  <c r="AD133" i="84"/>
  <c r="G10" i="84"/>
  <c r="G127" i="84"/>
  <c r="F42" i="84"/>
  <c r="F25" i="84"/>
  <c r="G12" i="84"/>
  <c r="G153" i="84"/>
  <c r="G142" i="84"/>
  <c r="AE15" i="84"/>
  <c r="AD35" i="84"/>
  <c r="P12" i="84"/>
  <c r="AD25" i="84"/>
  <c r="AD106" i="84"/>
  <c r="O154" i="84"/>
  <c r="F141" i="84"/>
  <c r="G111" i="84"/>
  <c r="G81" i="84"/>
  <c r="G45" i="84"/>
  <c r="F154" i="84"/>
  <c r="F88" i="84"/>
  <c r="G100" i="84"/>
  <c r="F17" i="84"/>
  <c r="P16" i="84"/>
  <c r="O10" i="84"/>
  <c r="AE10" i="84"/>
  <c r="O9" i="84"/>
  <c r="AD33" i="84"/>
  <c r="P34" i="84"/>
  <c r="G35" i="84"/>
  <c r="P17" i="84"/>
  <c r="AD34" i="84"/>
  <c r="AE32" i="84"/>
  <c r="O25" i="84"/>
  <c r="P18" i="84"/>
  <c r="G36" i="84"/>
  <c r="P15" i="84"/>
  <c r="P26" i="84"/>
  <c r="F21" i="52"/>
  <c r="E38" i="73" s="1"/>
  <c r="J151" i="27"/>
  <c r="D14" i="52"/>
  <c r="G40" i="27"/>
  <c r="G151" i="27"/>
  <c r="D21" i="52"/>
  <c r="L159" i="30"/>
  <c r="I159" i="30"/>
  <c r="I27" i="84"/>
  <c r="F159" i="30"/>
  <c r="I152" i="30"/>
  <c r="F152" i="30"/>
  <c r="D159" i="30"/>
  <c r="I30" i="84"/>
  <c r="I101" i="84"/>
  <c r="I155" i="84"/>
  <c r="I20" i="84"/>
  <c r="I13" i="84"/>
  <c r="I47" i="84"/>
  <c r="I163" i="84"/>
  <c r="I37" i="84"/>
  <c r="I119" i="84"/>
  <c r="I83" i="84"/>
  <c r="F30" i="84"/>
  <c r="L163" i="84"/>
  <c r="L47" i="84"/>
  <c r="L27" i="84"/>
  <c r="L155" i="84"/>
  <c r="L119" i="84"/>
  <c r="L101" i="84"/>
  <c r="L83" i="84"/>
  <c r="L37" i="84"/>
  <c r="L13" i="84"/>
  <c r="L30" i="84"/>
  <c r="L20" i="84"/>
  <c r="D163" i="84"/>
  <c r="D155" i="84"/>
  <c r="D119" i="84"/>
  <c r="D101" i="84"/>
  <c r="D83" i="84"/>
  <c r="D47" i="84"/>
  <c r="AD30" i="84"/>
  <c r="D13" i="84"/>
  <c r="D27" i="84"/>
  <c r="D37" i="84"/>
  <c r="D30" i="84"/>
  <c r="V30" i="84" s="1"/>
  <c r="D20" i="84"/>
  <c r="L152" i="30"/>
  <c r="D152" i="30"/>
  <c r="L41" i="30"/>
  <c r="F14" i="52"/>
  <c r="E24" i="73" s="1"/>
  <c r="I101" i="30"/>
  <c r="F84" i="30"/>
  <c r="I118" i="30"/>
  <c r="D118" i="30"/>
  <c r="F118" i="30"/>
  <c r="I84" i="30"/>
  <c r="L118" i="30"/>
  <c r="D101" i="30"/>
  <c r="L101" i="30"/>
  <c r="F101" i="30"/>
  <c r="D84" i="30"/>
  <c r="D41" i="30"/>
  <c r="D34" i="30"/>
  <c r="F41" i="30"/>
  <c r="I41" i="30"/>
  <c r="B43" i="52"/>
  <c r="I157" i="27"/>
  <c r="I158" i="27" s="1"/>
  <c r="F157" i="27"/>
  <c r="F158" i="27" s="1"/>
  <c r="D157" i="27"/>
  <c r="D158" i="27" s="1"/>
  <c r="J157" i="27"/>
  <c r="G157" i="27"/>
  <c r="J133" i="27"/>
  <c r="I133" i="27"/>
  <c r="G133" i="27"/>
  <c r="F133" i="27"/>
  <c r="D133" i="27"/>
  <c r="J132" i="27"/>
  <c r="I132" i="27"/>
  <c r="G132" i="27"/>
  <c r="F132" i="27"/>
  <c r="D132" i="27"/>
  <c r="J130" i="27"/>
  <c r="I130" i="27"/>
  <c r="G130" i="27"/>
  <c r="F130" i="27"/>
  <c r="D130" i="27"/>
  <c r="J129" i="27"/>
  <c r="I129" i="27"/>
  <c r="G129" i="27"/>
  <c r="F129" i="27"/>
  <c r="D129" i="27"/>
  <c r="J127" i="27"/>
  <c r="I127" i="27"/>
  <c r="G127" i="27"/>
  <c r="F127" i="27"/>
  <c r="D127" i="27"/>
  <c r="J126" i="27"/>
  <c r="I126" i="27"/>
  <c r="G126" i="27"/>
  <c r="F126" i="27"/>
  <c r="D126" i="27"/>
  <c r="J124" i="27"/>
  <c r="I124" i="27"/>
  <c r="G124" i="27"/>
  <c r="F124" i="27"/>
  <c r="D124" i="27"/>
  <c r="J123" i="27"/>
  <c r="I123" i="27"/>
  <c r="G123" i="27"/>
  <c r="F123" i="27"/>
  <c r="D123" i="27"/>
  <c r="J121" i="27"/>
  <c r="I121" i="27"/>
  <c r="G121" i="27"/>
  <c r="F121" i="27"/>
  <c r="D121" i="27"/>
  <c r="J120" i="27"/>
  <c r="I120" i="27"/>
  <c r="G120" i="27"/>
  <c r="F120" i="27"/>
  <c r="D120" i="27"/>
  <c r="J116" i="27"/>
  <c r="G116" i="27"/>
  <c r="J115" i="27"/>
  <c r="G115" i="27"/>
  <c r="J113" i="27"/>
  <c r="I113" i="27"/>
  <c r="G113" i="27"/>
  <c r="F113" i="27"/>
  <c r="D113" i="27"/>
  <c r="J112" i="27"/>
  <c r="I112" i="27"/>
  <c r="G112" i="27"/>
  <c r="F112" i="27"/>
  <c r="D112" i="27"/>
  <c r="J110" i="27"/>
  <c r="I110" i="27"/>
  <c r="G110" i="27"/>
  <c r="F110" i="27"/>
  <c r="D110" i="27"/>
  <c r="J109" i="27"/>
  <c r="I109" i="27"/>
  <c r="G109" i="27"/>
  <c r="F109" i="27"/>
  <c r="D109" i="27"/>
  <c r="J107" i="27"/>
  <c r="I107" i="27"/>
  <c r="G107" i="27"/>
  <c r="F107" i="27"/>
  <c r="D107" i="27"/>
  <c r="J106" i="27"/>
  <c r="I106" i="27"/>
  <c r="G106" i="27"/>
  <c r="F106" i="27"/>
  <c r="D106" i="27"/>
  <c r="J104" i="27"/>
  <c r="I104" i="27"/>
  <c r="G104" i="27"/>
  <c r="F104" i="27"/>
  <c r="D104" i="27"/>
  <c r="J103" i="27"/>
  <c r="I103" i="27"/>
  <c r="G103" i="27"/>
  <c r="F103" i="27"/>
  <c r="D103" i="27"/>
  <c r="A63" i="27"/>
  <c r="J65" i="27"/>
  <c r="I65" i="27"/>
  <c r="G65" i="27"/>
  <c r="F65" i="27"/>
  <c r="D65" i="27"/>
  <c r="I64" i="27"/>
  <c r="G64" i="27"/>
  <c r="F64" i="27"/>
  <c r="A60" i="27"/>
  <c r="B45" i="34" s="1"/>
  <c r="J62" i="27"/>
  <c r="I62" i="27"/>
  <c r="G62" i="27"/>
  <c r="F62" i="27"/>
  <c r="D62" i="27"/>
  <c r="J61" i="27"/>
  <c r="I61" i="27"/>
  <c r="G61" i="27"/>
  <c r="F61" i="27"/>
  <c r="D61" i="27"/>
  <c r="A57" i="27"/>
  <c r="B42" i="34" s="1"/>
  <c r="J59" i="27"/>
  <c r="I59" i="27"/>
  <c r="G59" i="27"/>
  <c r="F59" i="27"/>
  <c r="D59" i="27"/>
  <c r="J58" i="27"/>
  <c r="I58" i="27"/>
  <c r="G58" i="27"/>
  <c r="F58" i="27"/>
  <c r="D58" i="27"/>
  <c r="A54" i="27"/>
  <c r="B39" i="34" s="1"/>
  <c r="A51" i="27"/>
  <c r="B36" i="34" s="1"/>
  <c r="J44" i="27"/>
  <c r="I44" i="27"/>
  <c r="G44" i="27"/>
  <c r="F44" i="27"/>
  <c r="D44" i="27"/>
  <c r="J45" i="27"/>
  <c r="I45" i="27"/>
  <c r="G45" i="27"/>
  <c r="F45" i="27"/>
  <c r="D45" i="27"/>
  <c r="J46" i="27"/>
  <c r="I46" i="27"/>
  <c r="G46" i="27"/>
  <c r="F46" i="27"/>
  <c r="D46" i="27"/>
  <c r="J21" i="27"/>
  <c r="I21" i="27"/>
  <c r="G21" i="27"/>
  <c r="F21" i="27"/>
  <c r="D21" i="27"/>
  <c r="J22" i="27"/>
  <c r="I22" i="27"/>
  <c r="G22" i="27"/>
  <c r="F22" i="27"/>
  <c r="D22" i="27"/>
  <c r="J23" i="27"/>
  <c r="I23" i="27"/>
  <c r="G23" i="27"/>
  <c r="F23" i="27"/>
  <c r="D23" i="27"/>
  <c r="J28" i="27"/>
  <c r="I28" i="27"/>
  <c r="G28" i="27"/>
  <c r="F28" i="27"/>
  <c r="D28" i="27"/>
  <c r="J29" i="27"/>
  <c r="I29" i="27"/>
  <c r="G29" i="27"/>
  <c r="F29" i="27"/>
  <c r="D29" i="27"/>
  <c r="J30" i="27"/>
  <c r="I30" i="27"/>
  <c r="G30" i="27"/>
  <c r="F30" i="27"/>
  <c r="D30" i="27"/>
  <c r="U13" i="84" l="1"/>
  <c r="AD13" i="84"/>
  <c r="X27" i="84"/>
  <c r="Y27" i="84" s="1"/>
  <c r="U20" i="84"/>
  <c r="V20" i="84" s="1"/>
  <c r="X119" i="84"/>
  <c r="F37" i="84"/>
  <c r="X37" i="84"/>
  <c r="Y37" i="84" s="1"/>
  <c r="U155" i="84"/>
  <c r="U47" i="84"/>
  <c r="V47" i="84" s="1"/>
  <c r="X101" i="84"/>
  <c r="X163" i="84"/>
  <c r="Y163" i="84" s="1"/>
  <c r="X83" i="84"/>
  <c r="Y30" i="84"/>
  <c r="AB20" i="84"/>
  <c r="X20" i="84"/>
  <c r="Y20" i="84" s="1"/>
  <c r="X13" i="84"/>
  <c r="X47" i="84"/>
  <c r="X155" i="84"/>
  <c r="AD163" i="84"/>
  <c r="AE163" i="84" s="1"/>
  <c r="U163" i="84"/>
  <c r="AA38" i="84"/>
  <c r="AB13" i="84"/>
  <c r="AB27" i="84"/>
  <c r="AB30" i="84"/>
  <c r="O47" i="84"/>
  <c r="O101" i="84"/>
  <c r="U101" i="84"/>
  <c r="AB47" i="84"/>
  <c r="AB37" i="84"/>
  <c r="AB163" i="84"/>
  <c r="U83" i="84"/>
  <c r="U119" i="84"/>
  <c r="R47" i="84"/>
  <c r="S47" i="84" s="1"/>
  <c r="AD47" i="84"/>
  <c r="AE47" i="84" s="1"/>
  <c r="V37" i="84"/>
  <c r="R37" i="84"/>
  <c r="S37" i="84" s="1"/>
  <c r="F20" i="84"/>
  <c r="O13" i="84"/>
  <c r="P13" i="84" s="1"/>
  <c r="R20" i="84"/>
  <c r="S20" i="84" s="1"/>
  <c r="O27" i="84"/>
  <c r="F27" i="84"/>
  <c r="AD20" i="84"/>
  <c r="AE20" i="84" s="1"/>
  <c r="O163" i="84"/>
  <c r="R119" i="84"/>
  <c r="R27" i="84"/>
  <c r="S27" i="84" s="1"/>
  <c r="R101" i="84"/>
  <c r="R13" i="84"/>
  <c r="F47" i="84"/>
  <c r="G47" i="84" s="1"/>
  <c r="R163" i="84"/>
  <c r="S163" i="84" s="1"/>
  <c r="R83" i="84"/>
  <c r="S30" i="84"/>
  <c r="R155" i="84"/>
  <c r="V163" i="84"/>
  <c r="AD27" i="84"/>
  <c r="AE27" i="84" s="1"/>
  <c r="O37" i="84"/>
  <c r="V27" i="84"/>
  <c r="V13" i="84"/>
  <c r="F155" i="84"/>
  <c r="O119" i="84"/>
  <c r="O155" i="84"/>
  <c r="AD101" i="84"/>
  <c r="F101" i="84"/>
  <c r="F119" i="84"/>
  <c r="AD83" i="84"/>
  <c r="F83" i="84"/>
  <c r="AD155" i="84"/>
  <c r="AD119" i="84"/>
  <c r="O83" i="84"/>
  <c r="AD37" i="84"/>
  <c r="J158" i="27"/>
  <c r="G158" i="27"/>
  <c r="D117" i="27"/>
  <c r="F22" i="52"/>
  <c r="E40" i="73" s="1"/>
  <c r="I134" i="27"/>
  <c r="C22" i="52"/>
  <c r="F134" i="27"/>
  <c r="F117" i="27"/>
  <c r="I117" i="27"/>
  <c r="D22" i="52"/>
  <c r="A62" i="84"/>
  <c r="B48" i="34"/>
  <c r="A43" i="117" s="1"/>
  <c r="A64" i="30"/>
  <c r="A53" i="84"/>
  <c r="A55" i="30"/>
  <c r="A59" i="84"/>
  <c r="A61" i="30"/>
  <c r="A52" i="30"/>
  <c r="A50" i="84"/>
  <c r="A56" i="84"/>
  <c r="A58" i="30"/>
  <c r="G159" i="30"/>
  <c r="M41" i="30"/>
  <c r="J27" i="84"/>
  <c r="J30" i="84"/>
  <c r="I38" i="84"/>
  <c r="J159" i="30"/>
  <c r="M159" i="30"/>
  <c r="J47" i="84"/>
  <c r="J37" i="84"/>
  <c r="L38" i="84"/>
  <c r="AE13" i="84"/>
  <c r="J20" i="84"/>
  <c r="G20" i="84"/>
  <c r="G30" i="84"/>
  <c r="G37" i="84"/>
  <c r="G13" i="84"/>
  <c r="M163" i="84"/>
  <c r="G163" i="84"/>
  <c r="M30" i="84"/>
  <c r="J163" i="84"/>
  <c r="J13" i="84"/>
  <c r="M37" i="84"/>
  <c r="M20" i="84"/>
  <c r="M27" i="84"/>
  <c r="M13" i="84"/>
  <c r="M47" i="84"/>
  <c r="P163" i="84"/>
  <c r="P47" i="84"/>
  <c r="P30" i="84"/>
  <c r="AE30" i="84"/>
  <c r="P20" i="84"/>
  <c r="D38" i="84"/>
  <c r="P37" i="84"/>
  <c r="J41" i="30"/>
  <c r="G41" i="30"/>
  <c r="D134" i="27"/>
  <c r="J15" i="27"/>
  <c r="J16" i="27"/>
  <c r="J17" i="27"/>
  <c r="I15" i="27"/>
  <c r="I16" i="27"/>
  <c r="I17" i="27"/>
  <c r="G15" i="27"/>
  <c r="G16" i="27"/>
  <c r="G17" i="27"/>
  <c r="F15" i="27"/>
  <c r="F16" i="27"/>
  <c r="F17" i="27"/>
  <c r="D15" i="27"/>
  <c r="D16" i="27"/>
  <c r="D17" i="27"/>
  <c r="J8" i="27"/>
  <c r="J9" i="27"/>
  <c r="J10" i="27"/>
  <c r="J11" i="27"/>
  <c r="I8" i="27"/>
  <c r="I9" i="27"/>
  <c r="I10" i="27"/>
  <c r="I11" i="27"/>
  <c r="G8" i="27"/>
  <c r="G9" i="27"/>
  <c r="G10" i="27"/>
  <c r="G11" i="27"/>
  <c r="F8" i="27"/>
  <c r="F9" i="27"/>
  <c r="F10" i="27"/>
  <c r="F11" i="27"/>
  <c r="D8" i="27"/>
  <c r="D9" i="27"/>
  <c r="D10" i="27"/>
  <c r="U38" i="84" l="1"/>
  <c r="Y13" i="84"/>
  <c r="X38" i="84"/>
  <c r="Y47" i="84"/>
  <c r="F38" i="84"/>
  <c r="G38" i="84" s="1"/>
  <c r="G27" i="84"/>
  <c r="O38" i="84"/>
  <c r="AB38" i="84"/>
  <c r="G117" i="27"/>
  <c r="AD38" i="84"/>
  <c r="P27" i="84"/>
  <c r="S13" i="84"/>
  <c r="R38" i="84"/>
  <c r="V38" i="84"/>
  <c r="AE37" i="84"/>
  <c r="G134" i="27"/>
  <c r="J117" i="27"/>
  <c r="J134" i="27"/>
  <c r="J38" i="84"/>
  <c r="M38" i="84"/>
  <c r="Y38" i="84" l="1"/>
  <c r="S38" i="84"/>
  <c r="O14" i="53"/>
  <c r="O14" i="79"/>
  <c r="R13" i="74" l="1"/>
  <c r="R12" i="74"/>
  <c r="U13" i="74"/>
  <c r="U12" i="74"/>
  <c r="T13" i="74"/>
  <c r="T12" i="74"/>
  <c r="Q14" i="74"/>
  <c r="Q13" i="74"/>
  <c r="Q12" i="74"/>
  <c r="U21" i="74"/>
  <c r="T21" i="74"/>
  <c r="R21" i="74"/>
  <c r="Q21" i="74"/>
  <c r="U20" i="74"/>
  <c r="T20" i="74"/>
  <c r="R20" i="74"/>
  <c r="Q20" i="74"/>
  <c r="U19" i="74"/>
  <c r="T19" i="74"/>
  <c r="R19" i="74"/>
  <c r="Q19" i="74"/>
  <c r="U18" i="74"/>
  <c r="T18" i="74"/>
  <c r="R18" i="74"/>
  <c r="Q18" i="74"/>
  <c r="U17" i="74"/>
  <c r="T17" i="74"/>
  <c r="R17" i="74"/>
  <c r="Q17" i="74"/>
  <c r="U16" i="74"/>
  <c r="T16" i="74"/>
  <c r="R16" i="74"/>
  <c r="U15" i="74"/>
  <c r="T15" i="74"/>
  <c r="R15" i="74"/>
  <c r="U14" i="74"/>
  <c r="T14" i="74"/>
  <c r="R14" i="74"/>
  <c r="T12" i="12"/>
  <c r="Q19" i="12"/>
  <c r="Q20" i="12"/>
  <c r="Q21" i="12"/>
  <c r="Q22" i="12"/>
  <c r="U22" i="12"/>
  <c r="T22" i="12"/>
  <c r="R22" i="12"/>
  <c r="U21" i="12"/>
  <c r="T21" i="12"/>
  <c r="R21" i="12"/>
  <c r="U20" i="12"/>
  <c r="T20" i="12"/>
  <c r="R20" i="12"/>
  <c r="U19" i="12"/>
  <c r="T19" i="12"/>
  <c r="R19" i="12"/>
  <c r="U18" i="12"/>
  <c r="T18" i="12"/>
  <c r="R18" i="12"/>
  <c r="Q18" i="12"/>
  <c r="U17" i="12"/>
  <c r="T17" i="12"/>
  <c r="R17" i="12"/>
  <c r="Q17" i="12"/>
  <c r="U16" i="12"/>
  <c r="T16" i="12"/>
  <c r="R16" i="12"/>
  <c r="Q16" i="12"/>
  <c r="U15" i="12"/>
  <c r="T15" i="12"/>
  <c r="R15" i="12"/>
  <c r="Q15" i="12"/>
  <c r="U14" i="12"/>
  <c r="T14" i="12"/>
  <c r="R14" i="12"/>
  <c r="Q14" i="12"/>
  <c r="U13" i="12"/>
  <c r="T13" i="12"/>
  <c r="R13" i="12"/>
  <c r="Q13" i="12"/>
  <c r="U12" i="12"/>
  <c r="R12" i="12"/>
  <c r="T22" i="74" l="1"/>
  <c r="Q22" i="74"/>
  <c r="R22" i="74"/>
  <c r="U22" i="74"/>
  <c r="Q23" i="12"/>
  <c r="T23" i="12"/>
  <c r="U23" i="12"/>
  <c r="R23" i="12"/>
  <c r="A37" i="31"/>
  <c r="B8" i="100"/>
  <c r="V22" i="74" l="1"/>
  <c r="V23" i="12"/>
  <c r="S23" i="12"/>
  <c r="S22" i="74"/>
  <c r="A13" i="18"/>
  <c r="A12" i="18"/>
  <c r="B14" i="86"/>
  <c r="E20" i="118" s="1"/>
  <c r="F20" i="118" s="1"/>
  <c r="B17" i="15"/>
  <c r="B17" i="85"/>
  <c r="B20" i="118" s="1"/>
  <c r="C20" i="118" s="1"/>
  <c r="H24" i="56"/>
  <c r="D10" i="51" l="1"/>
  <c r="D19" i="51"/>
  <c r="D47" i="51"/>
  <c r="D41" i="10" l="1"/>
  <c r="B16" i="31" s="1"/>
  <c r="C16" i="31" l="1"/>
  <c r="D16" i="31" s="1"/>
  <c r="A11" i="18"/>
  <c r="A11" i="101"/>
  <c r="A12" i="101"/>
  <c r="E9" i="101"/>
  <c r="E10" i="101"/>
  <c r="E11" i="101"/>
  <c r="E12" i="101"/>
  <c r="D13" i="101"/>
  <c r="C8" i="101"/>
  <c r="B8" i="101"/>
  <c r="E8" i="101" s="1"/>
  <c r="D13" i="100"/>
  <c r="A12" i="100"/>
  <c r="A11" i="100"/>
  <c r="E12" i="100"/>
  <c r="E11" i="100"/>
  <c r="E10" i="100"/>
  <c r="E9" i="100"/>
  <c r="E8" i="100"/>
  <c r="C8" i="100"/>
  <c r="B8" i="18" l="1"/>
  <c r="B7" i="18"/>
  <c r="B12" i="86"/>
  <c r="B15" i="85" l="1"/>
  <c r="J34" i="110" l="1"/>
  <c r="J33" i="110"/>
  <c r="J32" i="110"/>
  <c r="J31" i="110"/>
  <c r="J30" i="110"/>
  <c r="J29" i="110"/>
  <c r="J28" i="110"/>
  <c r="J27" i="110"/>
  <c r="J26" i="110"/>
  <c r="J25" i="110"/>
  <c r="J24" i="110"/>
  <c r="J23" i="110"/>
  <c r="J19" i="110"/>
  <c r="J18" i="110"/>
  <c r="J17" i="110"/>
  <c r="J16" i="110"/>
  <c r="J15" i="110"/>
  <c r="J14" i="110"/>
  <c r="J13" i="110"/>
  <c r="J12" i="110"/>
  <c r="J11" i="110"/>
  <c r="J10" i="110"/>
  <c r="J9" i="110"/>
  <c r="J8" i="110"/>
  <c r="G34" i="110"/>
  <c r="G33" i="110"/>
  <c r="G32" i="110"/>
  <c r="G31" i="110"/>
  <c r="G30" i="110"/>
  <c r="G29" i="110"/>
  <c r="G28" i="110"/>
  <c r="G27" i="110"/>
  <c r="G26" i="110"/>
  <c r="G25" i="110"/>
  <c r="G24" i="110"/>
  <c r="G23" i="110"/>
  <c r="G19" i="110"/>
  <c r="G18" i="110"/>
  <c r="G17" i="110"/>
  <c r="G16" i="110"/>
  <c r="G15" i="110"/>
  <c r="G14" i="110"/>
  <c r="G13" i="110"/>
  <c r="G12" i="110"/>
  <c r="G11" i="110"/>
  <c r="G10" i="110"/>
  <c r="G9" i="110"/>
  <c r="G8" i="110"/>
  <c r="D34" i="110"/>
  <c r="D33" i="110"/>
  <c r="D32" i="110"/>
  <c r="D31" i="110"/>
  <c r="D30" i="110"/>
  <c r="D29" i="110"/>
  <c r="D28" i="110"/>
  <c r="D27" i="110"/>
  <c r="D26" i="110"/>
  <c r="D25" i="110"/>
  <c r="D24" i="110"/>
  <c r="D23" i="110"/>
  <c r="D19" i="110"/>
  <c r="D18" i="110"/>
  <c r="D17" i="110"/>
  <c r="D16" i="110"/>
  <c r="D15" i="110"/>
  <c r="D14" i="110"/>
  <c r="D13" i="110"/>
  <c r="D12" i="110"/>
  <c r="D11" i="110"/>
  <c r="D10" i="110"/>
  <c r="D9" i="110"/>
  <c r="D8" i="110"/>
  <c r="I35" i="110"/>
  <c r="H35" i="110"/>
  <c r="F35" i="110"/>
  <c r="E35" i="110"/>
  <c r="C35" i="110"/>
  <c r="B35" i="110"/>
  <c r="I20" i="110"/>
  <c r="H20" i="110"/>
  <c r="F20" i="110"/>
  <c r="E20" i="110"/>
  <c r="C20" i="110"/>
  <c r="B20" i="110"/>
  <c r="G35" i="109"/>
  <c r="F35" i="109"/>
  <c r="E35" i="109"/>
  <c r="D35" i="109"/>
  <c r="C35" i="109"/>
  <c r="B35" i="109"/>
  <c r="G20" i="109"/>
  <c r="F20" i="109"/>
  <c r="E20" i="109"/>
  <c r="D20" i="109"/>
  <c r="C20" i="109"/>
  <c r="D35" i="110" l="1"/>
  <c r="J35" i="110"/>
  <c r="G35" i="110"/>
  <c r="J20" i="110"/>
  <c r="G20" i="110"/>
  <c r="D20" i="110"/>
  <c r="C13" i="101" l="1"/>
  <c r="A10" i="101"/>
  <c r="A9" i="101"/>
  <c r="B13" i="101"/>
  <c r="E13" i="101" s="1"/>
  <c r="A8" i="101"/>
  <c r="C13" i="100"/>
  <c r="A10" i="100"/>
  <c r="A9" i="100"/>
  <c r="B13" i="100"/>
  <c r="E13" i="100" s="1"/>
  <c r="A8" i="100"/>
  <c r="D24" i="32" l="1"/>
  <c r="D22" i="32"/>
  <c r="A42" i="32"/>
  <c r="C6" i="45" l="1"/>
  <c r="E6" i="45" s="1"/>
  <c r="C7" i="45"/>
  <c r="C123" i="84" l="1"/>
  <c r="C52" i="84"/>
  <c r="C51" i="84"/>
  <c r="B123" i="84"/>
  <c r="B52" i="84"/>
  <c r="B51" i="84"/>
  <c r="E125" i="30"/>
  <c r="E122" i="30"/>
  <c r="E121" i="30"/>
  <c r="E124" i="30"/>
  <c r="E54" i="30"/>
  <c r="E53" i="30"/>
  <c r="E49" i="30"/>
  <c r="E48" i="30"/>
  <c r="E15" i="30"/>
  <c r="E8" i="30"/>
  <c r="B49" i="30"/>
  <c r="D49" i="30" s="1"/>
  <c r="C125" i="30"/>
  <c r="C124" i="30"/>
  <c r="C122" i="30"/>
  <c r="C121" i="30"/>
  <c r="C54" i="30"/>
  <c r="C53" i="30"/>
  <c r="C48" i="30"/>
  <c r="C15" i="30"/>
  <c r="C8" i="30"/>
  <c r="B125" i="30"/>
  <c r="B124" i="30"/>
  <c r="B122" i="30"/>
  <c r="B121" i="30"/>
  <c r="B54" i="30"/>
  <c r="B53" i="30"/>
  <c r="B48" i="30"/>
  <c r="B15" i="30"/>
  <c r="B8" i="30"/>
  <c r="Z51" i="84" l="1"/>
  <c r="W51" i="84"/>
  <c r="Z52" i="84"/>
  <c r="W52" i="84"/>
  <c r="Z123" i="84"/>
  <c r="AA123" i="84" s="1"/>
  <c r="AA137" i="84" s="1"/>
  <c r="W123" i="84"/>
  <c r="AA52" i="84"/>
  <c r="AB52" i="84"/>
  <c r="AB51" i="84"/>
  <c r="AA51" i="84"/>
  <c r="T123" i="84"/>
  <c r="U123" i="84" s="1"/>
  <c r="U137" i="84" s="1"/>
  <c r="Q123" i="84"/>
  <c r="T51" i="84"/>
  <c r="U51" i="84" s="1"/>
  <c r="Q51" i="84"/>
  <c r="T52" i="84"/>
  <c r="U52" i="84" s="1"/>
  <c r="Q52" i="84"/>
  <c r="AC51" i="84"/>
  <c r="N51" i="84"/>
  <c r="E51" i="84"/>
  <c r="F51" i="84" s="1"/>
  <c r="AC52" i="84"/>
  <c r="N52" i="84"/>
  <c r="E52" i="84"/>
  <c r="F52" i="84" s="1"/>
  <c r="N123" i="84"/>
  <c r="AC123" i="84"/>
  <c r="E123" i="84"/>
  <c r="F123" i="84" s="1"/>
  <c r="F137" i="84" s="1"/>
  <c r="L123" i="84"/>
  <c r="L137" i="84" s="1"/>
  <c r="I123" i="84"/>
  <c r="I137" i="84" s="1"/>
  <c r="M52" i="84"/>
  <c r="J52" i="84"/>
  <c r="M51" i="84"/>
  <c r="J51" i="84"/>
  <c r="L51" i="84"/>
  <c r="I51" i="84"/>
  <c r="L52" i="84"/>
  <c r="I52" i="84"/>
  <c r="M123" i="84"/>
  <c r="J123" i="84"/>
  <c r="D123" i="84"/>
  <c r="F121" i="30"/>
  <c r="D121" i="30"/>
  <c r="B23" i="12"/>
  <c r="C23" i="12"/>
  <c r="V51" i="84" l="1"/>
  <c r="AB123" i="84"/>
  <c r="AA65" i="84"/>
  <c r="Y123" i="84"/>
  <c r="X123" i="84"/>
  <c r="X137" i="84" s="1"/>
  <c r="Y51" i="84"/>
  <c r="X51" i="84"/>
  <c r="X52" i="84"/>
  <c r="Y52" i="84"/>
  <c r="U65" i="84"/>
  <c r="V123" i="84"/>
  <c r="V52" i="84"/>
  <c r="S51" i="84"/>
  <c r="R51" i="84"/>
  <c r="R52" i="84"/>
  <c r="S52" i="84"/>
  <c r="S123" i="84"/>
  <c r="R123" i="84"/>
  <c r="R137" i="84" s="1"/>
  <c r="F65" i="84"/>
  <c r="G123" i="84"/>
  <c r="G52" i="84"/>
  <c r="G51" i="84"/>
  <c r="L65" i="84"/>
  <c r="I65" i="84"/>
  <c r="E18" i="45"/>
  <c r="E17" i="45"/>
  <c r="E10" i="45"/>
  <c r="E9" i="45"/>
  <c r="E7" i="45"/>
  <c r="L53" i="30"/>
  <c r="M125" i="30"/>
  <c r="L125" i="30"/>
  <c r="M124" i="30"/>
  <c r="L124" i="30"/>
  <c r="M122" i="30"/>
  <c r="L122" i="30"/>
  <c r="M121" i="30"/>
  <c r="L121" i="30"/>
  <c r="M54" i="30"/>
  <c r="L54" i="30"/>
  <c r="M53" i="30"/>
  <c r="J125" i="30"/>
  <c r="I125" i="30"/>
  <c r="G125" i="30"/>
  <c r="F125" i="30"/>
  <c r="D125" i="30"/>
  <c r="J124" i="30"/>
  <c r="I124" i="30"/>
  <c r="G124" i="30"/>
  <c r="F124" i="30"/>
  <c r="D124" i="30"/>
  <c r="J122" i="30"/>
  <c r="I122" i="30"/>
  <c r="G122" i="30"/>
  <c r="F122" i="30"/>
  <c r="D122" i="30"/>
  <c r="J121" i="30"/>
  <c r="I121" i="30"/>
  <c r="G121" i="30"/>
  <c r="J54" i="30"/>
  <c r="I54" i="30"/>
  <c r="G54" i="30"/>
  <c r="F54" i="30"/>
  <c r="D54" i="30"/>
  <c r="J53" i="30"/>
  <c r="I53" i="30"/>
  <c r="G53" i="30"/>
  <c r="F53" i="30"/>
  <c r="D53" i="30"/>
  <c r="J56" i="27"/>
  <c r="I56" i="27"/>
  <c r="G56" i="27"/>
  <c r="F56" i="27"/>
  <c r="D56" i="27"/>
  <c r="J55" i="27"/>
  <c r="I55" i="27"/>
  <c r="G55" i="27"/>
  <c r="F55" i="27"/>
  <c r="D55" i="27"/>
  <c r="F9" i="45" l="1"/>
  <c r="X65" i="84"/>
  <c r="R65" i="84"/>
  <c r="F17" i="45"/>
  <c r="F6" i="45"/>
  <c r="D67" i="30"/>
  <c r="D135" i="30"/>
  <c r="F135" i="30"/>
  <c r="I135" i="30"/>
  <c r="L135" i="30"/>
  <c r="F67" i="30"/>
  <c r="L67" i="30"/>
  <c r="I67" i="30"/>
  <c r="C19" i="52"/>
  <c r="F19" i="52"/>
  <c r="A168" i="30"/>
  <c r="M49" i="30"/>
  <c r="L49" i="30"/>
  <c r="M48" i="30"/>
  <c r="L48" i="30"/>
  <c r="M29" i="30"/>
  <c r="L29" i="30"/>
  <c r="L34" i="30" s="1"/>
  <c r="M22" i="30"/>
  <c r="L22" i="30"/>
  <c r="L27" i="30" s="1"/>
  <c r="M15" i="30"/>
  <c r="L15" i="30"/>
  <c r="L20" i="30" s="1"/>
  <c r="M8" i="30"/>
  <c r="L8" i="30"/>
  <c r="L13" i="30" s="1"/>
  <c r="J49" i="30"/>
  <c r="I49" i="30"/>
  <c r="G49" i="30"/>
  <c r="F49" i="30"/>
  <c r="J48" i="30"/>
  <c r="I48" i="30"/>
  <c r="G48" i="30"/>
  <c r="F48" i="30"/>
  <c r="D48" i="30"/>
  <c r="D50" i="30" s="1"/>
  <c r="J29" i="30"/>
  <c r="I29" i="30"/>
  <c r="I34" i="30" s="1"/>
  <c r="G29" i="30"/>
  <c r="F29" i="30"/>
  <c r="F34" i="30" s="1"/>
  <c r="J22" i="30"/>
  <c r="I22" i="30"/>
  <c r="I27" i="30" s="1"/>
  <c r="G22" i="30"/>
  <c r="F22" i="30"/>
  <c r="F27" i="30" s="1"/>
  <c r="J15" i="30"/>
  <c r="I15" i="30"/>
  <c r="I20" i="30" s="1"/>
  <c r="G15" i="30"/>
  <c r="F15" i="30"/>
  <c r="F20" i="30" s="1"/>
  <c r="D15" i="30"/>
  <c r="D20" i="30" s="1"/>
  <c r="D12" i="30"/>
  <c r="J8" i="30"/>
  <c r="I8" i="30"/>
  <c r="G8" i="30"/>
  <c r="F8" i="30"/>
  <c r="F13" i="30" s="1"/>
  <c r="D8" i="30"/>
  <c r="J47" i="27"/>
  <c r="I47" i="27"/>
  <c r="G47" i="27"/>
  <c r="F47" i="27"/>
  <c r="D47" i="27"/>
  <c r="I50" i="30" l="1"/>
  <c r="I160" i="30" s="1"/>
  <c r="E34" i="73"/>
  <c r="D160" i="30"/>
  <c r="L42" i="30"/>
  <c r="F42" i="30"/>
  <c r="F50" i="30"/>
  <c r="F160" i="30" s="1"/>
  <c r="L50" i="30"/>
  <c r="L160" i="30" s="1"/>
  <c r="D13" i="30"/>
  <c r="G19" i="52"/>
  <c r="D27" i="30"/>
  <c r="I13" i="30"/>
  <c r="I42" i="30" s="1"/>
  <c r="D42" i="30" l="1"/>
  <c r="D162" i="30" s="1"/>
  <c r="D163" i="30" s="1"/>
  <c r="G20" i="30"/>
  <c r="M20" i="30"/>
  <c r="M13" i="30"/>
  <c r="G27" i="30"/>
  <c r="M34" i="30"/>
  <c r="J20" i="30"/>
  <c r="L162" i="30"/>
  <c r="L163" i="30" s="1"/>
  <c r="M27" i="30"/>
  <c r="J27" i="30"/>
  <c r="J13" i="30"/>
  <c r="M50" i="30"/>
  <c r="G50" i="30"/>
  <c r="F162" i="30"/>
  <c r="F163" i="30" s="1"/>
  <c r="G13" i="30"/>
  <c r="J160" i="30"/>
  <c r="J50" i="30"/>
  <c r="J34" i="30"/>
  <c r="G34" i="30"/>
  <c r="G160" i="30"/>
  <c r="M160" i="30"/>
  <c r="G42" i="30" l="1"/>
  <c r="M42" i="30"/>
  <c r="J42" i="30"/>
  <c r="L164" i="30"/>
  <c r="M162" i="30" s="1"/>
  <c r="F164" i="30"/>
  <c r="G162" i="30" s="1"/>
  <c r="I162" i="30"/>
  <c r="I163" i="30" s="1"/>
  <c r="I164" i="30" s="1"/>
  <c r="J162" i="30" s="1"/>
  <c r="F11" i="18" l="1"/>
  <c r="E63" i="117"/>
  <c r="E62" i="117"/>
  <c r="D35" i="76"/>
  <c r="D19" i="76"/>
  <c r="J21" i="74"/>
  <c r="J20" i="74"/>
  <c r="J19" i="74"/>
  <c r="J18" i="74"/>
  <c r="J17" i="74"/>
  <c r="J16" i="74"/>
  <c r="J15" i="74"/>
  <c r="J14" i="74"/>
  <c r="J13" i="74"/>
  <c r="J12" i="74"/>
  <c r="G29" i="75"/>
  <c r="G11" i="75"/>
  <c r="J22" i="12"/>
  <c r="J21" i="12"/>
  <c r="J20" i="12"/>
  <c r="J19" i="12"/>
  <c r="J18" i="12"/>
  <c r="J17" i="12"/>
  <c r="J16" i="12"/>
  <c r="J15" i="12"/>
  <c r="J14" i="12"/>
  <c r="J13" i="12"/>
  <c r="J12" i="12"/>
  <c r="O16" i="79" l="1"/>
  <c r="O16" i="53"/>
  <c r="B45" i="117"/>
  <c r="A6" i="33"/>
  <c r="E8" i="86"/>
  <c r="E13" i="118" s="1"/>
  <c r="E14" i="118" s="1"/>
  <c r="E17" i="118" s="1"/>
  <c r="E19" i="118" s="1"/>
  <c r="E22" i="118" s="1"/>
  <c r="E23" i="118" s="1"/>
  <c r="C8" i="86"/>
  <c r="E9" i="118" s="1"/>
  <c r="E10" i="85"/>
  <c r="B13" i="118" s="1"/>
  <c r="B14" i="118" s="1"/>
  <c r="B17" i="118" s="1"/>
  <c r="B19" i="118" s="1"/>
  <c r="B22" i="118" s="1"/>
  <c r="B23" i="118" s="1"/>
  <c r="C10" i="85"/>
  <c r="B9" i="118" l="1"/>
  <c r="B12" i="118" s="1"/>
  <c r="C22" i="45"/>
  <c r="G12" i="59"/>
  <c r="G11" i="59"/>
  <c r="G10" i="59"/>
  <c r="G9" i="59"/>
  <c r="G8" i="59"/>
  <c r="G16" i="53"/>
  <c r="G13" i="53"/>
  <c r="G12" i="53"/>
  <c r="G11" i="53"/>
  <c r="G8" i="53"/>
  <c r="G13" i="79"/>
  <c r="G12" i="79"/>
  <c r="G11" i="79"/>
  <c r="G10" i="79"/>
  <c r="G8" i="79"/>
  <c r="E9" i="53" l="1"/>
  <c r="G9" i="53" l="1"/>
  <c r="F52" i="27"/>
  <c r="C16" i="45" l="1"/>
  <c r="E16" i="45" s="1"/>
  <c r="F16" i="45" s="1"/>
  <c r="C8" i="45"/>
  <c r="E8" i="45" s="1"/>
  <c r="F10" i="86"/>
  <c r="A10" i="86"/>
  <c r="F9" i="86"/>
  <c r="A9" i="86"/>
  <c r="A8" i="86"/>
  <c r="F12" i="85"/>
  <c r="A12" i="85"/>
  <c r="F11" i="85"/>
  <c r="A11" i="85"/>
  <c r="A10" i="85"/>
  <c r="F8" i="45" l="1"/>
  <c r="F7" i="45"/>
  <c r="F8" i="86"/>
  <c r="F10" i="85"/>
  <c r="J32" i="27"/>
  <c r="I32" i="27"/>
  <c r="G32" i="27"/>
  <c r="F32" i="27"/>
  <c r="D32" i="27"/>
  <c r="J25" i="27"/>
  <c r="I25" i="27"/>
  <c r="G25" i="27"/>
  <c r="F25" i="27"/>
  <c r="D25" i="27"/>
  <c r="J18" i="27"/>
  <c r="I18" i="27"/>
  <c r="G18" i="27"/>
  <c r="F18" i="27"/>
  <c r="D18" i="27"/>
  <c r="AE124" i="84"/>
  <c r="AD124" i="84"/>
  <c r="P124" i="84"/>
  <c r="O124" i="84"/>
  <c r="D124" i="84"/>
  <c r="D137" i="84" s="1"/>
  <c r="AE123" i="84"/>
  <c r="AD123" i="84"/>
  <c r="P123" i="84"/>
  <c r="O123" i="84"/>
  <c r="AE52" i="84"/>
  <c r="AD52" i="84"/>
  <c r="P52" i="84"/>
  <c r="O52" i="84"/>
  <c r="D52" i="84"/>
  <c r="P51" i="84"/>
  <c r="O51" i="84"/>
  <c r="AD51" i="84" s="1"/>
  <c r="D51" i="84"/>
  <c r="J48" i="27"/>
  <c r="I48" i="27"/>
  <c r="I49" i="27" s="1"/>
  <c r="G48" i="27"/>
  <c r="F48" i="27"/>
  <c r="F49" i="27" s="1"/>
  <c r="D48" i="27"/>
  <c r="D49" i="27" s="1"/>
  <c r="C15" i="52" s="1"/>
  <c r="P9" i="73"/>
  <c r="G7" i="73"/>
  <c r="C3" i="73"/>
  <c r="A164" i="27"/>
  <c r="A8" i="10"/>
  <c r="F11" i="45" l="1"/>
  <c r="G49" i="27"/>
  <c r="AE51" i="84"/>
  <c r="F15" i="52"/>
  <c r="J49" i="27"/>
  <c r="O137" i="84"/>
  <c r="AD137" i="84"/>
  <c r="D65" i="84"/>
  <c r="O65" i="84"/>
  <c r="AD65" i="84"/>
  <c r="AE38" i="84" l="1"/>
  <c r="P38" i="84"/>
  <c r="G15" i="59"/>
  <c r="G5" i="34" l="1"/>
  <c r="B46" i="117" s="1"/>
  <c r="A22" i="45"/>
  <c r="A14" i="45"/>
  <c r="A6" i="45"/>
  <c r="A26" i="45"/>
  <c r="A25" i="45"/>
  <c r="A24" i="45"/>
  <c r="A23" i="45"/>
  <c r="A18" i="45"/>
  <c r="A17" i="45"/>
  <c r="A16" i="45"/>
  <c r="A15" i="45"/>
  <c r="A10" i="45"/>
  <c r="A9" i="45"/>
  <c r="A8" i="45"/>
  <c r="A7" i="45"/>
  <c r="A12" i="15"/>
  <c r="A11" i="15"/>
  <c r="A10" i="15"/>
  <c r="A7" i="10"/>
  <c r="A6" i="10"/>
  <c r="A5" i="10"/>
  <c r="A4" i="10"/>
  <c r="F28" i="56"/>
  <c r="F27" i="56"/>
  <c r="F23" i="56"/>
  <c r="A16" i="23" l="1"/>
  <c r="D25" i="32"/>
  <c r="N24" i="26"/>
  <c r="C24" i="44"/>
  <c r="C23" i="44"/>
  <c r="C22" i="44"/>
  <c r="E9" i="79"/>
  <c r="E14" i="79" s="1"/>
  <c r="G16" i="79"/>
  <c r="B9" i="79" l="1"/>
  <c r="O13" i="79"/>
  <c r="O17" i="79" s="1"/>
  <c r="F14" i="79"/>
  <c r="F8" i="79"/>
  <c r="F11" i="79"/>
  <c r="F9" i="79"/>
  <c r="F10" i="79"/>
  <c r="F12" i="79"/>
  <c r="F13" i="79"/>
  <c r="E17" i="79"/>
  <c r="B14" i="79" l="1"/>
  <c r="G9" i="79"/>
  <c r="N28" i="26"/>
  <c r="N26" i="26"/>
  <c r="N21" i="26"/>
  <c r="N20" i="26"/>
  <c r="N19" i="26"/>
  <c r="N16" i="26"/>
  <c r="N13" i="26"/>
  <c r="N12" i="26"/>
  <c r="N11" i="26"/>
  <c r="N7" i="26"/>
  <c r="N6" i="26"/>
  <c r="C9" i="79" l="1"/>
  <c r="N13" i="79"/>
  <c r="C12" i="79"/>
  <c r="C8" i="79"/>
  <c r="C13" i="79"/>
  <c r="C11" i="79"/>
  <c r="C10" i="79"/>
  <c r="B17" i="79"/>
  <c r="G17" i="79" s="1"/>
  <c r="C14" i="79"/>
  <c r="G14" i="79"/>
  <c r="N22" i="26"/>
  <c r="N14" i="26"/>
  <c r="N8" i="26"/>
  <c r="E34" i="76"/>
  <c r="D34" i="76"/>
  <c r="C34" i="76"/>
  <c r="E18" i="76"/>
  <c r="D18" i="76"/>
  <c r="C18" i="76"/>
  <c r="F34" i="76" l="1"/>
  <c r="N30" i="26"/>
  <c r="N32" i="26" s="1"/>
  <c r="F11" i="76"/>
  <c r="F19" i="76"/>
  <c r="F10" i="76"/>
  <c r="F17" i="76"/>
  <c r="F16" i="76"/>
  <c r="F9" i="76"/>
  <c r="F8" i="76"/>
  <c r="F13" i="76"/>
  <c r="F15" i="76"/>
  <c r="F14" i="76"/>
  <c r="F12" i="76"/>
  <c r="F31" i="76"/>
  <c r="F30" i="76"/>
  <c r="F29" i="76"/>
  <c r="F28" i="76"/>
  <c r="F25" i="76"/>
  <c r="F33" i="76"/>
  <c r="F35" i="76"/>
  <c r="F27" i="76"/>
  <c r="F32" i="76"/>
  <c r="F24" i="76"/>
  <c r="F26" i="76"/>
  <c r="F18" i="76"/>
  <c r="M13" i="74" l="1"/>
  <c r="M14" i="74"/>
  <c r="M15" i="74"/>
  <c r="M16" i="74"/>
  <c r="M17" i="74"/>
  <c r="M18" i="74"/>
  <c r="M19" i="74"/>
  <c r="M20" i="74"/>
  <c r="M21" i="74"/>
  <c r="M12" i="74"/>
  <c r="M13" i="12" l="1"/>
  <c r="M14" i="12"/>
  <c r="M15" i="12"/>
  <c r="M16" i="12"/>
  <c r="M17" i="12"/>
  <c r="M18" i="12"/>
  <c r="M19" i="12"/>
  <c r="M20" i="12"/>
  <c r="M21" i="12"/>
  <c r="M22" i="12"/>
  <c r="M12" i="12"/>
  <c r="D10" i="15"/>
  <c r="B10" i="15"/>
  <c r="D32" i="12"/>
  <c r="L12" i="12"/>
  <c r="L13" i="12"/>
  <c r="L14" i="12"/>
  <c r="L15" i="12"/>
  <c r="L16" i="12"/>
  <c r="L17" i="12"/>
  <c r="L18" i="12"/>
  <c r="L19" i="12"/>
  <c r="L20" i="12"/>
  <c r="L21" i="12"/>
  <c r="L22" i="12"/>
  <c r="E23" i="12"/>
  <c r="S24" i="12" s="1"/>
  <c r="G23" i="12"/>
  <c r="I23" i="12"/>
  <c r="D23" i="12"/>
  <c r="F23" i="12"/>
  <c r="H23" i="12"/>
  <c r="B22" i="74"/>
  <c r="D22" i="74"/>
  <c r="E35" i="12"/>
  <c r="E39" i="12"/>
  <c r="E30" i="12"/>
  <c r="E31" i="12"/>
  <c r="E32" i="12"/>
  <c r="E33" i="12"/>
  <c r="E34" i="12"/>
  <c r="E36" i="12"/>
  <c r="E37" i="12"/>
  <c r="E38" i="12"/>
  <c r="E29" i="12"/>
  <c r="D35" i="12"/>
  <c r="D36" i="12"/>
  <c r="D37" i="12"/>
  <c r="D38" i="12"/>
  <c r="D39" i="12"/>
  <c r="D34" i="12"/>
  <c r="D30" i="12"/>
  <c r="D31" i="12"/>
  <c r="D33" i="12"/>
  <c r="D29" i="12"/>
  <c r="E31" i="74"/>
  <c r="E32" i="74"/>
  <c r="E33" i="74"/>
  <c r="E34" i="74"/>
  <c r="E35" i="74"/>
  <c r="E36" i="74"/>
  <c r="E37" i="74"/>
  <c r="E38" i="74"/>
  <c r="E39" i="74"/>
  <c r="E40" i="74"/>
  <c r="E30" i="74"/>
  <c r="D30" i="74"/>
  <c r="D40" i="74"/>
  <c r="D39" i="74"/>
  <c r="D31" i="74"/>
  <c r="D38" i="74"/>
  <c r="D37" i="74"/>
  <c r="D32" i="74"/>
  <c r="D33" i="74"/>
  <c r="D34" i="74"/>
  <c r="D35" i="74"/>
  <c r="D36" i="74"/>
  <c r="G22" i="74"/>
  <c r="E22" i="74"/>
  <c r="L13" i="74"/>
  <c r="I22" i="74"/>
  <c r="H22" i="74"/>
  <c r="F22" i="74"/>
  <c r="C22" i="74"/>
  <c r="O21" i="74"/>
  <c r="N21" i="74"/>
  <c r="L21" i="74"/>
  <c r="O20" i="74"/>
  <c r="N20" i="74"/>
  <c r="L20" i="74"/>
  <c r="O19" i="74"/>
  <c r="N19" i="74"/>
  <c r="L19" i="74"/>
  <c r="O18" i="74"/>
  <c r="N18" i="74"/>
  <c r="L18" i="74"/>
  <c r="O17" i="74"/>
  <c r="N17" i="74"/>
  <c r="L17" i="74"/>
  <c r="O16" i="74"/>
  <c r="N16" i="74"/>
  <c r="L16" i="74"/>
  <c r="O15" i="74"/>
  <c r="N15" i="74"/>
  <c r="L15" i="74"/>
  <c r="O14" i="74"/>
  <c r="N14" i="74"/>
  <c r="L14" i="74"/>
  <c r="O13" i="74"/>
  <c r="N13" i="74"/>
  <c r="O12" i="74"/>
  <c r="N12" i="74"/>
  <c r="L12" i="74"/>
  <c r="M22" i="74"/>
  <c r="O13" i="12"/>
  <c r="O14" i="12"/>
  <c r="O15" i="12"/>
  <c r="O16" i="12"/>
  <c r="O17" i="12"/>
  <c r="O18" i="12"/>
  <c r="O19" i="12"/>
  <c r="O20" i="12"/>
  <c r="O21" i="12"/>
  <c r="O22" i="12"/>
  <c r="O12" i="12"/>
  <c r="N13" i="12"/>
  <c r="N14" i="12"/>
  <c r="N15" i="12"/>
  <c r="N16" i="12"/>
  <c r="N17" i="12"/>
  <c r="N18" i="12"/>
  <c r="N19" i="12"/>
  <c r="N20" i="12"/>
  <c r="N21" i="12"/>
  <c r="N22" i="12"/>
  <c r="N12" i="12"/>
  <c r="E25" i="10"/>
  <c r="M9" i="73"/>
  <c r="G9" i="73"/>
  <c r="C5" i="73"/>
  <c r="G46" i="73"/>
  <c r="I46" i="73" s="1"/>
  <c r="G38" i="73"/>
  <c r="I38" i="73" s="1"/>
  <c r="G44" i="73"/>
  <c r="I44" i="73" s="1"/>
  <c r="G40" i="73"/>
  <c r="I40" i="73" s="1"/>
  <c r="G34" i="73"/>
  <c r="I34" i="73" s="1"/>
  <c r="G42" i="73"/>
  <c r="I42" i="73" s="1"/>
  <c r="G24" i="73"/>
  <c r="I24" i="73" s="1"/>
  <c r="G32" i="73"/>
  <c r="I32" i="73" s="1"/>
  <c r="C18" i="44"/>
  <c r="D19" i="44"/>
  <c r="B38" i="44"/>
  <c r="B18" i="44"/>
  <c r="C38" i="44"/>
  <c r="J6" i="5"/>
  <c r="J7" i="5" s="1"/>
  <c r="J11" i="5"/>
  <c r="C4" i="67"/>
  <c r="C4" i="66"/>
  <c r="C4" i="65"/>
  <c r="B4" i="67"/>
  <c r="B4" i="66"/>
  <c r="B4" i="65"/>
  <c r="H37" i="34"/>
  <c r="F11" i="33"/>
  <c r="E11" i="33"/>
  <c r="F10" i="33"/>
  <c r="E10" i="33"/>
  <c r="F9" i="33"/>
  <c r="E9" i="33"/>
  <c r="F8" i="33"/>
  <c r="E8" i="33"/>
  <c r="E7" i="33"/>
  <c r="D35" i="32"/>
  <c r="D31" i="32"/>
  <c r="D30" i="32"/>
  <c r="D28" i="32"/>
  <c r="J53" i="27"/>
  <c r="I53" i="27"/>
  <c r="G53" i="27"/>
  <c r="F53" i="27"/>
  <c r="F66" i="27" s="1"/>
  <c r="D53" i="27"/>
  <c r="J52" i="27"/>
  <c r="I52" i="27"/>
  <c r="G52" i="27"/>
  <c r="D52" i="27"/>
  <c r="J31" i="27"/>
  <c r="I31" i="27"/>
  <c r="I33" i="27" s="1"/>
  <c r="G31" i="27"/>
  <c r="F31" i="27"/>
  <c r="F33" i="27" s="1"/>
  <c r="D31" i="27"/>
  <c r="D33" i="27" s="1"/>
  <c r="J24" i="27"/>
  <c r="I24" i="27"/>
  <c r="I26" i="27" s="1"/>
  <c r="G24" i="27"/>
  <c r="F24" i="27"/>
  <c r="F26" i="27" s="1"/>
  <c r="G26" i="27" s="1"/>
  <c r="D24" i="27"/>
  <c r="D26" i="27" s="1"/>
  <c r="J14" i="27"/>
  <c r="I14" i="27"/>
  <c r="I19" i="27" s="1"/>
  <c r="G14" i="27"/>
  <c r="F14" i="27"/>
  <c r="F19" i="27" s="1"/>
  <c r="D14" i="27"/>
  <c r="D19" i="27" s="1"/>
  <c r="J7" i="27"/>
  <c r="I7" i="27"/>
  <c r="I12" i="27" s="1"/>
  <c r="G7" i="27"/>
  <c r="F7" i="27"/>
  <c r="F12" i="27" s="1"/>
  <c r="D7" i="27"/>
  <c r="D12" i="27" s="1"/>
  <c r="M22" i="26"/>
  <c r="L22" i="26"/>
  <c r="K22" i="26"/>
  <c r="J22" i="26"/>
  <c r="I22" i="26"/>
  <c r="H22" i="26"/>
  <c r="G22" i="26"/>
  <c r="F22" i="26"/>
  <c r="E22" i="26"/>
  <c r="D22" i="26"/>
  <c r="C22" i="26"/>
  <c r="B22" i="26"/>
  <c r="M14" i="26"/>
  <c r="L14" i="26"/>
  <c r="K14" i="26"/>
  <c r="J14" i="26"/>
  <c r="I14" i="26"/>
  <c r="H14" i="26"/>
  <c r="G14" i="26"/>
  <c r="F14" i="26"/>
  <c r="E14" i="26"/>
  <c r="D14" i="26"/>
  <c r="C14" i="26"/>
  <c r="B14" i="26"/>
  <c r="B8" i="26"/>
  <c r="E13" i="59"/>
  <c r="B13" i="59"/>
  <c r="D8" i="86" s="1"/>
  <c r="E11" i="118" s="1"/>
  <c r="E12" i="118" s="1"/>
  <c r="B11" i="18"/>
  <c r="E12" i="15"/>
  <c r="E11" i="15"/>
  <c r="F24" i="10"/>
  <c r="F19" i="10"/>
  <c r="J32" i="5"/>
  <c r="J33" i="5" s="1"/>
  <c r="J35" i="5" s="1"/>
  <c r="J36" i="5" s="1"/>
  <c r="J37" i="5" s="1"/>
  <c r="J38" i="5" s="1"/>
  <c r="J39" i="5" s="1"/>
  <c r="B30" i="26" l="1"/>
  <c r="B32" i="26" s="1"/>
  <c r="C6" i="26" s="1"/>
  <c r="C8" i="26" s="1"/>
  <c r="J12" i="5"/>
  <c r="J13" i="5" s="1"/>
  <c r="J16" i="5" s="1"/>
  <c r="F25" i="74"/>
  <c r="F26" i="74" s="1"/>
  <c r="B25" i="74"/>
  <c r="B26" i="74" s="1"/>
  <c r="F41" i="27"/>
  <c r="J26" i="27"/>
  <c r="G35" i="75" s="1"/>
  <c r="O13" i="59"/>
  <c r="D9" i="86"/>
  <c r="F11" i="118" s="1"/>
  <c r="F12" i="118" s="1"/>
  <c r="N15" i="59"/>
  <c r="C14" i="45"/>
  <c r="E14" i="45" s="1"/>
  <c r="E10" i="15"/>
  <c r="D41" i="27"/>
  <c r="J12" i="27"/>
  <c r="I41" i="27"/>
  <c r="J19" i="27"/>
  <c r="G17" i="75" s="1"/>
  <c r="G19" i="27"/>
  <c r="E17" i="75" s="1"/>
  <c r="G33" i="27"/>
  <c r="E51" i="74" s="1"/>
  <c r="G12" i="27"/>
  <c r="E51" i="12" s="1"/>
  <c r="F159" i="27"/>
  <c r="J33" i="27"/>
  <c r="G51" i="74" s="1"/>
  <c r="I66" i="27"/>
  <c r="V23" i="74"/>
  <c r="F30" i="26"/>
  <c r="G30" i="26"/>
  <c r="H30" i="26"/>
  <c r="I30" i="26"/>
  <c r="G10" i="53"/>
  <c r="B14" i="53"/>
  <c r="G15" i="76" s="1"/>
  <c r="E14" i="53"/>
  <c r="G31" i="76" s="1"/>
  <c r="D66" i="27"/>
  <c r="D18" i="44"/>
  <c r="V24" i="12"/>
  <c r="V28" i="12" s="1"/>
  <c r="B21" i="31"/>
  <c r="N13" i="59"/>
  <c r="S23" i="74"/>
  <c r="G10" i="33"/>
  <c r="C30" i="26"/>
  <c r="K30" i="26"/>
  <c r="D31" i="44"/>
  <c r="D32" i="44"/>
  <c r="D33" i="44"/>
  <c r="D34" i="44"/>
  <c r="D29" i="44"/>
  <c r="D30" i="44"/>
  <c r="D37" i="44"/>
  <c r="D39" i="44"/>
  <c r="D35" i="44"/>
  <c r="D36" i="44"/>
  <c r="D28" i="44"/>
  <c r="B20" i="81"/>
  <c r="B8" i="98"/>
  <c r="D15" i="44"/>
  <c r="D16" i="44"/>
  <c r="D9" i="44"/>
  <c r="D8" i="44"/>
  <c r="D17" i="44"/>
  <c r="D10" i="44"/>
  <c r="D11" i="44"/>
  <c r="D12" i="44"/>
  <c r="D13" i="44"/>
  <c r="D14" i="44"/>
  <c r="G8" i="33"/>
  <c r="D38" i="44"/>
  <c r="D30" i="26"/>
  <c r="L30" i="26"/>
  <c r="E30" i="26"/>
  <c r="M30" i="26"/>
  <c r="C8" i="98"/>
  <c r="B7" i="33" s="1"/>
  <c r="F7" i="33" s="1"/>
  <c r="G7" i="33" s="1"/>
  <c r="J40" i="5"/>
  <c r="J41" i="5" s="1"/>
  <c r="F12" i="59"/>
  <c r="F8" i="59"/>
  <c r="F11" i="59"/>
  <c r="F10" i="59"/>
  <c r="F9" i="59"/>
  <c r="E16" i="59"/>
  <c r="F13" i="59"/>
  <c r="J22" i="74"/>
  <c r="C13" i="59"/>
  <c r="C9" i="59"/>
  <c r="C12" i="59"/>
  <c r="C8" i="59"/>
  <c r="C11" i="59"/>
  <c r="C10" i="59"/>
  <c r="B16" i="59"/>
  <c r="J23" i="12"/>
  <c r="F28" i="15"/>
  <c r="P20" i="73"/>
  <c r="P21" i="73" s="1"/>
  <c r="L22" i="74"/>
  <c r="B24" i="74" s="1"/>
  <c r="E28" i="15"/>
  <c r="E35" i="75"/>
  <c r="C10" i="52"/>
  <c r="C10" i="78"/>
  <c r="D13" i="52"/>
  <c r="D13" i="78"/>
  <c r="C14" i="78"/>
  <c r="D10" i="52"/>
  <c r="E52" i="12" s="1"/>
  <c r="D10" i="78"/>
  <c r="C11" i="52"/>
  <c r="C11" i="78"/>
  <c r="F12" i="52"/>
  <c r="E20" i="73" s="1"/>
  <c r="F12" i="78"/>
  <c r="D14" i="78"/>
  <c r="D15" i="52"/>
  <c r="D11" i="52"/>
  <c r="D11" i="78"/>
  <c r="C12" i="52"/>
  <c r="C12" i="78"/>
  <c r="D12" i="52"/>
  <c r="D12" i="78"/>
  <c r="C13" i="52"/>
  <c r="C13" i="78"/>
  <c r="E24" i="44"/>
  <c r="E23" i="44"/>
  <c r="E22" i="44"/>
  <c r="D33" i="32"/>
  <c r="F24" i="74"/>
  <c r="D24" i="45"/>
  <c r="G9" i="33"/>
  <c r="D26" i="45"/>
  <c r="J30" i="26"/>
  <c r="J15" i="5"/>
  <c r="A7" i="33"/>
  <c r="A8" i="33" s="1"/>
  <c r="A9" i="33" s="1"/>
  <c r="A10" i="33" s="1"/>
  <c r="A11" i="33" s="1"/>
  <c r="F5" i="34"/>
  <c r="G13" i="59"/>
  <c r="D25" i="45"/>
  <c r="D32" i="32"/>
  <c r="D34" i="32"/>
  <c r="F25" i="10"/>
  <c r="F25" i="12"/>
  <c r="F26" i="12" s="1"/>
  <c r="M23" i="12"/>
  <c r="F24" i="12" s="1"/>
  <c r="L23" i="12"/>
  <c r="B24" i="12" s="1"/>
  <c r="B25" i="12"/>
  <c r="B26" i="12" s="1"/>
  <c r="J25" i="74" l="1"/>
  <c r="J26" i="74"/>
  <c r="J26" i="12"/>
  <c r="C32" i="26"/>
  <c r="D6" i="26" s="1"/>
  <c r="J17" i="5"/>
  <c r="J18" i="5"/>
  <c r="J19" i="5" s="1"/>
  <c r="J21" i="5" s="1"/>
  <c r="J22" i="5" s="1"/>
  <c r="J23" i="5" s="1"/>
  <c r="J26" i="5" s="1"/>
  <c r="B17" i="100"/>
  <c r="F27" i="12"/>
  <c r="I159" i="27"/>
  <c r="D35" i="31"/>
  <c r="B6" i="33"/>
  <c r="B170" i="84"/>
  <c r="X170" i="84" s="1"/>
  <c r="X171" i="84" s="1"/>
  <c r="J41" i="27"/>
  <c r="D159" i="27"/>
  <c r="G159" i="27" s="1"/>
  <c r="N16" i="59"/>
  <c r="O15" i="59"/>
  <c r="O16" i="59" s="1"/>
  <c r="C15" i="45"/>
  <c r="E15" i="45" s="1"/>
  <c r="D22" i="45"/>
  <c r="G41" i="27"/>
  <c r="J66" i="27"/>
  <c r="G66" i="27"/>
  <c r="E5" i="34"/>
  <c r="B47" i="117"/>
  <c r="E18" i="44"/>
  <c r="G16" i="76"/>
  <c r="G8" i="76"/>
  <c r="G33" i="76"/>
  <c r="G24" i="76"/>
  <c r="E39" i="44"/>
  <c r="G34" i="76"/>
  <c r="E36" i="44"/>
  <c r="G35" i="76"/>
  <c r="G25" i="76"/>
  <c r="G30" i="76"/>
  <c r="E17" i="44"/>
  <c r="E30" i="44"/>
  <c r="E29" i="44"/>
  <c r="E37" i="44"/>
  <c r="G27" i="76"/>
  <c r="G32" i="76"/>
  <c r="E15" i="44"/>
  <c r="E28" i="44"/>
  <c r="E38" i="44"/>
  <c r="G29" i="76"/>
  <c r="E10" i="44"/>
  <c r="G26" i="76"/>
  <c r="G28" i="76"/>
  <c r="E33" i="44"/>
  <c r="E32" i="44"/>
  <c r="N13" i="53"/>
  <c r="C13" i="53"/>
  <c r="C11" i="53"/>
  <c r="C14" i="53"/>
  <c r="C8" i="53"/>
  <c r="C12" i="53"/>
  <c r="G14" i="53"/>
  <c r="B17" i="53"/>
  <c r="C9" i="53"/>
  <c r="E12" i="44"/>
  <c r="E19" i="44"/>
  <c r="G18" i="76"/>
  <c r="E9" i="44"/>
  <c r="G19" i="76"/>
  <c r="G12" i="76"/>
  <c r="E16" i="44"/>
  <c r="G10" i="76"/>
  <c r="C10" i="53"/>
  <c r="E13" i="44"/>
  <c r="G11" i="76"/>
  <c r="G14" i="76"/>
  <c r="V27" i="74"/>
  <c r="E11" i="44"/>
  <c r="G17" i="76"/>
  <c r="C21" i="31"/>
  <c r="D21" i="31" s="1"/>
  <c r="D28" i="31" s="1"/>
  <c r="G9" i="76"/>
  <c r="D8" i="26"/>
  <c r="D32" i="26" s="1"/>
  <c r="E6" i="26" s="1"/>
  <c r="E8" i="26" s="1"/>
  <c r="E32" i="26" s="1"/>
  <c r="F6" i="26" s="1"/>
  <c r="F8" i="26" s="1"/>
  <c r="F32" i="26" s="1"/>
  <c r="G6" i="26" s="1"/>
  <c r="G8" i="26" s="1"/>
  <c r="G32" i="26" s="1"/>
  <c r="H6" i="26" s="1"/>
  <c r="H8" i="26" s="1"/>
  <c r="H32" i="26" s="1"/>
  <c r="I6" i="26" s="1"/>
  <c r="I8" i="26" s="1"/>
  <c r="I32" i="26" s="1"/>
  <c r="J6" i="26" s="1"/>
  <c r="J8" i="26" s="1"/>
  <c r="J32" i="26" s="1"/>
  <c r="K6" i="26" s="1"/>
  <c r="K8" i="26" s="1"/>
  <c r="K32" i="26" s="1"/>
  <c r="L6" i="26" s="1"/>
  <c r="L8" i="26" s="1"/>
  <c r="L32" i="26" s="1"/>
  <c r="M6" i="26" s="1"/>
  <c r="M8" i="26" s="1"/>
  <c r="M32" i="26" s="1"/>
  <c r="O13" i="53"/>
  <c r="O17" i="53" s="1"/>
  <c r="F11" i="53"/>
  <c r="F8" i="53"/>
  <c r="F9" i="53"/>
  <c r="F12" i="53"/>
  <c r="E17" i="53"/>
  <c r="F13" i="53"/>
  <c r="F14" i="53"/>
  <c r="E31" i="44"/>
  <c r="E34" i="44"/>
  <c r="E35" i="44"/>
  <c r="E8" i="44"/>
  <c r="E14" i="44"/>
  <c r="G13" i="76"/>
  <c r="F10" i="53"/>
  <c r="E14" i="52"/>
  <c r="G14" i="52"/>
  <c r="E21" i="52"/>
  <c r="E22" i="52"/>
  <c r="F161" i="27"/>
  <c r="F10" i="78"/>
  <c r="G10" i="78" s="1"/>
  <c r="G51" i="12"/>
  <c r="F20" i="52"/>
  <c r="E36" i="73" s="1"/>
  <c r="F10" i="52"/>
  <c r="G52" i="12" s="1"/>
  <c r="J42" i="5"/>
  <c r="C16" i="52"/>
  <c r="E11" i="78"/>
  <c r="E18" i="75"/>
  <c r="B24" i="32"/>
  <c r="B28" i="31"/>
  <c r="J24" i="12"/>
  <c r="B17" i="32"/>
  <c r="B35" i="32" s="1"/>
  <c r="J24" i="74"/>
  <c r="G16" i="59"/>
  <c r="E36" i="75"/>
  <c r="E29" i="15"/>
  <c r="E52" i="74"/>
  <c r="G20" i="73"/>
  <c r="I20" i="73" s="1"/>
  <c r="G36" i="75"/>
  <c r="D19" i="32"/>
  <c r="E10" i="52"/>
  <c r="E15" i="52"/>
  <c r="E12" i="52"/>
  <c r="E20" i="86"/>
  <c r="F20" i="86"/>
  <c r="D17" i="32"/>
  <c r="F23" i="85"/>
  <c r="C17" i="32"/>
  <c r="C35" i="32" s="1"/>
  <c r="E23" i="85"/>
  <c r="D16" i="52"/>
  <c r="E13" i="52"/>
  <c r="G12" i="52"/>
  <c r="E11" i="52"/>
  <c r="C19" i="32"/>
  <c r="C15" i="78"/>
  <c r="C16" i="78" s="1"/>
  <c r="G12" i="78"/>
  <c r="F11" i="52"/>
  <c r="F11" i="78"/>
  <c r="G11" i="78" s="1"/>
  <c r="B19" i="32"/>
  <c r="B31" i="32" s="1"/>
  <c r="C20" i="52"/>
  <c r="F13" i="52"/>
  <c r="E22" i="73" s="1"/>
  <c r="F13" i="78"/>
  <c r="G13" i="78" s="1"/>
  <c r="E10" i="78"/>
  <c r="D15" i="78"/>
  <c r="D20" i="52"/>
  <c r="F14" i="78"/>
  <c r="G14" i="78" s="1"/>
  <c r="E12" i="78"/>
  <c r="E14" i="78"/>
  <c r="E13" i="78"/>
  <c r="F16" i="52"/>
  <c r="D36" i="32"/>
  <c r="D37" i="32" s="1"/>
  <c r="D38" i="32" s="1"/>
  <c r="B19" i="85"/>
  <c r="J25" i="12"/>
  <c r="J20" i="5" l="1"/>
  <c r="X173" i="84"/>
  <c r="J43" i="5"/>
  <c r="J44" i="5" s="1"/>
  <c r="J45" i="5" s="1"/>
  <c r="J46" i="5" s="1"/>
  <c r="AA170" i="84"/>
  <c r="AA171" i="84" s="1"/>
  <c r="AA173" i="84" s="1"/>
  <c r="B17" i="101"/>
  <c r="F27" i="74"/>
  <c r="U170" i="84"/>
  <c r="U171" i="84" s="1"/>
  <c r="R170" i="84"/>
  <c r="R171" i="84" s="1"/>
  <c r="O170" i="84"/>
  <c r="O171" i="84" s="1"/>
  <c r="F170" i="84"/>
  <c r="F171" i="84" s="1"/>
  <c r="L170" i="84"/>
  <c r="L171" i="84" s="1"/>
  <c r="D170" i="84"/>
  <c r="D171" i="84" s="1"/>
  <c r="Y171" i="84" s="1"/>
  <c r="I170" i="84"/>
  <c r="I171" i="84" s="1"/>
  <c r="AD170" i="84"/>
  <c r="AD171" i="84" s="1"/>
  <c r="AD173" i="84" s="1"/>
  <c r="B38" i="52"/>
  <c r="D161" i="27"/>
  <c r="C6" i="33" s="1"/>
  <c r="J159" i="27"/>
  <c r="F15" i="45"/>
  <c r="D23" i="45"/>
  <c r="F14" i="45"/>
  <c r="B42" i="78"/>
  <c r="B48" i="52"/>
  <c r="E16" i="73"/>
  <c r="G16" i="73" s="1"/>
  <c r="E18" i="73"/>
  <c r="G18" i="73" s="1"/>
  <c r="I18" i="73" s="1"/>
  <c r="C23" i="52"/>
  <c r="B36" i="52"/>
  <c r="B17" i="108"/>
  <c r="B18" i="108"/>
  <c r="C17" i="108"/>
  <c r="C18" i="108"/>
  <c r="D5" i="34"/>
  <c r="C5" i="34" s="1"/>
  <c r="B48" i="117"/>
  <c r="C28" i="31"/>
  <c r="G17" i="53"/>
  <c r="G10" i="52"/>
  <c r="B34" i="52" s="1"/>
  <c r="F23" i="52"/>
  <c r="F24" i="52" s="1"/>
  <c r="G22" i="52"/>
  <c r="G22" i="73"/>
  <c r="I22" i="73" s="1"/>
  <c r="E26" i="73"/>
  <c r="G26" i="73" s="1"/>
  <c r="I26" i="73" s="1"/>
  <c r="G36" i="73"/>
  <c r="I36" i="73" s="1"/>
  <c r="G21" i="52"/>
  <c r="I161" i="27"/>
  <c r="F21" i="86"/>
  <c r="B33" i="78"/>
  <c r="B35" i="78"/>
  <c r="B32" i="78"/>
  <c r="B36" i="78"/>
  <c r="B34" i="78"/>
  <c r="B30" i="32"/>
  <c r="G18" i="75"/>
  <c r="G52" i="74"/>
  <c r="F24" i="85"/>
  <c r="F29" i="15"/>
  <c r="E21" i="86"/>
  <c r="E16" i="52"/>
  <c r="G20" i="52"/>
  <c r="D20" i="32"/>
  <c r="D39" i="32" s="1"/>
  <c r="G15" i="52"/>
  <c r="B41" i="52" s="1"/>
  <c r="G13" i="52"/>
  <c r="B37" i="52" s="1"/>
  <c r="G11" i="52"/>
  <c r="B35" i="52" s="1"/>
  <c r="G16" i="52"/>
  <c r="E28" i="73"/>
  <c r="G28" i="73" s="1"/>
  <c r="I28" i="73" s="1"/>
  <c r="C30" i="32"/>
  <c r="E20" i="52"/>
  <c r="B20" i="32"/>
  <c r="B28" i="32" s="1"/>
  <c r="E15" i="78"/>
  <c r="D16" i="78"/>
  <c r="F15" i="78"/>
  <c r="G15" i="78" s="1"/>
  <c r="C31" i="32"/>
  <c r="C20" i="32"/>
  <c r="J28" i="5"/>
  <c r="J29" i="5" s="1"/>
  <c r="J30" i="5" s="1"/>
  <c r="J27" i="5"/>
  <c r="X176" i="84" l="1"/>
  <c r="X177" i="84" s="1"/>
  <c r="AB171" i="84"/>
  <c r="D162" i="27"/>
  <c r="AA176" i="84"/>
  <c r="AA177" i="84" s="1"/>
  <c r="G52" i="73"/>
  <c r="G171" i="84"/>
  <c r="F173" i="84"/>
  <c r="J171" i="84"/>
  <c r="I173" i="84"/>
  <c r="P171" i="84"/>
  <c r="O173" i="84"/>
  <c r="AD176" i="84"/>
  <c r="AD177" i="84" s="1"/>
  <c r="AE171" i="84"/>
  <c r="D173" i="84"/>
  <c r="D176" i="84" s="1"/>
  <c r="D177" i="84" s="1"/>
  <c r="S171" i="84"/>
  <c r="R173" i="84"/>
  <c r="M171" i="84"/>
  <c r="L173" i="84"/>
  <c r="V171" i="84"/>
  <c r="U173" i="84"/>
  <c r="B45" i="52"/>
  <c r="F19" i="45"/>
  <c r="B16" i="86" s="1"/>
  <c r="B49" i="52" s="1"/>
  <c r="I162" i="27"/>
  <c r="I163" i="27" s="1"/>
  <c r="J161" i="27" s="1"/>
  <c r="D6" i="33"/>
  <c r="F6" i="33" s="1"/>
  <c r="G6" i="33" s="1"/>
  <c r="D17" i="108"/>
  <c r="E17" i="108"/>
  <c r="H18" i="108"/>
  <c r="I18" i="108"/>
  <c r="E18" i="108"/>
  <c r="D18" i="108"/>
  <c r="C24" i="52"/>
  <c r="F25" i="52" s="1"/>
  <c r="H17" i="108"/>
  <c r="B42" i="52"/>
  <c r="I17" i="108"/>
  <c r="E52" i="73"/>
  <c r="I16" i="73"/>
  <c r="I52" i="73" s="1"/>
  <c r="U20" i="73"/>
  <c r="B34" i="32"/>
  <c r="B33" i="32"/>
  <c r="B32" i="32"/>
  <c r="F16" i="78"/>
  <c r="C33" i="32"/>
  <c r="C34" i="32"/>
  <c r="C28" i="32"/>
  <c r="C32" i="32"/>
  <c r="X178" i="84" l="1"/>
  <c r="Y173" i="84"/>
  <c r="AA178" i="84"/>
  <c r="AB173" i="84"/>
  <c r="AE173" i="84"/>
  <c r="U176" i="84"/>
  <c r="U177" i="84" s="1"/>
  <c r="U178" i="84" s="1"/>
  <c r="V173" i="84"/>
  <c r="I176" i="84"/>
  <c r="I177" i="84" s="1"/>
  <c r="I178" i="84" s="1"/>
  <c r="J173" i="84"/>
  <c r="AD178" i="84"/>
  <c r="AE176" i="84" s="1"/>
  <c r="O176" i="84"/>
  <c r="O177" i="84" s="1"/>
  <c r="O178" i="84" s="1"/>
  <c r="P173" i="84"/>
  <c r="F176" i="84"/>
  <c r="F177" i="84" s="1"/>
  <c r="F178" i="84" s="1"/>
  <c r="G173" i="84"/>
  <c r="R176" i="84"/>
  <c r="R177" i="84" s="1"/>
  <c r="R178" i="84" s="1"/>
  <c r="S173" i="84"/>
  <c r="L176" i="84"/>
  <c r="L177" i="84" s="1"/>
  <c r="L178" i="84" s="1"/>
  <c r="M173" i="84"/>
  <c r="E6" i="33"/>
  <c r="B43" i="78"/>
  <c r="H19" i="108"/>
  <c r="I19" i="108"/>
  <c r="M52" i="73"/>
  <c r="A5" i="102" s="1"/>
  <c r="G23" i="52"/>
  <c r="Z25" i="73"/>
  <c r="Z24" i="73"/>
  <c r="Y25" i="73" s="1"/>
  <c r="Z23" i="73"/>
  <c r="Y24" i="73" s="1"/>
  <c r="Z22" i="73"/>
  <c r="Y23" i="73" s="1"/>
  <c r="Z21" i="73"/>
  <c r="Y22" i="73" s="1"/>
  <c r="Z20" i="73"/>
  <c r="Y21" i="73" s="1"/>
  <c r="Z19" i="73"/>
  <c r="Y20" i="73" s="1"/>
  <c r="B36" i="32"/>
  <c r="B37" i="32" s="1"/>
  <c r="C36" i="32"/>
  <c r="C37" i="32" s="1"/>
  <c r="Y176" i="84" l="1"/>
  <c r="D20" i="20" s="1"/>
  <c r="E20" i="20"/>
  <c r="AB176" i="84"/>
  <c r="D21" i="20" s="1"/>
  <c r="E21" i="20"/>
  <c r="M176" i="84"/>
  <c r="J176" i="84"/>
  <c r="G176" i="84"/>
  <c r="D16" i="20" s="1"/>
  <c r="E16" i="20"/>
  <c r="E18" i="20"/>
  <c r="S176" i="84"/>
  <c r="D18" i="20" s="1"/>
  <c r="P176" i="84"/>
  <c r="D17" i="20" s="1"/>
  <c r="E17" i="20"/>
  <c r="V176" i="84"/>
  <c r="D19" i="20" s="1"/>
  <c r="E19" i="20"/>
  <c r="Y26" i="73"/>
  <c r="V26" i="73" s="1"/>
  <c r="F162" i="27" l="1"/>
  <c r="F163" i="27" s="1"/>
  <c r="D19" i="52"/>
  <c r="G161" i="27" l="1"/>
  <c r="A5" i="23" s="1"/>
  <c r="E19" i="52"/>
  <c r="D23" i="52"/>
  <c r="D24" i="52" s="1"/>
  <c r="D25" i="52" s="1"/>
  <c r="E23" i="52" s="1"/>
  <c r="E24" i="85"/>
  <c r="N16" i="79" l="1"/>
  <c r="N17" i="79" s="1"/>
  <c r="B20" i="31"/>
  <c r="B19" i="31" s="1"/>
  <c r="N16" i="53"/>
  <c r="N17" i="53" s="1"/>
  <c r="E40" i="10"/>
  <c r="E61" i="117"/>
  <c r="B27" i="31" l="1"/>
  <c r="B31" i="31"/>
  <c r="C19" i="78" s="1"/>
  <c r="B22" i="31"/>
  <c r="C19" i="31"/>
  <c r="C20" i="31"/>
  <c r="D20" i="31"/>
  <c r="B23" i="32"/>
  <c r="C23" i="32" s="1"/>
  <c r="C25" i="32" s="1"/>
  <c r="C38" i="32" s="1"/>
  <c r="C39" i="32" s="1"/>
  <c r="B22" i="32"/>
  <c r="B24" i="31" l="1"/>
  <c r="B30" i="31"/>
  <c r="B29" i="31"/>
  <c r="D19" i="31"/>
  <c r="C31" i="31"/>
  <c r="D19" i="78" s="1"/>
  <c r="E19" i="78" s="1"/>
  <c r="C27" i="31"/>
  <c r="C22" i="31"/>
  <c r="C30" i="31" s="1"/>
  <c r="B25" i="32"/>
  <c r="B38" i="32" s="1"/>
  <c r="B39" i="32" s="1"/>
  <c r="C17" i="78"/>
  <c r="B32" i="31" l="1"/>
  <c r="B33" i="31" s="1"/>
  <c r="D27" i="31"/>
  <c r="D31" i="31"/>
  <c r="F19" i="78" s="1"/>
  <c r="G19" i="78" s="1"/>
  <c r="B41" i="78" s="1"/>
  <c r="D22" i="31"/>
  <c r="D24" i="31" s="1"/>
  <c r="D17" i="78"/>
  <c r="E17" i="78" s="1"/>
  <c r="C29" i="31"/>
  <c r="C24" i="31"/>
  <c r="F17" i="78" l="1"/>
  <c r="G17" i="78" s="1"/>
  <c r="D30" i="31"/>
  <c r="D29" i="31"/>
  <c r="C32" i="31"/>
  <c r="C33" i="31" s="1"/>
  <c r="C34" i="31" s="1"/>
  <c r="C35" i="31" s="1"/>
  <c r="C18" i="78"/>
  <c r="C21" i="78" s="1"/>
  <c r="C22" i="78" s="1"/>
  <c r="B34" i="31"/>
  <c r="B35" i="31" s="1"/>
  <c r="D32" i="31" l="1"/>
  <c r="D33" i="31" s="1"/>
  <c r="F18" i="78" s="1"/>
  <c r="D18" i="78"/>
  <c r="D20" i="78" s="1"/>
  <c r="C20" i="78"/>
  <c r="B22" i="108" s="1"/>
  <c r="D34" i="31" l="1"/>
  <c r="E18" i="78"/>
  <c r="D21" i="78"/>
  <c r="B23" i="108"/>
  <c r="H23" i="108" s="1"/>
  <c r="H22" i="108"/>
  <c r="G18" i="78"/>
  <c r="F20" i="78"/>
  <c r="F21" i="78"/>
  <c r="F22" i="78" l="1"/>
  <c r="F23" i="78" s="1"/>
  <c r="G22" i="78" s="1"/>
  <c r="G21" i="78"/>
  <c r="D22" i="78"/>
  <c r="D23" i="78" s="1"/>
  <c r="E22" i="78" s="1"/>
  <c r="E21" i="78"/>
  <c r="H24" i="108"/>
  <c r="C22" i="108"/>
  <c r="C23" i="108"/>
  <c r="I22" i="108"/>
  <c r="E23" i="108" l="1"/>
  <c r="I23" i="108"/>
  <c r="I24" i="108" s="1"/>
  <c r="D23" i="108"/>
  <c r="E22" i="108"/>
  <c r="D22" i="108"/>
</calcChain>
</file>

<file path=xl/sharedStrings.xml><?xml version="1.0" encoding="utf-8"?>
<sst xmlns="http://schemas.openxmlformats.org/spreadsheetml/2006/main" count="2410" uniqueCount="1001">
  <si>
    <t>Carrier</t>
  </si>
  <si>
    <t>Presented By</t>
  </si>
  <si>
    <t>Scope of Services</t>
  </si>
  <si>
    <t>Table of Contents</t>
  </si>
  <si>
    <t>Experience Summary</t>
  </si>
  <si>
    <t>Underwriting Arrangements</t>
  </si>
  <si>
    <t>Pooled Benefits</t>
  </si>
  <si>
    <t>Basic Employee Life</t>
  </si>
  <si>
    <t>Accidental Death &amp; Dismemberment</t>
  </si>
  <si>
    <t>Dependent Life</t>
  </si>
  <si>
    <t>Long Term Disability</t>
  </si>
  <si>
    <t>Experience Rated Benefits</t>
  </si>
  <si>
    <t>Short Term Disability</t>
  </si>
  <si>
    <t>Extended Health Care (EHC)</t>
  </si>
  <si>
    <t>Extended Health Care (EHC) Utilization</t>
  </si>
  <si>
    <t>Stop Loss</t>
  </si>
  <si>
    <t>Dental Care</t>
  </si>
  <si>
    <t>Dental Care Utilization</t>
  </si>
  <si>
    <t>Plan Design Considerations</t>
  </si>
  <si>
    <t>Summary and Recommendations</t>
  </si>
  <si>
    <t>Monthly Experience Breakdown – Pooled Benefits</t>
  </si>
  <si>
    <t>Monthly Experience Breakdown – Experience Rated Benefits</t>
  </si>
  <si>
    <t>Renewal Rates</t>
  </si>
  <si>
    <t>Marketing Rates</t>
  </si>
  <si>
    <t>ASO Projections</t>
  </si>
  <si>
    <t>Retention Projection</t>
  </si>
  <si>
    <t>Renewal History</t>
  </si>
  <si>
    <t>Rate History</t>
  </si>
  <si>
    <t>Amendment History</t>
  </si>
  <si>
    <t>Plan Design</t>
  </si>
  <si>
    <t>Glossary</t>
  </si>
  <si>
    <t>Current</t>
  </si>
  <si>
    <t>Proposed</t>
  </si>
  <si>
    <t>Negotiated</t>
  </si>
  <si>
    <t>Benefit</t>
  </si>
  <si>
    <t>Premium</t>
  </si>
  <si>
    <t>% Change</t>
  </si>
  <si>
    <t>Life</t>
  </si>
  <si>
    <t>AD&amp;D</t>
  </si>
  <si>
    <t>LTD</t>
  </si>
  <si>
    <t>STD</t>
  </si>
  <si>
    <t>Health</t>
  </si>
  <si>
    <t>Drug</t>
  </si>
  <si>
    <t>Vision Care</t>
  </si>
  <si>
    <t>Dental</t>
  </si>
  <si>
    <t>Total Monthly</t>
  </si>
  <si>
    <t>Total Annual</t>
  </si>
  <si>
    <t>Annual Change</t>
  </si>
  <si>
    <t>Expenses</t>
  </si>
  <si>
    <t>Pooling Charge</t>
  </si>
  <si>
    <t>Total ASO</t>
  </si>
  <si>
    <t>Executive Summary</t>
  </si>
  <si>
    <t>Current Monthly Premium</t>
  </si>
  <si>
    <t>Renewal Monthly Premium</t>
  </si>
  <si>
    <t>$ Change</t>
  </si>
  <si>
    <t>Employee</t>
  </si>
  <si>
    <t>Employer</t>
  </si>
  <si>
    <t xml:space="preserve">Pooled Benefits </t>
  </si>
  <si>
    <t>Other Benefits</t>
  </si>
  <si>
    <t>Legislative Changes</t>
  </si>
  <si>
    <t>Paid Premiums</t>
  </si>
  <si>
    <t>Paid Claims</t>
  </si>
  <si>
    <t>Experience</t>
  </si>
  <si>
    <t>Incurred Experience Rated Claims</t>
  </si>
  <si>
    <t>Incurred Loss Ratio</t>
  </si>
  <si>
    <t>Rated Benefit</t>
  </si>
  <si>
    <t>Total</t>
  </si>
  <si>
    <t>EHC Pooling</t>
  </si>
  <si>
    <t>Paid Premium</t>
  </si>
  <si>
    <t>Pooled Claims</t>
  </si>
  <si>
    <t># of Certs</t>
  </si>
  <si>
    <t>LAP / OOC Pooling</t>
  </si>
  <si>
    <t>The renewal rates for these benefits are based upon a combination of the following:</t>
  </si>
  <si>
    <t>Age Band</t>
  </si>
  <si>
    <t>Prior</t>
  </si>
  <si>
    <t>Change</t>
  </si>
  <si>
    <t>Lives</t>
  </si>
  <si>
    <t>Volume</t>
  </si>
  <si>
    <t>%</t>
  </si>
  <si>
    <t>0 - 24</t>
  </si>
  <si>
    <t>25 - 29</t>
  </si>
  <si>
    <t>30 - 34</t>
  </si>
  <si>
    <t>35 - 39</t>
  </si>
  <si>
    <t>40 - 44</t>
  </si>
  <si>
    <t>45 - 49</t>
  </si>
  <si>
    <t>50 - 54</t>
  </si>
  <si>
    <t>55 - 59</t>
  </si>
  <si>
    <t>60 - 64</t>
  </si>
  <si>
    <t>70+</t>
  </si>
  <si>
    <t>Male %</t>
  </si>
  <si>
    <t>Life Claims</t>
  </si>
  <si>
    <t>Name</t>
  </si>
  <si>
    <t>Class / Division</t>
  </si>
  <si>
    <t>Date of Death</t>
  </si>
  <si>
    <t>Amount Paid</t>
  </si>
  <si>
    <t>Requested</t>
  </si>
  <si>
    <t>Annual $</t>
  </si>
  <si>
    <t>Requested 
Adjustment</t>
  </si>
  <si>
    <t>Negotiated 
Adjustment</t>
  </si>
  <si>
    <t>Dependent Life Claims</t>
  </si>
  <si>
    <t>Date of Disability</t>
  </si>
  <si>
    <t>Status</t>
  </si>
  <si>
    <t>Period</t>
  </si>
  <si>
    <t>Loss Ratio</t>
  </si>
  <si>
    <t>Weighting</t>
  </si>
  <si>
    <t>Credibility</t>
  </si>
  <si>
    <t>Own Trend</t>
  </si>
  <si>
    <t>Provided below is a breakdown of your EHC claims over the current and prior experience period.</t>
  </si>
  <si>
    <t>EHC Category</t>
  </si>
  <si>
    <t>$ Claimed</t>
  </si>
  <si>
    <t>Drugs</t>
  </si>
  <si>
    <t>Paramedical Practitioners</t>
  </si>
  <si>
    <t>Medical Services &amp; Supplies</t>
  </si>
  <si>
    <t>Hospital</t>
  </si>
  <si>
    <t>Out-of-Country</t>
  </si>
  <si>
    <t>Average Covered Lives</t>
  </si>
  <si>
    <t>Massage Therapist</t>
  </si>
  <si>
    <t>Chiropractor</t>
  </si>
  <si>
    <t>Physiotherapist</t>
  </si>
  <si>
    <t>Psychologist</t>
  </si>
  <si>
    <t>Acupuncturist</t>
  </si>
  <si>
    <t>Naturopath</t>
  </si>
  <si>
    <t>Pooled In-Canada Claims</t>
  </si>
  <si>
    <t>Pooled OOC Claims</t>
  </si>
  <si>
    <t>Total Pooled Claims</t>
  </si>
  <si>
    <t xml:space="preserve">Dental Care </t>
  </si>
  <si>
    <t>Dental Category</t>
  </si>
  <si>
    <t>Surgical, Restorative</t>
  </si>
  <si>
    <t>Periodontic, Endodontic</t>
  </si>
  <si>
    <t>Diagnostic, Preventive</t>
  </si>
  <si>
    <t>Major Restorative</t>
  </si>
  <si>
    <t>Orthodontics</t>
  </si>
  <si>
    <t>Life Insurance</t>
  </si>
  <si>
    <t>Critical Illness</t>
  </si>
  <si>
    <t>EAP</t>
  </si>
  <si>
    <t>Proposed Change</t>
  </si>
  <si>
    <t>Annual $ Change</t>
  </si>
  <si>
    <t>Addition consideration can also be given to the following:</t>
  </si>
  <si>
    <t>Claims</t>
  </si>
  <si>
    <t>[MM/YY]</t>
  </si>
  <si>
    <t>EHC</t>
  </si>
  <si>
    <t>Details</t>
  </si>
  <si>
    <t>MM/YY</t>
  </si>
  <si>
    <t>TOTAL</t>
  </si>
  <si>
    <t>Opening Balance</t>
  </si>
  <si>
    <t>Deposits</t>
  </si>
  <si>
    <t>Subtotal</t>
  </si>
  <si>
    <t>Stop Loss Credit</t>
  </si>
  <si>
    <t>Total Claims</t>
  </si>
  <si>
    <t>Stop Loss Premium</t>
  </si>
  <si>
    <t>Claims Handling</t>
  </si>
  <si>
    <t>General Admin</t>
  </si>
  <si>
    <t>Profit Charge</t>
  </si>
  <si>
    <t>Total Expenses</t>
  </si>
  <si>
    <t>Commissions</t>
  </si>
  <si>
    <t>Taxes</t>
  </si>
  <si>
    <t>Interest</t>
  </si>
  <si>
    <t>Total Charges</t>
  </si>
  <si>
    <t>Closing Balance</t>
  </si>
  <si>
    <t>NFP Negotiated</t>
  </si>
  <si>
    <t>Rate</t>
  </si>
  <si>
    <t>Sub-total</t>
  </si>
  <si>
    <t>Health Care</t>
  </si>
  <si>
    <t>Single</t>
  </si>
  <si>
    <t>Family</t>
  </si>
  <si>
    <t>Total Health</t>
  </si>
  <si>
    <t>Total Dental</t>
  </si>
  <si>
    <t>Exp. Rated Benefits</t>
  </si>
  <si>
    <t>Total Monthly Premium</t>
  </si>
  <si>
    <t>Total Annual Premium</t>
  </si>
  <si>
    <t xml:space="preserve">Volumes may not reflect the current month. </t>
  </si>
  <si>
    <t>Rates do not include Provincial Sales Tax (if applicable).</t>
  </si>
  <si>
    <t>Proposed - Carrier A</t>
  </si>
  <si>
    <t>Proposed - Carrier B</t>
  </si>
  <si>
    <t>ASO Charges</t>
  </si>
  <si>
    <t>Renewal</t>
  </si>
  <si>
    <t>General Administration (GA)</t>
  </si>
  <si>
    <t>Claims Administration (CA)</t>
  </si>
  <si>
    <t>Profit</t>
  </si>
  <si>
    <t>Commission</t>
  </si>
  <si>
    <t>Premium Tax</t>
  </si>
  <si>
    <t>LAP Pool Charge</t>
  </si>
  <si>
    <t>OOC Pool Charge</t>
  </si>
  <si>
    <t>Pooling Arrangement</t>
  </si>
  <si>
    <t>$10,000 LAP, 1st $ OOC</t>
  </si>
  <si>
    <t>Annual Claims*</t>
  </si>
  <si>
    <t>Large Amount Pooling</t>
  </si>
  <si>
    <t>Net Annual Claims</t>
  </si>
  <si>
    <t>GA</t>
  </si>
  <si>
    <t>CA</t>
  </si>
  <si>
    <t>Total Pool Charge</t>
  </si>
  <si>
    <t>Total Annual Expenses</t>
  </si>
  <si>
    <t>Total ASO Spend</t>
  </si>
  <si>
    <t>Retention Charges</t>
  </si>
  <si>
    <t>Risk</t>
  </si>
  <si>
    <t>Annual Premium</t>
  </si>
  <si>
    <t>Net Annual Premium</t>
  </si>
  <si>
    <t>Change in IBNR</t>
  </si>
  <si>
    <t>Total Retention Spend</t>
  </si>
  <si>
    <t>Surplus / (Deficit)</t>
  </si>
  <si>
    <t>Claims Fluctuation Reserve</t>
  </si>
  <si>
    <t>Refund Deposit Account</t>
  </si>
  <si>
    <t>Renewal Date</t>
  </si>
  <si>
    <t>Average Cost / Employee</t>
  </si>
  <si>
    <t>Amendment Number</t>
  </si>
  <si>
    <t>Policy #</t>
  </si>
  <si>
    <t>Insurer</t>
  </si>
  <si>
    <t>Class</t>
  </si>
  <si>
    <t>Division</t>
  </si>
  <si>
    <t>Effective Date</t>
  </si>
  <si>
    <t>Description</t>
  </si>
  <si>
    <t>Female %</t>
  </si>
  <si>
    <t>About NFP</t>
  </si>
  <si>
    <t>Solutions for Employers</t>
  </si>
  <si>
    <t>Solutions for Individuals</t>
  </si>
  <si>
    <t>Our proprietary decision support tools:</t>
  </si>
  <si>
    <t>To help protect your program from catastrophic claims experience, a level of stop-loss protection is included. Your current Health ‘pooling’ arrangement is as follows:</t>
  </si>
  <si>
    <t>Severe Burns</t>
  </si>
  <si>
    <t>Schedule</t>
  </si>
  <si>
    <t>Maximum</t>
  </si>
  <si>
    <t>Waiting Period:</t>
  </si>
  <si>
    <t xml:space="preserve">          Accident</t>
  </si>
  <si>
    <t xml:space="preserve">          Sickness</t>
  </si>
  <si>
    <t xml:space="preserve">          Hospital</t>
  </si>
  <si>
    <t>Payout Period</t>
  </si>
  <si>
    <t>Non-Evidence Maximum</t>
  </si>
  <si>
    <t>Tax Status</t>
  </si>
  <si>
    <t>Termination</t>
  </si>
  <si>
    <t>Elimination Period</t>
  </si>
  <si>
    <t>Maximum Benefit Period</t>
  </si>
  <si>
    <t>Definition of Disability</t>
  </si>
  <si>
    <t>Partial or Residual Disability</t>
  </si>
  <si>
    <t>All Source Maximum</t>
  </si>
  <si>
    <t>Pre-Existing Condition Clause</t>
  </si>
  <si>
    <t>Recurrent Disability</t>
  </si>
  <si>
    <t>Survivor Benefit</t>
  </si>
  <si>
    <t>HealthCare</t>
  </si>
  <si>
    <t>Coinsurance</t>
  </si>
  <si>
    <t>Deductible</t>
  </si>
  <si>
    <t>Paramedicals</t>
  </si>
  <si>
    <t>Private Duty Nursing</t>
  </si>
  <si>
    <t>Hearing Aids</t>
  </si>
  <si>
    <t>Eye Exams</t>
  </si>
  <si>
    <t>Orthotics</t>
  </si>
  <si>
    <t>Orthopaedic Shoes</t>
  </si>
  <si>
    <t>Plan Maximum</t>
  </si>
  <si>
    <t>Reimbursement Type</t>
  </si>
  <si>
    <t>Drug Definition</t>
  </si>
  <si>
    <t>Fertility Drugs</t>
  </si>
  <si>
    <t>Smoking Cessation  Drugs</t>
  </si>
  <si>
    <t>Vaccines</t>
  </si>
  <si>
    <t xml:space="preserve">Healthcare and Drugs </t>
  </si>
  <si>
    <t>Visioncare</t>
  </si>
  <si>
    <t>Benefit Amount</t>
  </si>
  <si>
    <t>Pay Period</t>
  </si>
  <si>
    <t>Basic Services</t>
  </si>
  <si>
    <t>Major Restorative Services</t>
  </si>
  <si>
    <t>Orthodontia Services</t>
  </si>
  <si>
    <t xml:space="preserve">Recall Examination </t>
  </si>
  <si>
    <t>Fee Guide</t>
  </si>
  <si>
    <t>Benefits</t>
  </si>
  <si>
    <t>General Information</t>
  </si>
  <si>
    <t>Waiting Period</t>
  </si>
  <si>
    <t>Minimum Hours per Week</t>
  </si>
  <si>
    <t>Definition of Child</t>
  </si>
  <si>
    <t>Definition of Common-Law</t>
  </si>
  <si>
    <t>Benefit Year</t>
  </si>
  <si>
    <t>Life Insurance &amp; A. D. &amp; D.</t>
  </si>
  <si>
    <t>Reduction</t>
  </si>
  <si>
    <t>Dependent  Life</t>
  </si>
  <si>
    <t>Spouse</t>
  </si>
  <si>
    <t>Child</t>
  </si>
  <si>
    <t xml:space="preserve">Termination </t>
  </si>
  <si>
    <t>Coverage Amount</t>
  </si>
  <si>
    <t>Mandatory Benefit</t>
  </si>
  <si>
    <t>Number of Illness Covered</t>
  </si>
  <si>
    <t xml:space="preserve">Division/Class </t>
  </si>
  <si>
    <t>Heart Attack</t>
  </si>
  <si>
    <t>Stroke</t>
  </si>
  <si>
    <t>Coronary Artery Bypass Surgery</t>
  </si>
  <si>
    <t>Cancer</t>
  </si>
  <si>
    <t>Renal Failure</t>
  </si>
  <si>
    <t>Blindness</t>
  </si>
  <si>
    <t>Major Organ Transplant</t>
  </si>
  <si>
    <t>Alzheimer's Disease</t>
  </si>
  <si>
    <t>Parkinson's Disease</t>
  </si>
  <si>
    <t>Paralysis</t>
  </si>
  <si>
    <t>Multiple Sclerosis</t>
  </si>
  <si>
    <t>Deafness</t>
  </si>
  <si>
    <t>Loss of Speech</t>
  </si>
  <si>
    <t>Coma</t>
  </si>
  <si>
    <t>Emergency Out of Province/Out of Country Trip Maximum</t>
  </si>
  <si>
    <t>Emergency Out of Province/Out of Country Emergency Maximum</t>
  </si>
  <si>
    <t>Drug Claim Analytics</t>
  </si>
  <si>
    <t>Provided below is a breakdown of your top Drug utilization over the current and prior experience period.</t>
  </si>
  <si>
    <t>Drug Classification</t>
  </si>
  <si>
    <t># of Rx</t>
  </si>
  <si>
    <t>% of Total Drugs</t>
  </si>
  <si>
    <t>% of Total EHC</t>
  </si>
  <si>
    <t>Top 10 Classifications</t>
  </si>
  <si>
    <t>Total Drugs</t>
  </si>
  <si>
    <t>% of Total</t>
  </si>
  <si>
    <t>Generic</t>
  </si>
  <si>
    <t>Trend Review</t>
  </si>
  <si>
    <t>Non-pooled Claims</t>
  </si>
  <si>
    <t>Total Covered Lives</t>
  </si>
  <si>
    <t>Annualized Trend</t>
  </si>
  <si>
    <t>Health and Dental Cost History</t>
  </si>
  <si>
    <t xml:space="preserve">Target Loss Ratio </t>
  </si>
  <si>
    <t>Life Reserve</t>
  </si>
  <si>
    <t>Dietician</t>
  </si>
  <si>
    <t>Osteopath</t>
  </si>
  <si>
    <t>Podiatrist/Chiropodist</t>
  </si>
  <si>
    <t>Homeopath</t>
  </si>
  <si>
    <t xml:space="preserve">Speech Therapist </t>
  </si>
  <si>
    <t>Audiologist</t>
  </si>
  <si>
    <t>Life and Disability Claims Report</t>
  </si>
  <si>
    <t>Total Paid</t>
  </si>
  <si>
    <t>Incurred Claims</t>
  </si>
  <si>
    <r>
      <t>·</t>
    </r>
    <r>
      <rPr>
        <sz val="7"/>
        <color rgb="FF4C5B52"/>
        <rFont val="Times New Roman"/>
        <family val="1"/>
      </rPr>
      <t>      </t>
    </r>
    <r>
      <rPr>
        <sz val="7"/>
        <color rgb="FFFF0000"/>
        <rFont val="Times New Roman"/>
        <family val="1"/>
      </rPr>
      <t xml:space="preserve">   </t>
    </r>
    <r>
      <rPr>
        <sz val="10"/>
        <color rgb="FFFF0000"/>
        <rFont val="Arial"/>
        <family val="2"/>
      </rPr>
      <t>[Insert if required]</t>
    </r>
  </si>
  <si>
    <r>
      <t>·</t>
    </r>
    <r>
      <rPr>
        <sz val="10"/>
        <color rgb="FF4C5B52"/>
        <rFont val="Arial"/>
        <family val="2"/>
      </rPr>
      <t xml:space="preserve">
</t>
    </r>
  </si>
  <si>
    <t>Medical Service
&amp; Supplies</t>
  </si>
  <si>
    <t>Orthotics / Orthopaedic Shoes</t>
  </si>
  <si>
    <t>Durable Medical Equipment</t>
  </si>
  <si>
    <t>Ambulance</t>
  </si>
  <si>
    <t>Canada Wide:</t>
  </si>
  <si>
    <t>Ontario:</t>
  </si>
  <si>
    <t>Quebec:</t>
  </si>
  <si>
    <t>EDI Drugs</t>
  </si>
  <si>
    <t>No. of Scaling Units (Periodontal)</t>
  </si>
  <si>
    <t>Definition of Earnings</t>
  </si>
  <si>
    <t>Rate Guarantee</t>
  </si>
  <si>
    <t>Target Loss Ratio</t>
  </si>
  <si>
    <t>We look forward to discussing this renewal with you in more detail and thank you in advance for your continued support of our organization.  In the interim, should you have any questions or concerns, please do not hesitate to contact us.</t>
  </si>
  <si>
    <t xml:space="preserve"> Life</t>
  </si>
  <si>
    <t xml:space="preserve">Annual </t>
  </si>
  <si>
    <t>Emergency Travel Assistance</t>
  </si>
  <si>
    <t>Waiver of Premium</t>
  </si>
  <si>
    <t>Referred Services</t>
  </si>
  <si>
    <t>Simultaneously, we undertook a full marketing of your group benefit program to the group insurance marketplace with the objective of testing the competitiveness of the current costs and plan design. This action [did not] provide[d] a competitive result for our consideration.</t>
  </si>
  <si>
    <t>Total Lives</t>
  </si>
  <si>
    <t>STD Claims</t>
  </si>
  <si>
    <t>Wellness</t>
  </si>
  <si>
    <t>Health Connected</t>
  </si>
  <si>
    <t>Expenses are calculated based on paid claims</t>
  </si>
  <si>
    <t>NOT INCLUDED OR INCLUDED</t>
  </si>
  <si>
    <t>Health Risk Assessment</t>
  </si>
  <si>
    <t>Health Resource Library</t>
  </si>
  <si>
    <t>On-demand Health Tracking</t>
  </si>
  <si>
    <t>24/7 Digital Coaching</t>
  </si>
  <si>
    <t>Quarterly Challenges</t>
  </si>
  <si>
    <t>Biometric Screenings</t>
  </si>
  <si>
    <t>  NOT INCLUDED OR INCLUDED</t>
  </si>
  <si>
    <t>Lipids Screening</t>
  </si>
  <si>
    <t>Blood Glucose Screening</t>
  </si>
  <si>
    <t>Blood Pressure Reading</t>
  </si>
  <si>
    <t>Body Mass Index Measurement</t>
  </si>
  <si>
    <t>Waist Circumference</t>
  </si>
  <si>
    <t xml:space="preserve">EAP </t>
  </si>
  <si>
    <r>
      <t> </t>
    </r>
    <r>
      <rPr>
        <b/>
        <sz val="9"/>
        <color rgb="FFFFFFFF"/>
        <rFont val="Arial"/>
        <family val="2"/>
      </rPr>
      <t xml:space="preserve"> NOT INCLUDED OR INCLUDED</t>
    </r>
  </si>
  <si>
    <t>Workplace Options</t>
  </si>
  <si>
    <t>24/7 Intake and assessment</t>
  </si>
  <si>
    <t>5 face-to-face sessions per year</t>
  </si>
  <si>
    <t>Modes of Counselling</t>
  </si>
  <si>
    <r>
      <t>·</t>
    </r>
    <r>
      <rPr>
        <sz val="7"/>
        <color rgb="FF4C5B52"/>
        <rFont val="Times New Roman"/>
        <family val="1"/>
      </rPr>
      <t xml:space="preserve">         </t>
    </r>
    <r>
      <rPr>
        <sz val="9"/>
        <color rgb="FF4C5B52"/>
        <rFont val="Arial"/>
        <family val="2"/>
      </rPr>
      <t>Telephonic</t>
    </r>
  </si>
  <si>
    <r>
      <t>·</t>
    </r>
    <r>
      <rPr>
        <sz val="7"/>
        <color rgb="FF4C5B52"/>
        <rFont val="Times New Roman"/>
        <family val="1"/>
      </rPr>
      <t xml:space="preserve">         </t>
    </r>
    <r>
      <rPr>
        <sz val="9"/>
        <color rgb="FF4C5B52"/>
        <rFont val="Arial"/>
        <family val="2"/>
      </rPr>
      <t>Face to Face</t>
    </r>
  </si>
  <si>
    <r>
      <t>·</t>
    </r>
    <r>
      <rPr>
        <sz val="7"/>
        <color rgb="FF4C5B52"/>
        <rFont val="Times New Roman"/>
        <family val="1"/>
      </rPr>
      <t xml:space="preserve">         </t>
    </r>
    <r>
      <rPr>
        <sz val="9"/>
        <color rgb="FF4C5B52"/>
        <rFont val="Arial"/>
        <family val="2"/>
      </rPr>
      <t xml:space="preserve">Online </t>
    </r>
  </si>
  <si>
    <r>
      <t>·</t>
    </r>
    <r>
      <rPr>
        <sz val="7"/>
        <color rgb="FF4C5B52"/>
        <rFont val="Times New Roman"/>
        <family val="1"/>
      </rPr>
      <t xml:space="preserve">         </t>
    </r>
    <r>
      <rPr>
        <sz val="9"/>
        <color rgb="FF4C5B52"/>
        <rFont val="Arial"/>
        <family val="2"/>
      </rPr>
      <t>Video</t>
    </r>
  </si>
  <si>
    <t>Corporate Executive Health Program</t>
  </si>
  <si>
    <t>Optional Life &amp; A. D. &amp; D.  - Employee</t>
  </si>
  <si>
    <t>Legislative Changes……....………………………………………………………………………………………………………………..</t>
  </si>
  <si>
    <t>Underwriting Arrangements………………………………..……………………………………………………………………………….</t>
  </si>
  <si>
    <t>Pooled Benefits…………………………………………………….………………………………………………………………………….</t>
  </si>
  <si>
    <t>Basic Employee Life………………………………….………………………………………………………………………</t>
  </si>
  <si>
    <t>Experience Rated Benefits………………………..……………………………………………………………………………………..</t>
  </si>
  <si>
    <t>Extended Health Care (EHC) Utilization…..……………………………………………………………………………………….</t>
  </si>
  <si>
    <t>Drug Claim Analytics …………………………………….…………………………………………………………………</t>
  </si>
  <si>
    <t>Stop Loss………………………………………………………….…………………………………………………………..</t>
  </si>
  <si>
    <t>Dental Care……………………………………………………...………………………………………………………………</t>
  </si>
  <si>
    <t>Trend Review ………………………………………………..……………………………………………………………………..………… …………………………..</t>
  </si>
  <si>
    <t>ASO Summary………………….…………………………………………………………………………………………………………..</t>
  </si>
  <si>
    <t>About NFP ………………..……………..………………………………………………………………………………………………………</t>
  </si>
  <si>
    <t>Scope of Services ………...……..……….…………………………………………………………………………………………………………..</t>
  </si>
  <si>
    <t>Executive Summary…………………...……………………..……………………………………………………………………………………</t>
  </si>
  <si>
    <t>Renewal Summary…………………….…..…………………………………………………………………………………………………………</t>
  </si>
  <si>
    <t>Experience Summary………………..……………………………………………………………………………………………………………..</t>
  </si>
  <si>
    <t>Accidental Death &amp; Dismemberment…….…………….………………………………………………………………………</t>
  </si>
  <si>
    <t>Extended Health Care (EHC)……….…………………..…………………………………………………………………….</t>
  </si>
  <si>
    <t>Short Term Disability……………...………………...……..…………………………………………………………………..</t>
  </si>
  <si>
    <t>Dental Care Utilization…………….………………………..……………………………………………………………………</t>
  </si>
  <si>
    <t>Plan Design Considerations…..…………………………...…………………………………………………………………………………</t>
  </si>
  <si>
    <t>Summary and Recommendations…………………...…...……………………………………………………………………………….</t>
  </si>
  <si>
    <t>Monthly Experience Breakdown – Pooled Benefits……...……….………………………………………………………………………</t>
  </si>
  <si>
    <t>Monthly Experience Breakdown – Experience Rated Benefits…..…………………….……………………………………………….</t>
  </si>
  <si>
    <t>Renewal Rates..………………….…………………………………………………………………………………………………………..</t>
  </si>
  <si>
    <t>Marketing Rates………………...………...……………………………………………………………………………………………………</t>
  </si>
  <si>
    <t>ASO Projections………………...………….……………………………………………………………………………………………………</t>
  </si>
  <si>
    <t>Retention Projection………...………….……………………………………………………………………………………………………….</t>
  </si>
  <si>
    <t>Renewal History………………...………….……………………………………………………………………………………………………</t>
  </si>
  <si>
    <t>Rate History………………………...………...…………………………………………………………………………………………………</t>
  </si>
  <si>
    <t>Amendment History…………..………...……………………………………………………………………………………………………..</t>
  </si>
  <si>
    <t>Plan Design…………………………………..………………………………………………………………………………………………………</t>
  </si>
  <si>
    <t>Glossary…………………………………….…...………………………………………………………………………………………………….</t>
  </si>
  <si>
    <t>Long Term Disability……………….…………………..…..……………………………………………………………………</t>
  </si>
  <si>
    <t>Dependent Life……………………….…………………...…………………………………………………………………....</t>
  </si>
  <si>
    <r>
      <t>·</t>
    </r>
    <r>
      <rPr>
        <sz val="7"/>
        <color rgb="FF4C5B52"/>
        <rFont val="Times New Roman"/>
        <family val="1"/>
      </rPr>
      <t xml:space="preserve">         </t>
    </r>
    <r>
      <rPr>
        <sz val="10"/>
        <color rgb="FF4C5B52"/>
        <rFont val="Arial"/>
        <family val="2"/>
      </rPr>
      <t>There have been no claims over the current reporting period.</t>
    </r>
  </si>
  <si>
    <t>65 - 69</t>
  </si>
  <si>
    <r>
      <t>Normative Distribution</t>
    </r>
    <r>
      <rPr>
        <b/>
        <vertAlign val="superscript"/>
        <sz val="9"/>
        <color theme="0"/>
        <rFont val="Arial"/>
        <family val="2"/>
      </rPr>
      <t>1</t>
    </r>
  </si>
  <si>
    <t>AD&amp;D Claims</t>
  </si>
  <si>
    <t>NFP CANADA REVENUE REPORTING</t>
  </si>
  <si>
    <t>Company Name</t>
  </si>
  <si>
    <t>Effective Date/Renewal Date</t>
  </si>
  <si>
    <t>Completed by:</t>
  </si>
  <si>
    <t>Next Renewal Date</t>
  </si>
  <si>
    <t>Commission Rate</t>
  </si>
  <si>
    <t>Consultant</t>
  </si>
  <si>
    <t>Associate</t>
  </si>
  <si>
    <t>Commission Rate Change</t>
  </si>
  <si>
    <t>Service Rep</t>
  </si>
  <si>
    <t>Lapsed  Business</t>
  </si>
  <si>
    <t>Date Form completed</t>
  </si>
  <si>
    <t>Monthly Premium</t>
  </si>
  <si>
    <t>Revenue</t>
  </si>
  <si>
    <t>ADD</t>
  </si>
  <si>
    <t>Dep Life</t>
  </si>
  <si>
    <t>Group Medical</t>
  </si>
  <si>
    <t>Insured</t>
  </si>
  <si>
    <t>Dental Insurance</t>
  </si>
  <si>
    <t>12 months</t>
  </si>
  <si>
    <t>Health Spending Account</t>
  </si>
  <si>
    <t>14 months</t>
  </si>
  <si>
    <t>15 months</t>
  </si>
  <si>
    <t>Travel</t>
  </si>
  <si>
    <t>16 months</t>
  </si>
  <si>
    <t>28 months</t>
  </si>
  <si>
    <t>Other:</t>
  </si>
  <si>
    <t>*ASO - whether full ASO or</t>
  </si>
  <si>
    <t>GMA</t>
  </si>
  <si>
    <t xml:space="preserve">budgeted ASO, claims are </t>
  </si>
  <si>
    <t>shown for purposes of revenue</t>
  </si>
  <si>
    <t>Out of Country</t>
  </si>
  <si>
    <t>TOTAL THIS CARRIER</t>
  </si>
  <si>
    <t>Flat Fee Service</t>
  </si>
  <si>
    <t>Per Employee/Per Month</t>
  </si>
  <si>
    <t>X</t>
  </si>
  <si>
    <t>No of Elig Emps</t>
  </si>
  <si>
    <t>***No. of Enrolled Emps</t>
  </si>
  <si>
    <t>ASO</t>
  </si>
  <si>
    <t>Financial Year</t>
  </si>
  <si>
    <t>Date of Loss/Death</t>
  </si>
  <si>
    <t>Avg. Age</t>
  </si>
  <si>
    <t xml:space="preserve">CPP is expanding </t>
  </si>
  <si>
    <t>Second Opinion</t>
  </si>
  <si>
    <t>LTD Claims</t>
  </si>
  <si>
    <t>Carrier`s Annual Trend</t>
  </si>
  <si>
    <t>Multi-Source Brand</t>
  </si>
  <si>
    <t>Single-Source Brand</t>
  </si>
  <si>
    <t>Carrier's Annual Trend</t>
  </si>
  <si>
    <t>Emergency Out of Province/Out of Country Maximum</t>
  </si>
  <si>
    <t>Amount</t>
  </si>
  <si>
    <t>Carry-Forward Provision</t>
  </si>
  <si>
    <t>Provider</t>
  </si>
  <si>
    <t>Male</t>
  </si>
  <si>
    <t>Avg Age</t>
  </si>
  <si>
    <t xml:space="preserve">    </t>
  </si>
  <si>
    <t xml:space="preserve">  </t>
  </si>
  <si>
    <t>Female</t>
  </si>
  <si>
    <t>HCSA</t>
  </si>
  <si>
    <r>
      <t>·</t>
    </r>
    <r>
      <rPr>
        <sz val="7"/>
        <color rgb="FFFF0000"/>
        <rFont val="Times New Roman"/>
        <family val="1"/>
      </rPr>
      <t xml:space="preserve">         </t>
    </r>
    <r>
      <rPr>
        <sz val="10"/>
        <color rgb="FFFF0000"/>
        <rFont val="Arial"/>
        <family val="2"/>
      </rPr>
      <t>There have been no claims over the current reporting period.</t>
    </r>
  </si>
  <si>
    <t>Optional Life - Employee</t>
  </si>
  <si>
    <t>Optional Life - Dependents</t>
  </si>
  <si>
    <t>Services</t>
  </si>
  <si>
    <t>ASO Benefits</t>
  </si>
  <si>
    <t>Top 10 DIN</t>
  </si>
  <si>
    <t>Classification</t>
  </si>
  <si>
    <t>Optional AD&amp;D - Employee</t>
  </si>
  <si>
    <t>Life Insurance &amp; AD&amp;D</t>
  </si>
  <si>
    <t>Optional AD&amp;D - Dependents</t>
  </si>
  <si>
    <t>Survivor Period</t>
  </si>
  <si>
    <t xml:space="preserve">  Basic Services</t>
  </si>
  <si>
    <t xml:space="preserve">  Major Restorative Services</t>
  </si>
  <si>
    <t xml:space="preserve">  Orthodontia Services</t>
  </si>
  <si>
    <t>Pool Charge</t>
  </si>
  <si>
    <t xml:space="preserve">Insured Benefits </t>
  </si>
  <si>
    <t>OHIP+</t>
  </si>
  <si>
    <t>EI Benefit</t>
  </si>
  <si>
    <t>n/a</t>
  </si>
  <si>
    <t>Optional Life</t>
  </si>
  <si>
    <t>Optional AD&amp;D</t>
  </si>
  <si>
    <t>Reserve Amount</t>
  </si>
  <si>
    <t>Life Waiver</t>
  </si>
  <si>
    <r>
      <t xml:space="preserve">1 Normative distribution based on Sun Life data for the period ending </t>
    </r>
    <r>
      <rPr>
        <i/>
        <sz val="9"/>
        <color rgb="FFFF0000"/>
        <rFont val="Arial"/>
        <family val="2"/>
      </rPr>
      <t>Date</t>
    </r>
    <r>
      <rPr>
        <i/>
        <sz val="9"/>
        <color rgb="FF4C5B52"/>
        <rFont val="Arial"/>
        <family val="2"/>
      </rPr>
      <t xml:space="preserve">. Your comparative group is drawn from groups in the </t>
    </r>
    <r>
      <rPr>
        <i/>
        <sz val="9"/>
        <color rgb="FFFF0000"/>
        <rFont val="Arial"/>
        <family val="2"/>
      </rPr>
      <t>Industry</t>
    </r>
    <r>
      <rPr>
        <i/>
        <sz val="9"/>
        <color rgb="FF4C5B52"/>
        <rFont val="Arial"/>
        <family val="2"/>
      </rPr>
      <t xml:space="preserve"> Industry with </t>
    </r>
    <r>
      <rPr>
        <i/>
        <sz val="9"/>
        <color rgb="FFFF0000"/>
        <rFont val="Arial"/>
        <family val="2"/>
      </rPr>
      <t xml:space="preserve">SIZE BRACKET </t>
    </r>
    <r>
      <rPr>
        <i/>
        <sz val="9"/>
        <color rgb="FF4C5B52"/>
        <rFont val="Arial"/>
        <family val="2"/>
      </rPr>
      <t>employees</t>
    </r>
  </si>
  <si>
    <t>Number of Sessions</t>
  </si>
  <si>
    <t>Client Name:</t>
  </si>
  <si>
    <t>Group Name</t>
  </si>
  <si>
    <t>Experience Period - Current</t>
  </si>
  <si>
    <t>Experience Period - Prior 1</t>
  </si>
  <si>
    <t>Experience Period - Prior 2</t>
  </si>
  <si>
    <t>Experience Period - Prior 3</t>
  </si>
  <si>
    <t>Experience Period - Prior 4</t>
  </si>
  <si>
    <t>Carrier(s):</t>
  </si>
  <si>
    <t>Policy Number(s):</t>
  </si>
  <si>
    <t>Policy Number</t>
  </si>
  <si>
    <t>AE 1 - Name</t>
  </si>
  <si>
    <t>AE 2 - Title</t>
  </si>
  <si>
    <t>AE 1 - Title</t>
  </si>
  <si>
    <t>AE 2 - Name</t>
  </si>
  <si>
    <t>Per Capita Claim</t>
  </si>
  <si>
    <t>Tabs</t>
  </si>
  <si>
    <t>red</t>
  </si>
  <si>
    <t>blue</t>
  </si>
  <si>
    <t>Gold</t>
  </si>
  <si>
    <t>Retention</t>
  </si>
  <si>
    <t>green</t>
  </si>
  <si>
    <t>orange</t>
  </si>
  <si>
    <t>Elite</t>
  </si>
  <si>
    <t>50 - 200</t>
  </si>
  <si>
    <t>1 - 9</t>
  </si>
  <si>
    <t>10 - 14</t>
  </si>
  <si>
    <t>15 - 24</t>
  </si>
  <si>
    <t>25 - 49</t>
  </si>
  <si>
    <t>200 +</t>
  </si>
  <si>
    <t>Small Group</t>
  </si>
  <si>
    <t>Small Group Plus</t>
  </si>
  <si>
    <t>Prestige</t>
  </si>
  <si>
    <t>Prestige Plus</t>
  </si>
  <si>
    <t>any size</t>
  </si>
  <si>
    <t>Alt 1</t>
  </si>
  <si>
    <t># Months</t>
  </si>
  <si>
    <t>Renewal Month</t>
  </si>
  <si>
    <t>Renewal Year</t>
  </si>
  <si>
    <t>Total Life</t>
  </si>
  <si>
    <t>Total AD&amp;D</t>
  </si>
  <si>
    <t>Total Dependent Life</t>
  </si>
  <si>
    <t>Total LTD</t>
  </si>
  <si>
    <t>Total STD</t>
  </si>
  <si>
    <t>ALTERNATES - DO NOT PRINT</t>
  </si>
  <si>
    <t>Per Capita</t>
  </si>
  <si>
    <t>Month</t>
  </si>
  <si>
    <t>Year</t>
  </si>
  <si>
    <t>MMM DD YYY - MMM DD YYYY</t>
  </si>
  <si>
    <t>All Employees</t>
  </si>
  <si>
    <t>Total Travel</t>
  </si>
  <si>
    <t>Travel rates are included in Health rates</t>
  </si>
  <si>
    <t>Annual Paid Premium per Employee</t>
  </si>
  <si>
    <t>Annual Paid Claims per Employee</t>
  </si>
  <si>
    <t>purple</t>
  </si>
  <si>
    <t>Additional Products…..…………………………...…...…………………………………………………………………………………</t>
  </si>
  <si>
    <t>Prescription Drug Trends …………………………………….………………………………………………………………………..…</t>
  </si>
  <si>
    <t>EHC (Net of Pooled)</t>
  </si>
  <si>
    <t>Please adjust the formulas for the Expense Calculations according to the specifications of the carrier that is insuring the group.</t>
  </si>
  <si>
    <t>Total Covered EE</t>
  </si>
  <si>
    <t>Total covered for Life</t>
  </si>
  <si>
    <t>Total Payroll</t>
  </si>
  <si>
    <t>From employee data @ carrier or blank if unknown</t>
  </si>
  <si>
    <t>Presented On</t>
  </si>
  <si>
    <t>MONTH DAY YEAR</t>
  </si>
  <si>
    <t>Paramedical Category</t>
  </si>
  <si>
    <t>Length with current carrier:</t>
  </si>
  <si>
    <t>x years</t>
  </si>
  <si>
    <t>Last marketing:</t>
  </si>
  <si>
    <t>year</t>
  </si>
  <si>
    <t>LAP Level:</t>
  </si>
  <si>
    <t>LAP Arrangement:</t>
  </si>
  <si>
    <t>Per Individual</t>
  </si>
  <si>
    <t>1st $ OOC:</t>
  </si>
  <si>
    <t>Yes</t>
  </si>
  <si>
    <t>Health IBNR:</t>
  </si>
  <si>
    <t>x% of Claims</t>
  </si>
  <si>
    <t>Dental IBNR:</t>
  </si>
  <si>
    <t>Benefits Covered</t>
  </si>
  <si>
    <t xml:space="preserve">HSA </t>
  </si>
  <si>
    <t>Wellness Program</t>
  </si>
  <si>
    <t>Was a marketing done? What was final negotiated position versus original requested. Any other important facts?</t>
  </si>
  <si>
    <t>Prior Year Renewal Recap</t>
  </si>
  <si>
    <t>Was a marketing done? What was final negotiated position versus original requested. Financial position. Any other important facts?</t>
  </si>
  <si>
    <t>There have been no amendments processed over the last policy year. OR List current year amendments</t>
  </si>
  <si>
    <t xml:space="preserve">Recent Amendments </t>
  </si>
  <si>
    <t>Renewal claims are based on x% trend for EHC and y% trend for Dental Care</t>
  </si>
  <si>
    <t>Prior Year</t>
  </si>
  <si>
    <t>Current Year</t>
  </si>
  <si>
    <t>Total headcount</t>
  </si>
  <si>
    <t>Funding</t>
  </si>
  <si>
    <t>Current Year Activity</t>
  </si>
  <si>
    <t>*Net of pooled premiums and claims</t>
  </si>
  <si>
    <t>Pooling Threshold</t>
  </si>
  <si>
    <t>EE Cost Share</t>
  </si>
  <si>
    <t>Advice to Pay Services</t>
  </si>
  <si>
    <t>Continuation of EHC/Dental</t>
  </si>
  <si>
    <t>Taxable Accounts</t>
  </si>
  <si>
    <t>ASO Reconcilliation</t>
  </si>
  <si>
    <t>IBNR Basis</t>
  </si>
  <si>
    <t>x% of premium or claims</t>
  </si>
  <si>
    <t>LAP Charge</t>
  </si>
  <si>
    <t>OOC Charge</t>
  </si>
  <si>
    <t>$</t>
  </si>
  <si>
    <t>% or $</t>
  </si>
  <si>
    <t>non-pooled EHC premium</t>
  </si>
  <si>
    <t>Based On</t>
  </si>
  <si>
    <t>Provided below is a summary of your claims experience.</t>
  </si>
  <si>
    <t>Commission Disclosure Statement</t>
  </si>
  <si>
    <t>In addition to the above, NFP Canada may be eligible to receive bonuses and/or overrides from Insurance Carriers which do not impact your group’s premiums. In the event that any such arrangements would have an impact on your pricing, we will disclose and discuss same with you prior to accepting such payment.</t>
  </si>
  <si>
    <t>·         Renewal planning, negotiation and analysis</t>
  </si>
  <si>
    <t>·         Experience reviews for credible groups</t>
  </si>
  <si>
    <t>·         Assessment of current plans and objectives</t>
  </si>
  <si>
    <t>·         Review of plan's cost drivers and opportunities for improvement</t>
  </si>
  <si>
    <t>·         Carrier marketing(s), as required</t>
  </si>
  <si>
    <t>·         Carrier implementation(s)</t>
  </si>
  <si>
    <t>·         Assist with claim issues, billing issues, contract questions and vendor management</t>
  </si>
  <si>
    <t>·         Review contract/ booklets for accuracy</t>
  </si>
  <si>
    <t>·         Coordinate / present at benefit education sessions</t>
  </si>
  <si>
    <t>·         Normative / benchmarking analysis by region, size, and industry</t>
  </si>
  <si>
    <t>·         Legislative updates</t>
  </si>
  <si>
    <t>·         Invitations to various benefits seminars</t>
  </si>
  <si>
    <t>·         Employee communications</t>
  </si>
  <si>
    <t>·         M&amp;A transaction services, as applicable</t>
  </si>
  <si>
    <t xml:space="preserve">·
</t>
  </si>
  <si>
    <t>Meetings, benchmarking exercise, etc.</t>
  </si>
  <si>
    <t xml:space="preserve">Basic Employee Life </t>
  </si>
  <si>
    <t>Paid 
Claims</t>
  </si>
  <si>
    <t>Incurred 
Claims</t>
  </si>
  <si>
    <t>Paid
Claims</t>
  </si>
  <si>
    <t>Loss 
Ratio</t>
  </si>
  <si>
    <t>Current Coverage</t>
  </si>
  <si>
    <t>Not Covered</t>
  </si>
  <si>
    <t>TeleMedicine</t>
  </si>
  <si>
    <t>Updated February 2019</t>
  </si>
  <si>
    <t>●</t>
  </si>
  <si>
    <t>Additional Information</t>
  </si>
  <si>
    <t>Additional Information…………………...……………………..……………………………………………………………………………………</t>
  </si>
  <si>
    <t>Commission Disclosure…………..………...……………………………………………………………………………………………………..</t>
  </si>
  <si>
    <t xml:space="preserve">Premium </t>
  </si>
  <si>
    <t xml:space="preserve">Premium  </t>
  </si>
  <si>
    <t>Class 1</t>
  </si>
  <si>
    <t>Class 2</t>
  </si>
  <si>
    <t xml:space="preserve">% Change </t>
  </si>
  <si>
    <t>ASO Trend Assumption</t>
  </si>
  <si>
    <t>leave blank if not applicable</t>
  </si>
  <si>
    <t>Manitoba:</t>
  </si>
  <si>
    <t xml:space="preserve">Manitoba PST </t>
  </si>
  <si>
    <t>Remainder</t>
  </si>
  <si>
    <t>Graded All Benefits</t>
  </si>
  <si>
    <t>Percent</t>
  </si>
  <si>
    <t xml:space="preserve">Annual Premium: </t>
  </si>
  <si>
    <t>first</t>
  </si>
  <si>
    <t>next</t>
  </si>
  <si>
    <t xml:space="preserve">Total Commissions </t>
  </si>
  <si>
    <t>If you commission is Scale consult with the table of Scale Commission by Carrier and adjust the green fields in the above accordingly</t>
  </si>
  <si>
    <t>Comm. $ by Bracket</t>
  </si>
  <si>
    <t>Eye Exam</t>
  </si>
  <si>
    <t>Report prepared by:</t>
  </si>
  <si>
    <t>Provided below is a breakdown of your Dental claims over the current and prior experience period.</t>
  </si>
  <si>
    <t>EHC &amp; Dental Total</t>
  </si>
  <si>
    <t xml:space="preserve">Oh hi hi hi </t>
  </si>
  <si>
    <t>Under the Liberal government’s 'A Plan for the People - Ontario Economic Outlook and Fiscal Review' beginning in April 2019, children and youth 24 years of age and under, who do not have existing prescription drug benefits covered by private plans will continue to receive coverage through OHIP+. For those children and youth who are covered by private insurance, the private plan will be the first payer. Children and youth with private insurance would access prescribed medicines as they did prior to the launch of OHIP+ through their private insurer. OHIP+ will not pick up any outstanding balances after the private plan has paid (i.e./ coinsurance or any drugs that may be excluded from the private plan).  Individuals or families who have significant out of pocket costs could apply for additional financial support through Trillium as was the case prior to OHIP+ being implemented on Jan 1, 2018. We expect that the OHIP+ redesign will also have an impact on insurance premiums.  The insurance carriers have been quiet on rate impact at this point however we do expect them to communicate a position as the legislation is finalized.</t>
  </si>
  <si>
    <t xml:space="preserve">Starting on January 1, 2019, employees and employers are required to contribute additional funds to CPP with the phased-in contribution formula expected to be completed by 2025. Once fully implemented, employees can expect to see a maximum annual benefit increase by about one-third to $17,478 vs the maximum today of approximately $13,100 a year. The pensionable earnings that the benefit is paid on will go up gradually to $82,700 from $54,900 originally. In the end, employees and employers will contribute an additional 1% on top of the 4.95% currently contributed. Current income replacement ratio at retirement for an average Canadian salary for CPP is around 25%. This will move up to a 33% income replacement ratio. The additional 1% will provide a tax deduction-instead of a tax credit for employee contributions associated with the enhanced portion of CPP in order to avoid increasing the after-tax cost of savings for Canadians.
</t>
  </si>
  <si>
    <t>Please note that termination of the LTD claim and Life waiver at age 65 may not mean that benefits cease. The employment status, along with the actively at work provisions from your insurer will need to be reviewed.</t>
  </si>
  <si>
    <t>Previous</t>
  </si>
  <si>
    <t xml:space="preserve">Male </t>
  </si>
  <si>
    <t>20-24</t>
  </si>
  <si>
    <t>25-29</t>
  </si>
  <si>
    <t>30-34</t>
  </si>
  <si>
    <t>35-39</t>
  </si>
  <si>
    <t>40-44</t>
  </si>
  <si>
    <t>45-49</t>
  </si>
  <si>
    <t>50-54</t>
  </si>
  <si>
    <t>55-59</t>
  </si>
  <si>
    <t>60-64</t>
  </si>
  <si>
    <t>65-69</t>
  </si>
  <si>
    <t>70-74</t>
  </si>
  <si>
    <t xml:space="preserve">Female </t>
  </si>
  <si>
    <t>Demographic Change</t>
  </si>
  <si>
    <t>Difference</t>
  </si>
  <si>
    <t>Change in Demographics</t>
  </si>
  <si>
    <t xml:space="preserve">Specifications of your current benefits plan were sent to &lt;list respective carriers&gt;. Only &lt;list respective carriers&gt; provided their proposal(s). Even though &lt;list respective carriers&gt; provide their proposal(s) they were excluded from the further analysis as not competitive. </t>
  </si>
  <si>
    <t>Class A</t>
  </si>
  <si>
    <t>Class B</t>
  </si>
  <si>
    <t>Class C</t>
  </si>
  <si>
    <t>Class D</t>
  </si>
  <si>
    <t>Total EAP</t>
  </si>
  <si>
    <t>Vision</t>
  </si>
  <si>
    <t>GMA/Best Doctors</t>
  </si>
  <si>
    <t>Total GMA</t>
  </si>
  <si>
    <t>Total Critical Illness</t>
  </si>
  <si>
    <t>Total Vision</t>
  </si>
  <si>
    <t>GMA/ Best Doctors</t>
  </si>
  <si>
    <t>Strategic Partnerships Products</t>
  </si>
  <si>
    <t>Alt SP - HumanaCare</t>
  </si>
  <si>
    <t>Alt SP - Everyday Health</t>
  </si>
  <si>
    <t>Alt SP - Everyday Health Plus</t>
  </si>
  <si>
    <t>Alt SP - Akira</t>
  </si>
  <si>
    <t>SP Product</t>
  </si>
  <si>
    <t>Total SP Product</t>
  </si>
  <si>
    <t>Classes</t>
  </si>
  <si>
    <t>GMA/
Best Doctors</t>
  </si>
  <si>
    <t>This tab</t>
  </si>
  <si>
    <t>EHC tab</t>
  </si>
  <si>
    <t>S/b zero</t>
  </si>
  <si>
    <t>Dental Tab</t>
  </si>
  <si>
    <t>EHC Tab</t>
  </si>
  <si>
    <t xml:space="preserve">S/b zero </t>
  </si>
  <si>
    <t xml:space="preserve">Cost Share </t>
  </si>
  <si>
    <t>Based on our files, the following cost share is currently in place for your group:</t>
  </si>
  <si>
    <t>Cost Share…………………….…..…………………………………………………………………………………………………………</t>
  </si>
  <si>
    <t>Current Monthly Cost</t>
  </si>
  <si>
    <t>Renewal Monthly Cost</t>
  </si>
  <si>
    <t>Renewal Sum tab</t>
  </si>
  <si>
    <t>Prev</t>
  </si>
  <si>
    <t xml:space="preserve">If Cost Share is unknown, please keep this tab for discussion between the Advisor and Client. </t>
  </si>
  <si>
    <t>CLAIMS EXPERIENCE AND RATE HISTORY</t>
  </si>
  <si>
    <t>If there is current coverage in place, please provide the most current rates and experience for a minimum of the last two years.  (Preferrably three years)</t>
  </si>
  <si>
    <t>Current Pooled Rates</t>
  </si>
  <si>
    <t>Renewal Pooled Rates</t>
  </si>
  <si>
    <t>Health Single</t>
  </si>
  <si>
    <t>Health Family</t>
  </si>
  <si>
    <t>Dental Single</t>
  </si>
  <si>
    <t>Dental Family</t>
  </si>
  <si>
    <t>Claims Experience</t>
  </si>
  <si>
    <t>Dates From / To</t>
  </si>
  <si>
    <t>All Benefits Premiums</t>
  </si>
  <si>
    <t>All Benefits Claims</t>
  </si>
  <si>
    <t>Loss
Ratio</t>
  </si>
  <si>
    <t>Dental Premiums</t>
  </si>
  <si>
    <t>Dental Claims</t>
  </si>
  <si>
    <t>If yes, please advise total claims amount pooled: 
 from above health claims)</t>
  </si>
  <si>
    <t xml:space="preserve">Are these claims recurring? </t>
  </si>
  <si>
    <t>Please refer to the attached email for any additional notes or alternate quote requests</t>
  </si>
  <si>
    <t>Are there any large amount pooling claims? No</t>
  </si>
  <si>
    <t>Total ASO Monthly</t>
  </si>
  <si>
    <t>The commissions earned by NFP Canada are viewed as compensation towards the following services provided in relation to your Group Benefits program(s):</t>
  </si>
  <si>
    <r>
      <t>·</t>
    </r>
    <r>
      <rPr>
        <sz val="7"/>
        <color theme="1"/>
        <rFont val="Times New Roman"/>
        <family val="1"/>
      </rPr>
      <t xml:space="preserve">      </t>
    </r>
    <r>
      <rPr>
        <sz val="10"/>
        <color theme="1"/>
        <rFont val="HelveticaNeue-Roman"/>
      </rPr>
      <t>Group Benefits solutions</t>
    </r>
  </si>
  <si>
    <r>
      <t>·</t>
    </r>
    <r>
      <rPr>
        <sz val="7"/>
        <color theme="1"/>
        <rFont val="Times New Roman"/>
        <family val="1"/>
      </rPr>
      <t xml:space="preserve">      </t>
    </r>
    <r>
      <rPr>
        <sz val="10"/>
        <color theme="1"/>
        <rFont val="HelveticaNeue-Roman"/>
      </rPr>
      <t>Health Insurance</t>
    </r>
  </si>
  <si>
    <r>
      <t>·</t>
    </r>
    <r>
      <rPr>
        <sz val="7"/>
        <color theme="1"/>
        <rFont val="Times New Roman"/>
        <family val="1"/>
      </rPr>
      <t xml:space="preserve">      </t>
    </r>
    <r>
      <rPr>
        <sz val="10"/>
        <color theme="1"/>
        <rFont val="HelveticaNeue-Roman"/>
      </rPr>
      <t>Group Retirement solutions</t>
    </r>
  </si>
  <si>
    <r>
      <t>·</t>
    </r>
    <r>
      <rPr>
        <sz val="7"/>
        <color theme="1"/>
        <rFont val="Times New Roman"/>
        <family val="1"/>
      </rPr>
      <t xml:space="preserve">      </t>
    </r>
    <r>
      <rPr>
        <sz val="10"/>
        <color theme="1"/>
        <rFont val="HelveticaNeue-Roman"/>
      </rPr>
      <t>Estate Planning/ Life Insurance</t>
    </r>
  </si>
  <si>
    <r>
      <t>·</t>
    </r>
    <r>
      <rPr>
        <sz val="7"/>
        <color theme="1"/>
        <rFont val="Times New Roman"/>
        <family val="1"/>
      </rPr>
      <t xml:space="preserve">      </t>
    </r>
    <r>
      <rPr>
        <sz val="10"/>
        <color theme="1"/>
        <rFont val="HelveticaNeue-Roman"/>
      </rPr>
      <t>Commercial Lines, Property and Casualty Insurance</t>
    </r>
  </si>
  <si>
    <r>
      <t>·</t>
    </r>
    <r>
      <rPr>
        <sz val="7"/>
        <color theme="1"/>
        <rFont val="Times New Roman"/>
        <family val="1"/>
      </rPr>
      <t xml:space="preserve">      </t>
    </r>
    <r>
      <rPr>
        <sz val="10"/>
        <color theme="1"/>
        <rFont val="HelveticaNeueLTCom-Roman"/>
      </rPr>
      <t>Travel Insurance</t>
    </r>
  </si>
  <si>
    <r>
      <t>·</t>
    </r>
    <r>
      <rPr>
        <sz val="7"/>
        <color theme="1"/>
        <rFont val="Times New Roman"/>
        <family val="1"/>
      </rPr>
      <t xml:space="preserve">      </t>
    </r>
    <r>
      <rPr>
        <sz val="10"/>
        <color theme="1"/>
        <rFont val="HelveticaNeue-Roman"/>
      </rPr>
      <t>Wellness Programs</t>
    </r>
  </si>
  <si>
    <r>
      <t>·</t>
    </r>
    <r>
      <rPr>
        <sz val="7"/>
        <color theme="1"/>
        <rFont val="Times New Roman"/>
        <family val="1"/>
      </rPr>
      <t xml:space="preserve">      </t>
    </r>
    <r>
      <rPr>
        <sz val="10"/>
        <color theme="1"/>
        <rFont val="HelveticaNeueLTCom-Roman"/>
      </rPr>
      <t>Critical Illness Insurance</t>
    </r>
  </si>
  <si>
    <r>
      <t>·</t>
    </r>
    <r>
      <rPr>
        <sz val="7"/>
        <color theme="1"/>
        <rFont val="Times New Roman"/>
        <family val="1"/>
      </rPr>
      <t xml:space="preserve">      </t>
    </r>
    <r>
      <rPr>
        <sz val="10"/>
        <color theme="1"/>
        <rFont val="HelveticaNeue-Roman"/>
      </rPr>
      <t>HR Services</t>
    </r>
  </si>
  <si>
    <r>
      <t>·</t>
    </r>
    <r>
      <rPr>
        <sz val="7"/>
        <color theme="1"/>
        <rFont val="Times New Roman"/>
        <family val="1"/>
      </rPr>
      <t xml:space="preserve">      </t>
    </r>
    <r>
      <rPr>
        <sz val="10"/>
        <color theme="1"/>
        <rFont val="HelveticaNeue-Roman"/>
      </rPr>
      <t>Wealth Management</t>
    </r>
  </si>
  <si>
    <r>
      <t>·</t>
    </r>
    <r>
      <rPr>
        <sz val="7"/>
        <color theme="1"/>
        <rFont val="Times New Roman"/>
        <family val="1"/>
      </rPr>
      <t xml:space="preserve">      </t>
    </r>
    <r>
      <rPr>
        <sz val="10"/>
        <color theme="1"/>
        <rFont val="HelveticaNeue-Roman"/>
      </rPr>
      <t>Business Planning</t>
    </r>
  </si>
  <si>
    <r>
      <t>·</t>
    </r>
    <r>
      <rPr>
        <sz val="7"/>
        <color theme="1"/>
        <rFont val="Times New Roman"/>
        <family val="1"/>
      </rPr>
      <t xml:space="preserve">      </t>
    </r>
    <r>
      <rPr>
        <sz val="10"/>
        <color theme="1"/>
        <rFont val="HelveticaNeue-Roman"/>
      </rPr>
      <t>Home &amp; Auto Insurance</t>
    </r>
  </si>
  <si>
    <r>
      <rPr>
        <b/>
        <sz val="10"/>
        <color theme="1"/>
        <rFont val="Arial"/>
        <family val="2"/>
      </rPr>
      <t>When working with NFP Canada you can expect:</t>
    </r>
    <r>
      <rPr>
        <sz val="10"/>
        <color rgb="FF4D4D4D"/>
        <rFont val="Arial"/>
        <family val="2"/>
      </rPr>
      <t xml:space="preserve">
</t>
    </r>
    <r>
      <rPr>
        <sz val="10"/>
        <color rgb="FF008000"/>
        <rFont val="Arial"/>
        <family val="2"/>
      </rPr>
      <t xml:space="preserve">
</t>
    </r>
    <r>
      <rPr>
        <b/>
        <sz val="10"/>
        <color rgb="FF4F9237"/>
        <rFont val="Arial"/>
        <family val="2"/>
      </rPr>
      <t>Client-Focused Solutions</t>
    </r>
    <r>
      <rPr>
        <sz val="10"/>
        <color rgb="FF4D4D4D"/>
        <rFont val="Arial"/>
        <family val="2"/>
      </rPr>
      <t xml:space="preserve">
</t>
    </r>
    <r>
      <rPr>
        <sz val="10"/>
        <color theme="1"/>
        <rFont val="Arial"/>
        <family val="2"/>
      </rPr>
      <t>NFP's experienced advisors will consider each individual client’s goals and budget to find the best possible products to meet their unique needs. We treat our client relationships as a partnership, creating strategic solutions based on the corporate strategy, employer-to-employer comparability, market trends in benefits and cost projections.</t>
    </r>
    <r>
      <rPr>
        <sz val="10"/>
        <color rgb="FF4D4D4D"/>
        <rFont val="Arial"/>
        <family val="2"/>
      </rPr>
      <t xml:space="preserve">
</t>
    </r>
    <r>
      <rPr>
        <b/>
        <sz val="10"/>
        <color rgb="FF4F9237"/>
        <rFont val="Arial"/>
        <family val="2"/>
      </rPr>
      <t>Product Independence</t>
    </r>
    <r>
      <rPr>
        <sz val="10"/>
        <color rgb="FF4D4D4D"/>
        <rFont val="Arial"/>
        <family val="2"/>
      </rPr>
      <t xml:space="preserve">
</t>
    </r>
    <r>
      <rPr>
        <sz val="10"/>
        <color theme="1"/>
        <rFont val="Arial"/>
        <family val="2"/>
      </rPr>
      <t>NFP leverages the strength of our preferred relationships with some of the leading carriers in the industry, giving us access to a wide range of products. We empower our advisors to offer the highest quality customized packages to suit each client’s needs. NFP will help you create a group benefits program that will give you a greater competitive advantage when it comes to attracting and retaining top talent.</t>
    </r>
    <r>
      <rPr>
        <sz val="10"/>
        <color rgb="FF4D4D4D"/>
        <rFont val="Arial"/>
        <family val="2"/>
      </rPr>
      <t xml:space="preserve">
</t>
    </r>
    <r>
      <rPr>
        <b/>
        <sz val="10"/>
        <color rgb="FF4F9237"/>
        <rFont val="Arial"/>
        <family val="2"/>
      </rPr>
      <t>Superior Client Service</t>
    </r>
    <r>
      <rPr>
        <sz val="10"/>
        <color rgb="FF4D4D4D"/>
        <rFont val="Arial"/>
        <family val="2"/>
      </rPr>
      <t xml:space="preserve">
</t>
    </r>
    <r>
      <rPr>
        <sz val="10"/>
        <color theme="1"/>
        <rFont val="Arial"/>
        <family val="2"/>
      </rPr>
      <t>We pride ourselves on providing excellent service to every NFP client.  And, with the strength and scale of our vast network, we’re able to provide you with preferred service levels. At NFP, collaboration is more than a value-add — it is our value. NFP provides sophisticated tools and technology so we can elevate you above the day-to-day challenges allowing you to work at the speed business demands. With decision, implementation, and ongoing support capabilities that include employee communication and enrollment, consulting services, compliance and regulatory support, and more — we act as an extension of your HR department, giving you everything you need to administer comprehensive benefits efficiently and effectively.</t>
    </r>
    <r>
      <rPr>
        <sz val="10"/>
        <color rgb="FF4D4D4D"/>
        <rFont val="Arial"/>
        <family val="2"/>
      </rPr>
      <t xml:space="preserve">
</t>
    </r>
  </si>
  <si>
    <r>
      <rPr>
        <b/>
        <sz val="10"/>
        <color theme="1"/>
        <rFont val="Arial"/>
        <family val="2"/>
      </rPr>
      <t>Solutions for Businesses and Individuals:</t>
    </r>
    <r>
      <rPr>
        <sz val="10"/>
        <color theme="1"/>
        <rFont val="Arial"/>
        <family val="2"/>
      </rPr>
      <t xml:space="preserve">
NFP offers a variety of products and services to businesses and individuals.  For businesses, NFP offers comprehensive group benefit and retirement solutions with decision support through the planning, implementation and management stages of your benefits strategy. 
For individuals, NFP offers a variety of customizable insurance products to help protect your wealth, so you can provide for loved ones and create a lasting financial legacy.
</t>
    </r>
  </si>
  <si>
    <r>
      <t>·</t>
    </r>
    <r>
      <rPr>
        <sz val="7"/>
        <color theme="1"/>
        <rFont val="Times New Roman"/>
        <family val="1"/>
      </rPr>
      <t xml:space="preserve">         </t>
    </r>
    <r>
      <rPr>
        <sz val="10"/>
        <color theme="1"/>
        <rFont val="Arial"/>
        <family val="2"/>
      </rPr>
      <t>Your groups own claims experience;</t>
    </r>
  </si>
  <si>
    <r>
      <t>·</t>
    </r>
    <r>
      <rPr>
        <sz val="7"/>
        <color theme="1"/>
        <rFont val="Times New Roman"/>
        <family val="1"/>
      </rPr>
      <t xml:space="preserve">         </t>
    </r>
    <r>
      <rPr>
        <sz val="10"/>
        <color theme="1"/>
        <rFont val="Arial"/>
        <family val="2"/>
      </rPr>
      <t>The carrier’s own overhead expenses</t>
    </r>
  </si>
  <si>
    <r>
      <rPr>
        <i/>
        <sz val="10"/>
        <color rgb="FFFF0000"/>
        <rFont val="Arial"/>
        <family val="2"/>
      </rPr>
      <t>OR If ASO:</t>
    </r>
    <r>
      <rPr>
        <i/>
        <sz val="10"/>
        <color rgb="FF4C5B52"/>
        <rFont val="Arial"/>
        <family val="2"/>
      </rPr>
      <t xml:space="preserve">
</t>
    </r>
    <r>
      <rPr>
        <sz val="10"/>
        <color theme="1"/>
        <rFont val="Arial"/>
        <family val="2"/>
      </rPr>
      <t>Under an ASO arrangement, the carrier continues to administer all claim payment and adjudication functions under your current Health and Dental plans; however, you are the plan insurer. This arrangement transfers insurance risk from the carrier to the Policyholder and is typically offered in conjunction with an insured pooling benefit designed to remove any liability for catastrophic claims.</t>
    </r>
  </si>
  <si>
    <r>
      <rPr>
        <sz val="10"/>
        <color theme="1"/>
        <rFont val="Arial"/>
        <family val="2"/>
      </rPr>
      <t>For renewal purposes,</t>
    </r>
    <r>
      <rPr>
        <sz val="10"/>
        <color rgb="FF4C5B52"/>
        <rFont val="Arial"/>
        <family val="2"/>
      </rPr>
      <t xml:space="preserve"> </t>
    </r>
    <r>
      <rPr>
        <sz val="10"/>
        <color rgb="FFFF0000"/>
        <rFont val="Arial"/>
        <family val="2"/>
      </rPr>
      <t>Short Term Disability, EHC and Dental Care</t>
    </r>
    <r>
      <rPr>
        <sz val="10"/>
        <color theme="1"/>
        <rFont val="Arial"/>
        <family val="2"/>
      </rPr>
      <t xml:space="preserve"> benefits are rated each year based on the financial results generated by your experience.</t>
    </r>
  </si>
  <si>
    <r>
      <t>·</t>
    </r>
    <r>
      <rPr>
        <sz val="7"/>
        <color theme="1"/>
        <rFont val="Times New Roman"/>
        <family val="1"/>
      </rPr>
      <t xml:space="preserve">         </t>
    </r>
    <r>
      <rPr>
        <sz val="10"/>
        <color theme="1"/>
        <rFont val="Arial"/>
        <family val="2"/>
      </rPr>
      <t>Aggregate experience results of the carrier’s pool for similar groups;</t>
    </r>
  </si>
  <si>
    <r>
      <t>·</t>
    </r>
    <r>
      <rPr>
        <sz val="7"/>
        <color theme="1"/>
        <rFont val="Times New Roman"/>
        <family val="1"/>
      </rPr>
      <t xml:space="preserve">         </t>
    </r>
    <r>
      <rPr>
        <sz val="10"/>
        <color theme="1"/>
        <rFont val="Arial"/>
        <family val="2"/>
      </rPr>
      <t>Your actual employee demographic changes (age/sex/occupation and plan design) from year to year.</t>
    </r>
  </si>
  <si>
    <r>
      <rPr>
        <sz val="10"/>
        <color theme="1"/>
        <rFont val="Arial"/>
        <family val="2"/>
      </rPr>
      <t>Number of lives assumed to be</t>
    </r>
    <r>
      <rPr>
        <sz val="10"/>
        <color rgb="FFFF0000"/>
        <rFont val="Arial"/>
        <family val="2"/>
      </rPr>
      <t xml:space="preserve"> [X]</t>
    </r>
    <r>
      <rPr>
        <b/>
        <sz val="10"/>
        <color rgb="FFFF0000"/>
        <rFont val="Arial"/>
        <family val="2"/>
      </rPr>
      <t xml:space="preserve"> </t>
    </r>
  </si>
  <si>
    <r>
      <t>Net of RST and HST (if applicable)</t>
    </r>
    <r>
      <rPr>
        <b/>
        <sz val="10"/>
        <color theme="1"/>
        <rFont val="Arial"/>
        <family val="2"/>
      </rPr>
      <t xml:space="preserve"> </t>
    </r>
  </si>
  <si>
    <r>
      <t>Number of lives assumed to be [X]</t>
    </r>
    <r>
      <rPr>
        <b/>
        <sz val="10"/>
        <color theme="1"/>
        <rFont val="Arial"/>
        <family val="2"/>
      </rPr>
      <t xml:space="preserve"> </t>
    </r>
  </si>
  <si>
    <r>
      <rPr>
        <b/>
        <sz val="10"/>
        <color theme="1"/>
        <rFont val="Arial"/>
        <family val="2"/>
      </rPr>
      <t>ASO</t>
    </r>
    <r>
      <rPr>
        <sz val="10"/>
        <color theme="1"/>
        <rFont val="Arial"/>
        <family val="2"/>
      </rPr>
      <t xml:space="preserve">
ASO funding is an arrangement under which the employer pays all Health and Dental claims as well as an expense charge for claims adjudication by the carrier. As a result the employer holds the insurance risk. This arrangement is often used by employers with excellent experience where the costs of an insured plan far exceed the costs of the ASO plan.
</t>
    </r>
    <r>
      <rPr>
        <b/>
        <sz val="10"/>
        <color theme="1"/>
        <rFont val="Arial"/>
        <family val="2"/>
      </rPr>
      <t xml:space="preserve">Budgeted ASO      </t>
    </r>
    <r>
      <rPr>
        <sz val="10"/>
        <color theme="1"/>
        <rFont val="Arial"/>
        <family val="2"/>
      </rPr>
      <t xml:space="preserve">
Rates are set to cover projected claims and expenses and are renewed annually. An annual reconciliation is completed identifying premiums paid vs. claims and expenses incurred. Any surplus is refunded to the Employer and any deficit is recovered, usually within a 31 day period.
</t>
    </r>
    <r>
      <rPr>
        <b/>
        <sz val="10"/>
        <color theme="1"/>
        <rFont val="Arial"/>
        <family val="2"/>
      </rPr>
      <t>Claims, Experience Rated</t>
    </r>
    <r>
      <rPr>
        <sz val="10"/>
        <color theme="1"/>
        <rFont val="Arial"/>
        <family val="2"/>
      </rPr>
      <t xml:space="preserve">
Incurred Claims less Pooled Claims.
</t>
    </r>
    <r>
      <rPr>
        <b/>
        <sz val="10"/>
        <color theme="1"/>
        <rFont val="Arial"/>
        <family val="2"/>
      </rPr>
      <t>Claims, Incurred</t>
    </r>
    <r>
      <rPr>
        <sz val="10"/>
        <color theme="1"/>
        <rFont val="Arial"/>
        <family val="2"/>
      </rPr>
      <t xml:space="preserve">
Paid Claims for the experience period, adjusted to include the change in IBNR.
</t>
    </r>
    <r>
      <rPr>
        <b/>
        <sz val="10"/>
        <color theme="1"/>
        <rFont val="Arial"/>
        <family val="2"/>
      </rPr>
      <t>Claims, Paid</t>
    </r>
    <r>
      <rPr>
        <sz val="10"/>
        <color theme="1"/>
        <rFont val="Arial"/>
        <family val="2"/>
      </rPr>
      <t xml:space="preserve">
The actual amount of claims submitted and paid by the Insurer within the experience period.
</t>
    </r>
    <r>
      <rPr>
        <b/>
        <sz val="10"/>
        <color theme="1"/>
        <rFont val="Arial"/>
        <family val="2"/>
      </rPr>
      <t>Claims, Pooled</t>
    </r>
    <r>
      <rPr>
        <sz val="10"/>
        <color theme="1"/>
        <rFont val="Arial"/>
        <family val="2"/>
      </rPr>
      <t xml:space="preserve">
Claims in excess of the Large Amount Pooling level that are removed from the Paid Claims in each experience period so that they will not impact the experience rating.
</t>
    </r>
    <r>
      <rPr>
        <b/>
        <sz val="10"/>
        <color theme="1"/>
        <rFont val="Arial"/>
        <family val="2"/>
      </rPr>
      <t>Incurred But Not Reported Reserve (IBNR)</t>
    </r>
    <r>
      <rPr>
        <sz val="10"/>
        <color theme="1"/>
        <rFont val="Arial"/>
        <family val="2"/>
      </rPr>
      <t xml:space="preserve">
A reserve established to cover the Insurer’s liability for claims incurred by plan members during the experience period but, due to lag in claim submission, will be reported to and paid by the Insurer during the following period. The insurer retains liability for the claims, even if the client terminates their coverage.
</t>
    </r>
  </si>
  <si>
    <r>
      <rPr>
        <b/>
        <sz val="10"/>
        <color theme="1"/>
        <rFont val="Arial"/>
        <family val="2"/>
      </rPr>
      <t>Loss Ratio</t>
    </r>
    <r>
      <rPr>
        <sz val="10"/>
        <color theme="1"/>
        <rFont val="Arial"/>
        <family val="2"/>
      </rPr>
      <t xml:space="preserve">
The ratio of Claims to Premium. 
</t>
    </r>
    <r>
      <rPr>
        <b/>
        <sz val="10"/>
        <color theme="1"/>
        <rFont val="Arial"/>
        <family val="2"/>
      </rPr>
      <t>Premium, Adjusted</t>
    </r>
    <r>
      <rPr>
        <sz val="10"/>
        <color theme="1"/>
        <rFont val="Arial"/>
        <family val="2"/>
      </rPr>
      <t xml:space="preserve">
The Billed Premium for each experience period, adjusted to reflect current rates, demographic changes and the impact of plan amendments.
</t>
    </r>
    <r>
      <rPr>
        <b/>
        <sz val="10"/>
        <color theme="1"/>
        <rFont val="Arial"/>
        <family val="2"/>
      </rPr>
      <t xml:space="preserve">
Premium, Billed</t>
    </r>
    <r>
      <rPr>
        <sz val="10"/>
        <color theme="1"/>
        <rFont val="Arial"/>
        <family val="2"/>
      </rPr>
      <t xml:space="preserve">
The actual amount of premium billed to the client by the Insurer during each experience period.
</t>
    </r>
    <r>
      <rPr>
        <b/>
        <sz val="10"/>
        <color theme="1"/>
        <rFont val="Arial"/>
        <family val="2"/>
      </rPr>
      <t>Premium, Experience Rated</t>
    </r>
    <r>
      <rPr>
        <sz val="10"/>
        <color theme="1"/>
        <rFont val="Arial"/>
        <family val="2"/>
      </rPr>
      <t xml:space="preserve">
Adjusted Premium less Pooled Premium. 
</t>
    </r>
    <r>
      <rPr>
        <b/>
        <sz val="10"/>
        <color theme="1"/>
        <rFont val="Arial"/>
        <family val="2"/>
      </rPr>
      <t xml:space="preserve">
Premium, Pooled</t>
    </r>
    <r>
      <rPr>
        <sz val="10"/>
        <color theme="1"/>
        <rFont val="Arial"/>
        <family val="2"/>
      </rPr>
      <t xml:space="preserve">
A percentage of Billed Premiums is charged to the client to cover the cost of Pooled Claims to the Insurer.
</t>
    </r>
    <r>
      <rPr>
        <b/>
        <sz val="10"/>
        <color theme="1"/>
        <rFont val="Arial"/>
        <family val="2"/>
      </rPr>
      <t xml:space="preserve">Pure ASO </t>
    </r>
    <r>
      <rPr>
        <sz val="10"/>
        <color theme="1"/>
        <rFont val="Arial"/>
        <family val="2"/>
      </rPr>
      <t xml:space="preserve">
Employer is billed monthly for paid claims and associated expense incurred during the month. It is also common to set up an arrangement in which fund are withdrawn daily from a specified employer account. Under a pure ASO funding arrangement there are no rates and no renewals.
</t>
    </r>
    <r>
      <rPr>
        <b/>
        <sz val="10"/>
        <color theme="1"/>
        <rFont val="Arial"/>
        <family val="2"/>
      </rPr>
      <t xml:space="preserve">
Trend Factor</t>
    </r>
    <r>
      <rPr>
        <sz val="10"/>
        <color theme="1"/>
        <rFont val="Arial"/>
        <family val="2"/>
      </rPr>
      <t xml:space="preserve">
The expected increase to paid claims as the result of inflation, increased utilization, the introduction of new drugs and treatments, delisting of government services, deductible leveraging and changes to provincial dental fee guides.
</t>
    </r>
    <r>
      <rPr>
        <b/>
        <sz val="10"/>
        <color theme="1"/>
        <rFont val="Arial"/>
        <family val="2"/>
      </rPr>
      <t>Waiver of Premium Reserve</t>
    </r>
    <r>
      <rPr>
        <sz val="10"/>
        <color theme="1"/>
        <rFont val="Arial"/>
        <family val="2"/>
      </rPr>
      <t xml:space="preserve">
When a plan member has been approved for disability payment of the Basic life premium is no longer required and the premium is considered waived. The Insurer in force as the time of disability has responsibility for payment of the life claims when it is incurred.</t>
    </r>
  </si>
  <si>
    <t>NFP is a leading insurance broker and consultant that provides employee benefits, property and casualty, retirement and individual private client solutions. Our expertise is matched by our commitment to each client's goals and is enhanced by our investments in innovative technologies in the insurance brokerage and consulting space. Recently NFP was named the 6th largest benefits broker by global revenue by Business Insurance
NFP has more than 5,100 employees and global capabilities. Our expansive reach gives us access to highly rated insurers, vendors and financial institutions in the industry, while our locally based employees tailor each solution to meet our clients' needs. We've become one of the largest insurance brokerage, consulting and wealth management firms by building enduring relationships with our clients and helping them realize their goals.</t>
  </si>
  <si>
    <t>Refund Billed Premium</t>
  </si>
  <si>
    <t xml:space="preserve">Short Term Disability </t>
  </si>
  <si>
    <t>TOTAL PREMIUM</t>
  </si>
  <si>
    <t>Claim Charges</t>
  </si>
  <si>
    <t>IBNR Reserves</t>
  </si>
  <si>
    <t>(Opening Balance)</t>
  </si>
  <si>
    <t>(Closing Balance)</t>
  </si>
  <si>
    <t>TOTAL CLAIMS CHARGES</t>
  </si>
  <si>
    <t>General Administration</t>
  </si>
  <si>
    <t>Consulting Fees</t>
  </si>
  <si>
    <t>Miscellaneous Expenses</t>
  </si>
  <si>
    <t>Premium Tax (composite)</t>
  </si>
  <si>
    <t>Other Expenses (Printing)</t>
  </si>
  <si>
    <t>TOTAL EXPENSES</t>
  </si>
  <si>
    <t>Interest on Reserves</t>
  </si>
  <si>
    <t>Interest on Cash Flow</t>
  </si>
  <si>
    <t>Interest on Deficit</t>
  </si>
  <si>
    <t>TOTAL INTEREST</t>
  </si>
  <si>
    <t>GAIN/LOSS ON POLICY YEAR</t>
  </si>
  <si>
    <t>Funds transferred from Claims Fluctuation Reserve (CFR)</t>
  </si>
  <si>
    <t xml:space="preserve">Premium Tax Adjustment </t>
  </si>
  <si>
    <t>Balance at Month XX, 201X</t>
  </si>
  <si>
    <t>CFR</t>
  </si>
  <si>
    <t>Claims Fluctuation Reserve Balance at Month XX, 201X</t>
  </si>
  <si>
    <t xml:space="preserve">Plus Interest </t>
  </si>
  <si>
    <t>Minus Transfer Out</t>
  </si>
  <si>
    <t>Claims Fluctuation Reserve Required</t>
  </si>
  <si>
    <t xml:space="preserve">Plus/Minus </t>
  </si>
  <si>
    <t>RDA</t>
  </si>
  <si>
    <t>Refund Deposit Account Balance at Month XX, 201X</t>
  </si>
  <si>
    <t>Minus Transfer Out - Month XX, 201X</t>
  </si>
  <si>
    <t xml:space="preserve">Incurred Claims </t>
  </si>
  <si>
    <r>
      <t>Retention Reconciliation - Year End/</t>
    </r>
    <r>
      <rPr>
        <b/>
        <sz val="16"/>
        <color rgb="FFFF0000"/>
        <rFont val="Arial"/>
        <family val="2"/>
      </rPr>
      <t>Estimated</t>
    </r>
    <r>
      <rPr>
        <b/>
        <sz val="16"/>
        <color rgb="FF4F9237"/>
        <rFont val="Arial"/>
        <family val="2"/>
      </rPr>
      <t xml:space="preserve"> Financial</t>
    </r>
  </si>
  <si>
    <t xml:space="preserve">Last year the proposed rate adjustment was XX% overall. Through negotiations with the carrier, NFP was able to bring the overall rate adjustment down to XX%, for an annual savings of $XX. </t>
  </si>
  <si>
    <r>
      <t>·</t>
    </r>
    <r>
      <rPr>
        <sz val="7"/>
        <color theme="1"/>
        <rFont val="Times New Roman"/>
        <family val="1"/>
      </rPr>
      <t xml:space="preserve">         </t>
    </r>
    <r>
      <rPr>
        <sz val="10"/>
        <color theme="1"/>
        <rFont val="Arial"/>
        <family val="2"/>
      </rPr>
      <t>There have been no claims over the current reporting period.</t>
    </r>
  </si>
  <si>
    <t>Renewal Cap/Transition Allowance</t>
  </si>
  <si>
    <t>Pre-Renewal Monthly Premium</t>
  </si>
  <si>
    <t>Fully Insured</t>
  </si>
  <si>
    <t>Self Funded</t>
  </si>
  <si>
    <t>X (or list Classes)</t>
  </si>
  <si>
    <t>&lt;- If not enough space on pages related to a Benefit to show all claimants use this page &amp; adjust accordingly</t>
  </si>
  <si>
    <t>&lt;- If any classifications we leave (for Benchmarking) &amp; corresponding % is 0 delete the 0% for the respective classification in the chart</t>
  </si>
  <si>
    <t>Covered Conditions, if applicable</t>
  </si>
  <si>
    <t>Telemedicine</t>
  </si>
  <si>
    <r>
      <rPr>
        <sz val="10"/>
        <color rgb="FFFF0000"/>
        <rFont val="Arial"/>
        <family val="2"/>
      </rPr>
      <t>Life, AD&amp;D and Long Term Disability</t>
    </r>
    <r>
      <rPr>
        <sz val="10"/>
        <color rgb="FF4C5B52"/>
        <rFont val="Arial"/>
        <family val="2"/>
      </rPr>
      <t xml:space="preserve"> </t>
    </r>
    <r>
      <rPr>
        <sz val="10"/>
        <color theme="1"/>
        <rFont val="Arial"/>
        <family val="2"/>
      </rPr>
      <t>benefits are underwritten on a fully pooled basis</t>
    </r>
    <r>
      <rPr>
        <sz val="10"/>
        <color rgb="FF4C5B52"/>
        <rFont val="Arial"/>
        <family val="2"/>
      </rPr>
      <t xml:space="preserve"> </t>
    </r>
    <r>
      <rPr>
        <i/>
        <sz val="10"/>
        <color rgb="FFFF0000"/>
        <rFont val="Arial"/>
        <family val="2"/>
      </rPr>
      <t>[partially experience rated basis]</t>
    </r>
    <r>
      <rPr>
        <sz val="10"/>
        <color theme="1"/>
        <rFont val="Arial"/>
        <family val="2"/>
      </rPr>
      <t>. Under a fully pooled arrangement, the insurer assumes the entire financial risk and does not take into account your claims experience, premiums and expenses.</t>
    </r>
    <r>
      <rPr>
        <sz val="10"/>
        <color rgb="FFFF0000"/>
        <rFont val="Arial"/>
        <family val="2"/>
      </rPr>
      <t xml:space="preserve"> </t>
    </r>
    <r>
      <rPr>
        <i/>
        <sz val="10"/>
        <color rgb="FFFF0000"/>
        <rFont val="Arial"/>
        <family val="2"/>
      </rPr>
      <t>With partially experience rated basis some of your claims experience is taken into consideration during the benefit valuation process</t>
    </r>
    <r>
      <rPr>
        <i/>
        <sz val="10"/>
        <color theme="1"/>
        <rFont val="Arial"/>
        <family val="2"/>
      </rPr>
      <t>.</t>
    </r>
  </si>
  <si>
    <t>Provided below is an overview of your demographic changes this period over last, as well as a summary of any open claims and the carrier's renewal action.</t>
  </si>
  <si>
    <t>Provided below is a summary of any open claims and the carrier's renewal action.</t>
  </si>
  <si>
    <t>Provided below is a summary of your claims experience and the carrier's renewal action.</t>
  </si>
  <si>
    <t>Billed
Premiums</t>
  </si>
  <si>
    <t>Experience Rated Paid Premium</t>
  </si>
  <si>
    <t>Experience Rated Adjusted Premium</t>
  </si>
  <si>
    <t>Experience Rated Paid Claims</t>
  </si>
  <si>
    <t>Paid Loss Ratio</t>
  </si>
  <si>
    <t>Annual Trend</t>
  </si>
  <si>
    <t>Trending For x months:</t>
  </si>
  <si>
    <t>Trended Incurred Loss Ratio</t>
  </si>
  <si>
    <t>Weighted Loss Ratio</t>
  </si>
  <si>
    <t>Projected % Adjustment</t>
  </si>
  <si>
    <t>Projected $ Adjustment</t>
  </si>
  <si>
    <t>The number of months in the experience period + between the end of experience period to renewal date</t>
  </si>
  <si>
    <t>Paid Premiums Net of Pooled adjusted to reflect the last renewal position (only for the premiums months between the beginning of current Experience Period to the last renewal are adjusted)</t>
  </si>
  <si>
    <t>Renewal Analysis – Fully Insured (Do Not Print)</t>
  </si>
  <si>
    <t>Top Drugs</t>
  </si>
  <si>
    <t>Updated May 2019</t>
  </si>
  <si>
    <t>Effective July 1, 2019 the PST rate in Manitoba will be decreasing from 8% to 7%. This reduction will impact Group Insurance premiums.</t>
  </si>
  <si>
    <t>Updated November 2019</t>
  </si>
  <si>
    <t>OHIP Travellers Program</t>
  </si>
  <si>
    <t>Vision Care for Children Under 18</t>
  </si>
  <si>
    <t>Updated September 2019</t>
  </si>
  <si>
    <t>Effective September 2019 RAMQ will start eyeglasses &amp; contact lenses reimbursement for children under age 18 ($250 every 24 months)</t>
  </si>
  <si>
    <t>Billed Experience Rated Premiums</t>
  </si>
  <si>
    <t>Effective January 1, 2020, the EI maximum insurable earnings will increase from $53,100 to $54,200. The maximum benefit amount will increase from $562 to $573 per week.</t>
  </si>
  <si>
    <t>Alt SP - Health NAV</t>
  </si>
  <si>
    <t>Alt SP - Health NAV Plus</t>
  </si>
  <si>
    <t>Health NAV</t>
  </si>
  <si>
    <t>Health NAV Plus</t>
  </si>
  <si>
    <t>$ Paid</t>
  </si>
  <si>
    <t>British Columbia:</t>
  </si>
  <si>
    <t>Updated January 1, 2020</t>
  </si>
  <si>
    <t>Effective January 1, 2020 BC residents are no longer charged MSP premiums</t>
  </si>
  <si>
    <t>HIBC - MSP Premiums Elimination</t>
  </si>
  <si>
    <t>Expected Surplus/Deficit (Budgeted ASO)</t>
  </si>
  <si>
    <r>
      <rPr>
        <b/>
        <sz val="11"/>
        <color theme="1"/>
        <rFont val="Arial"/>
        <family val="2"/>
      </rPr>
      <t>QC Drugs Management Agreement (effective February 1, 2020)</t>
    </r>
    <r>
      <rPr>
        <b/>
        <sz val="11"/>
        <color rgb="FFFF0000"/>
        <rFont val="Arial"/>
        <family val="2"/>
      </rPr>
      <t xml:space="preserve"> </t>
    </r>
    <r>
      <rPr>
        <b/>
        <i/>
        <sz val="8"/>
        <color rgb="FFFF0000"/>
        <rFont val="Arial"/>
        <family val="2"/>
      </rPr>
      <t>hide if no QC participants (to be removed in 2023)</t>
    </r>
  </si>
  <si>
    <t xml:space="preserve">Insurers represented by the Canadian Life and Health Insurance Association (CLHIA), pharmacists represented by the Association québécoise des pharmaciens propriétaires (AQPP) and third-party payers, including Telus &amp; Express Scripts Canada, have come to an agreement that will go into effect on February 1, 2020. 
This agreement will last for 3 years, and may help streamline operations and rein in drug costs by: 
• Allowing insurers to develop comparison tools on their secure websites so plan members will be able to compare drug prices and find which pharmacies can fill their prescriptions at the lowest cost. 
• Recognizing that multiplying fees by the number of units involved leads to excessive charges. 
• Planning to create a task force that includes insurers, AQPP representatives and third-party payers who will work together to deal with high-cost specialty drugs. 
• Planning to create a clinical committee made up of insurers, AQPP representatives and third-party payers to promote services beyond the general plan, which can be offered by pharmacists and reimbursed by the plan (provided the plan sponsor believes these services have added value). </t>
  </si>
  <si>
    <r>
      <rPr>
        <sz val="10"/>
        <color rgb="FFFF0000"/>
        <rFont val="Arial"/>
        <family val="2"/>
      </rPr>
      <t>If fully insured:</t>
    </r>
    <r>
      <rPr>
        <sz val="10"/>
        <color rgb="FF4C5B52"/>
        <rFont val="Arial"/>
        <family val="2"/>
      </rPr>
      <t xml:space="preserve">
</t>
    </r>
    <r>
      <rPr>
        <sz val="10"/>
        <color theme="1"/>
        <rFont val="Arial"/>
        <family val="2"/>
      </rPr>
      <t>Under a Fully Insured arrangement, the insurance carrier takes on the entire risk for claim payments and required reserves. You are not responsible for any deficits that may occur based on your premium to claim ratios, however you also do not participate in any surpluses that may exist during the period. Deficits and surpluses are not carried forward from one period to another.</t>
    </r>
    <r>
      <rPr>
        <sz val="10"/>
        <color rgb="FF4C5B52"/>
        <rFont val="Arial"/>
        <family val="2"/>
      </rPr>
      <t xml:space="preserve">
</t>
    </r>
  </si>
  <si>
    <r>
      <rPr>
        <i/>
        <sz val="10"/>
        <color rgb="FFFF0000"/>
        <rFont val="Arial"/>
        <family val="2"/>
      </rPr>
      <t>OR If Refund accounting:</t>
    </r>
    <r>
      <rPr>
        <i/>
        <sz val="10"/>
        <color rgb="FF4C5B52"/>
        <rFont val="Arial"/>
        <family val="2"/>
      </rPr>
      <t xml:space="preserve">
</t>
    </r>
    <r>
      <rPr>
        <sz val="10"/>
        <color theme="1"/>
        <rFont val="Arial"/>
        <family val="2"/>
      </rPr>
      <t xml:space="preserve">Under a Refund Accounting model, the carrier insures the benefits and is ultimately responsible for setting annual premium rate levels. On an annual basis the carrier completes an accounting of premiums versus claims reimbursements and expenses with a portion of any resulting surplus credited back to you, and any resulting deficit carried forward to be recovered against future surpluses. Typically, surplus amounts would be credited immediately to first fund reserves and then be available for withdrawal. Deficits would typically be recoverable over a two to three year term depending on the size of said deficit; that is to say that there would be a specific deficit recovery margin built into the rates when the renewal rates are calculated. This type of arrangement is typically offered in conjunction with an insured pooling benefit designed to remove any catastrophic claims from the annual accounting. </t>
    </r>
    <r>
      <rPr>
        <i/>
        <sz val="10"/>
        <color rgb="FF4C5B52"/>
        <rFont val="Arial"/>
        <family val="2"/>
      </rPr>
      <t xml:space="preserve">
</t>
    </r>
  </si>
  <si>
    <t>The renewal rates for Experience Rated benefits are based upon a combination of the following:</t>
  </si>
  <si>
    <r>
      <t>·</t>
    </r>
    <r>
      <rPr>
        <sz val="7"/>
        <color theme="1"/>
        <rFont val="Times New Roman"/>
        <family val="1"/>
      </rPr>
      <t xml:space="preserve">         </t>
    </r>
    <r>
      <rPr>
        <sz val="10"/>
        <color theme="1"/>
        <rFont val="Arial"/>
        <family val="2"/>
      </rPr>
      <t>Reserves, inflation, fluctuations in utilization, fee guide adjustments;</t>
    </r>
  </si>
  <si>
    <t>The following chart summarizes the current carrier proposed &amp; negotiated renewal results</t>
  </si>
  <si>
    <t># of Claimants</t>
  </si>
  <si>
    <r>
      <t>Comparative Distribution</t>
    </r>
    <r>
      <rPr>
        <b/>
        <vertAlign val="superscript"/>
        <sz val="9"/>
        <color theme="0"/>
        <rFont val="Arial"/>
        <family val="2"/>
      </rPr>
      <t>1</t>
    </r>
  </si>
  <si>
    <r>
      <t xml:space="preserve">1 Comparative distribution based on Sun Life data for the period ending </t>
    </r>
    <r>
      <rPr>
        <i/>
        <sz val="9"/>
        <color rgb="FFFF0000"/>
        <rFont val="Arial"/>
        <family val="2"/>
      </rPr>
      <t>Date</t>
    </r>
    <r>
      <rPr>
        <i/>
        <sz val="9"/>
        <color theme="1"/>
        <rFont val="Arial"/>
        <family val="2"/>
      </rPr>
      <t xml:space="preserve">. Your comparative group is drawn from groups in the </t>
    </r>
    <r>
      <rPr>
        <i/>
        <sz val="9"/>
        <color rgb="FFFF0000"/>
        <rFont val="Arial"/>
        <family val="2"/>
      </rPr>
      <t xml:space="preserve">Industry </t>
    </r>
    <r>
      <rPr>
        <i/>
        <sz val="9"/>
        <color theme="1"/>
        <rFont val="Arial"/>
        <family val="2"/>
      </rPr>
      <t xml:space="preserve">Industry with </t>
    </r>
    <r>
      <rPr>
        <i/>
        <sz val="9"/>
        <color rgb="FFFF0000"/>
        <rFont val="Arial"/>
        <family val="2"/>
      </rPr>
      <t>SIZE BRACKET</t>
    </r>
    <r>
      <rPr>
        <i/>
        <sz val="9"/>
        <color theme="1"/>
        <rFont val="Arial"/>
        <family val="2"/>
      </rPr>
      <t xml:space="preserve"> employees</t>
    </r>
  </si>
  <si>
    <t>Number of Employees</t>
  </si>
  <si>
    <t>Per Employee Allotment</t>
  </si>
  <si>
    <t>Total Allotment</t>
  </si>
  <si>
    <t>Number of Employees Claiming</t>
  </si>
  <si>
    <t>% of Employees Claiming</t>
  </si>
  <si>
    <t>Number of Employees Not Claiming</t>
  </si>
  <si>
    <t>% of Employees Not Claiming</t>
  </si>
  <si>
    <t>Use if different allocation for Single &amp; Family</t>
  </si>
  <si>
    <t>HCSA Amount Unused During the Period</t>
  </si>
  <si>
    <t>COVID-19</t>
  </si>
  <si>
    <t>According to the 2019 Conference Board of Canada survey, the cost of employee benefits equates to approximately 4.43% of payroll, on average. This includes both employee and employer contributions and excludes Health Care Spending Account and any self-insured and paid salary continuation program costs.</t>
  </si>
  <si>
    <t xml:space="preserve">In response to Covid-19, the Federal and Provincial governments have enacted a number of changes to legislation on an emergency basis to support business and individuals throughout this unprecedented time. In addition, insurance carriers have been announcing various support programs for benefit plans.  The nature of the financial support measures depends on the financial accounting arrangement in place for specific employers.  NFP is happy to work with you to identify specific needs pertaining to your benefit program such as:
        Extending Continuation of Coverage for those laid off
        Eliminating minimum hours restriction on a temporary basis
        Premium relief or benefit suspension measures that may be necessary on a short term basis
        Considering virtual care, Employee Assistance program support and other mental health initiatives 
           available to support your employees
</t>
  </si>
  <si>
    <t>65 +</t>
  </si>
  <si>
    <t>HCSA Reconciliation</t>
  </si>
  <si>
    <t>% of Total Allotment Unused</t>
  </si>
  <si>
    <r>
      <t>·</t>
    </r>
    <r>
      <rPr>
        <sz val="7"/>
        <color rgb="FFFF0000"/>
        <rFont val="Times New Roman"/>
        <family val="1"/>
      </rPr>
      <t xml:space="preserve">         </t>
    </r>
    <r>
      <rPr>
        <i/>
        <sz val="10"/>
        <color rgb="FFFF0000"/>
        <rFont val="Arial"/>
        <family val="2"/>
      </rPr>
      <t>Your group's own claims experience</t>
    </r>
  </si>
  <si>
    <t>Beacon Mental Health</t>
  </si>
  <si>
    <r>
      <t xml:space="preserve">Implement HumanaCare </t>
    </r>
    <r>
      <rPr>
        <sz val="9"/>
        <color rgb="FFFF0000"/>
        <rFont val="Arial"/>
        <family val="2"/>
      </rPr>
      <t>($2 per individual)</t>
    </r>
  </si>
  <si>
    <t>Alt SP - Beacon Mental Health</t>
  </si>
  <si>
    <r>
      <t xml:space="preserve">Implement Akira </t>
    </r>
    <r>
      <rPr>
        <sz val="9"/>
        <color rgb="FFFF0000"/>
        <rFont val="Arial"/>
        <family val="2"/>
      </rPr>
      <t>($5.50 per individual)</t>
    </r>
  </si>
  <si>
    <r>
      <t xml:space="preserve">Implement Health NAV </t>
    </r>
    <r>
      <rPr>
        <sz val="9"/>
        <color rgb="FFFF0000"/>
        <rFont val="Arial"/>
        <family val="2"/>
      </rPr>
      <t>($1 per individual)</t>
    </r>
  </si>
  <si>
    <r>
      <t xml:space="preserve">Implement Health NAV Plus </t>
    </r>
    <r>
      <rPr>
        <sz val="9"/>
        <color rgb="FFFF0000"/>
        <rFont val="Arial"/>
        <family val="2"/>
      </rPr>
      <t>($1.5 per individual)</t>
    </r>
  </si>
  <si>
    <r>
      <t xml:space="preserve">Implement Beacon Mental Health </t>
    </r>
    <r>
      <rPr>
        <sz val="9"/>
        <color rgb="FFFF0000"/>
        <rFont val="Arial"/>
        <family val="2"/>
      </rPr>
      <t>($3.75 per individual for groups over 50 lives only)</t>
    </r>
  </si>
  <si>
    <t>Plan Administrator Guidelines</t>
  </si>
  <si>
    <t>In an effort to avoid any unforeseen administrative errors and ensure that employees have a positive experience with the benefit plan, below are a few important guidelines.   These guidelines do not replace any contractual provisions with your insurance carrier but rather meant to serve as a general guideline to help support strong compliance of the benefit program.</t>
  </si>
  <si>
    <t xml:space="preserve">Enrolment </t>
  </si>
  <si>
    <t>Beneficiary Updates</t>
  </si>
  <si>
    <t>• Ensure all eligible employees complete an enrollment form and are added to the plan within 31 days of satisfying their waiting period.</t>
  </si>
  <si>
    <t xml:space="preserve">• Employees should be reminded on an annual basis to update their beneficiary. If no beneficiary is designated proceeds would be paid to the employee's estate which would result in the benefit amount being taxed. </t>
  </si>
  <si>
    <t xml:space="preserve">Salary Updates </t>
  </si>
  <si>
    <t xml:space="preserve">• It is important to keep salaries updated for salary based benefits such as Life Insurance and Long Term Disability </t>
  </si>
  <si>
    <t xml:space="preserve">• Failure to keep salaries current could result in an employee or beneficiary receiving less than expected and a liability for the employer. </t>
  </si>
  <si>
    <t xml:space="preserve">Overage Dependents </t>
  </si>
  <si>
    <t xml:space="preserve">• Dependent Children are typically covered until age 25 (26 in Quebec) if they are a full time student or 21 if no longer in school </t>
  </si>
  <si>
    <t xml:space="preserve">• Employees should be reminded at the beginning of each school year to advise if their child is returning to school </t>
  </si>
  <si>
    <t xml:space="preserve">Life Events </t>
  </si>
  <si>
    <t>• Members have 31 days to apply for changes in their coverage</t>
  </si>
  <si>
    <t>• Life events can include - marriage, divorce, adding a dependent, loss of spousal coverage.</t>
  </si>
  <si>
    <t xml:space="preserve">• If there is a failure by the employee to notify the Plan Administrator, late applicant rules may apply </t>
  </si>
  <si>
    <t>Taxation of Benefit Premium</t>
  </si>
  <si>
    <t>Opting Out of Health and Dental Due to Spousal Coverage</t>
  </si>
  <si>
    <t>• In most plans, employees can opt out of health and dental coverage  only if they have similar coverage under their spouse</t>
  </si>
  <si>
    <t xml:space="preserve">Late Applicant </t>
  </si>
  <si>
    <t xml:space="preserve">• Employees and/or their dependents who apply for coverage more than 31 days after being eligible are deemed late applicants </t>
  </si>
  <si>
    <t>• Evidence of good health is required and if approved benefits may be limited</t>
  </si>
  <si>
    <t>• Before offering continuation of coverage for terminated/severed employees, contact your Consultant</t>
  </si>
  <si>
    <t>• Ensure employees are provided with information from the insurance provider to convert their Life, health and dental insurance</t>
  </si>
  <si>
    <t>Company Policy on Continuation of Coverage for Disabled Employees</t>
  </si>
  <si>
    <t>• Establish and communicate a company policy regarding the length of time health and dental benefits will continue for a disabled employee</t>
  </si>
  <si>
    <t xml:space="preserve">Optional Benefits </t>
  </si>
  <si>
    <t>• If your plan offers Optional Benefits such as Optional Life, Optional Spousal Life or Optional Critical Illness, ensure the employees are aware of the voluntary coverage</t>
  </si>
  <si>
    <t xml:space="preserve">• A key element of administration is also ensuring that you deduct the proper amounts on payroll.   The optional life rates change periodically based on the age of the employee so it is important to have a process in place to identify these changes. </t>
  </si>
  <si>
    <t>• If an employee is eligible for coverage higher than the non evidence limit, ensure they are properly notified of their opportunity to apply for the excess coverage</t>
  </si>
  <si>
    <t>• Generally speaking, if the employee pays the entire cost of the Long Term Disability premium and associated taxes, the LTD benefit is non taxable when received.  If the employer pays all or a portion of the premium, the benefit would be taxable to the employee when received.</t>
  </si>
  <si>
    <t xml:space="preserve">Billing </t>
  </si>
  <si>
    <t xml:space="preserve">•Check your billing each month to ensure that all changes/additions/terminations have been processed correctly </t>
  </si>
  <si>
    <t>• If an employee becomes disabled,  they may be eligible for Life Insurance premium waiver .   If your plan has Long Term Disability and Life insurance with the same provider, the approval process would include both Long Term Disability and Life waiver.   However, if your Life insurance is with a different provider than LTD, separate applications will need to occur.</t>
  </si>
  <si>
    <t>Non-Evidence Limits</t>
  </si>
  <si>
    <t xml:space="preserve">Tax Status of Long Term Disability (LTD) Benefits </t>
  </si>
  <si>
    <t>• Employer Paid Premiums (including tax) for Life Insurance, A.D. &amp;D, and Dependent Life are taxable premiums and should be included in the employee's earnings.   Currently, in the province of Quebec, employer contributions to Health, Dental and Health Spending accounts are also considered taxable income to the employee.</t>
  </si>
  <si>
    <t>• Any employee contributions to premiums for these benefits are not considered taxable income to the employee</t>
  </si>
  <si>
    <t>• If a minor is designated as a beneficiary, a trustee should be appointed</t>
  </si>
  <si>
    <t>Terminating Employees</t>
  </si>
  <si>
    <t>• Application should be made typically after 3 months of absence</t>
  </si>
  <si>
    <t>• A non- evidence limit is the highest amount that an insurer will provide without having to complete a medical questionnaire for excess coverage</t>
  </si>
  <si>
    <t>• Employee can only re-apply for these benefits if spouse has lost coverage within 31 days of the request otherwise they are treated as a late applicant</t>
  </si>
  <si>
    <t>Plan Administrator Guidelines…………..………...……………………………………………………………………………………………………..</t>
  </si>
  <si>
    <t>Health Care Spending Account</t>
  </si>
  <si>
    <t>Provided below is a breakdown of your HCSA claims over the current and prior experience period.</t>
  </si>
  <si>
    <t>Special Benefits</t>
  </si>
  <si>
    <t xml:space="preserve"> Drugs</t>
  </si>
  <si>
    <t>Other</t>
  </si>
  <si>
    <t>Complete this page if requested &amp; information is available from the carrier</t>
  </si>
  <si>
    <t>Alt SP - Bundles</t>
  </si>
  <si>
    <t>NFP Wellness Bundle</t>
  </si>
  <si>
    <r>
      <t xml:space="preserve">Implement NFP Wellness Bundle </t>
    </r>
    <r>
      <rPr>
        <sz val="9"/>
        <color rgb="FFFF0000"/>
        <rFont val="Arial"/>
        <family val="2"/>
      </rPr>
      <t>($8.6 per individual)</t>
    </r>
  </si>
  <si>
    <t>Plan Administrator Guidelines (Continued)</t>
  </si>
  <si>
    <t>Covid-19 Effects on Experience Rated Benefits</t>
  </si>
  <si>
    <t>The insurer predictive models do not take into consideration any premium relief that was provided through this period.</t>
  </si>
  <si>
    <t>Hide columns in final!!</t>
  </si>
  <si>
    <t>EHC 1</t>
  </si>
  <si>
    <t>EHC 2</t>
  </si>
  <si>
    <t>Reduction by carrier for Fully Insured</t>
  </si>
  <si>
    <t>March</t>
  </si>
  <si>
    <t>April</t>
  </si>
  <si>
    <t>May</t>
  </si>
  <si>
    <t>June</t>
  </si>
  <si>
    <t>July</t>
  </si>
  <si>
    <t>If Monthly Available/Populated</t>
  </si>
  <si>
    <t>If Monthly Not Available/Populated</t>
  </si>
  <si>
    <t>Approximate Credit</t>
  </si>
  <si>
    <t>Monthly available?</t>
  </si>
  <si>
    <t>Discounted EHC Premium</t>
  </si>
  <si>
    <t>Discounted Dental Premium</t>
  </si>
  <si>
    <t>Sun Life</t>
  </si>
  <si>
    <t>Canada Life</t>
  </si>
  <si>
    <t>No</t>
  </si>
  <si>
    <t>Yes (Med- useless)</t>
  </si>
  <si>
    <t>Empire</t>
  </si>
  <si>
    <t>Unknown</t>
  </si>
  <si>
    <t>Yes (12 months rolling)</t>
  </si>
  <si>
    <t>Blue Cross</t>
  </si>
  <si>
    <t>Yes LAP</t>
  </si>
  <si>
    <t>Yes (requested)</t>
  </si>
  <si>
    <t>DFS</t>
  </si>
  <si>
    <t>Manulife</t>
  </si>
  <si>
    <t xml:space="preserve">Possibly </t>
  </si>
  <si>
    <t>Victor</t>
  </si>
  <si>
    <t>Yes, but time consuming.</t>
  </si>
  <si>
    <t>Equitable</t>
  </si>
  <si>
    <t>Co-op</t>
  </si>
  <si>
    <t>iA</t>
  </si>
  <si>
    <t>RBC</t>
  </si>
  <si>
    <t>Yes (GSC system - adjusted)</t>
  </si>
  <si>
    <t>RWAM</t>
  </si>
  <si>
    <t>N/a - adjusted in system</t>
  </si>
  <si>
    <t>If Monthly Not Available (Avg)</t>
  </si>
  <si>
    <t>Output Destination (once calculated for Carrier)</t>
  </si>
  <si>
    <t>EHC Premiums</t>
  </si>
  <si>
    <t>Use average above if monthly not available. Only populate Total in monthly page</t>
  </si>
  <si>
    <t>EHC Credit</t>
  </si>
  <si>
    <t>Dental Credit</t>
  </si>
  <si>
    <t>EHC Credit (rounded)</t>
  </si>
  <si>
    <t>Dental Credit (rounded)</t>
  </si>
  <si>
    <t>3 months total</t>
  </si>
  <si>
    <t>Pooled Premium</t>
  </si>
  <si>
    <t>Assuming flat Pooling Charge for the period &amp; applied to EHC Premium</t>
  </si>
  <si>
    <t>General Input !!!</t>
  </si>
  <si>
    <t># of months</t>
  </si>
  <si>
    <t>*Premiums calculated net of pooled (EHC)</t>
  </si>
  <si>
    <t>**Canada Life EHC Relief for April is estimated at 10% (actual is 20% on Vision &amp; Medical excluding Drugs)</t>
  </si>
  <si>
    <t>Steps</t>
  </si>
  <si>
    <t>Step 1</t>
  </si>
  <si>
    <t xml:space="preserve">Populate Monthly breakdown (if available) on previous page (DO NOT CHANGE FORMAT OF DATE, only populate respective months &amp; hide the rest). If not available populate the total Premiums &amp; Claims &amp; Adjust the bold comment in first paragraph on the monthly page </t>
  </si>
  <si>
    <t>Step 2</t>
  </si>
  <si>
    <r>
      <t xml:space="preserve">Populate yellow fields in General Input above (# of months important if estimate based on averages. </t>
    </r>
    <r>
      <rPr>
        <b/>
        <sz val="11"/>
        <color rgb="FFFF0000"/>
        <rFont val="Calibri"/>
        <family val="2"/>
        <scheme val="minor"/>
      </rPr>
      <t>If EHC pooling charge excluded from monthly breakdown put 0</t>
    </r>
    <r>
      <rPr>
        <sz val="11"/>
        <color rgb="FFFF0000"/>
        <rFont val="Calibri"/>
        <family val="2"/>
        <scheme val="minor"/>
      </rPr>
      <t>)</t>
    </r>
  </si>
  <si>
    <t>Step 3</t>
  </si>
  <si>
    <t>Locate respective carrier above &amp; identify the relevant (if based on average or by month) output</t>
  </si>
  <si>
    <t>Step 4</t>
  </si>
  <si>
    <t>Copy the output in respective green fields</t>
  </si>
  <si>
    <t>Step 5</t>
  </si>
  <si>
    <t>Hide the page &amp; adjust the comment page according to requirement</t>
  </si>
  <si>
    <t>If Fully Insured</t>
  </si>
  <si>
    <t>If Refund or ASO:</t>
  </si>
  <si>
    <t xml:space="preserve">*Covid-19 has affected recent claim activity due to the temporary closure of many dental and health practitioner offices.  For fully insured contracts, carriers offered premium credits for the months which were impacted the greatest, typically April, May and June 2020.
</t>
  </si>
  <si>
    <t>Covid-19 Effects on Experience Rated Benefits…….………………………………………………………………………………………………………</t>
  </si>
  <si>
    <r>
      <t xml:space="preserve">Following the temporary closure of many dental and health practitioner offices during Covid-19, the majority of organizations observed favorable claims experience during that period. </t>
    </r>
    <r>
      <rPr>
        <sz val="10"/>
        <color rgb="FFFF0000"/>
        <rFont val="Arial"/>
        <family val="2"/>
      </rPr>
      <t>The chart below shows the experience month by month so you can see the impact that the closures had on claiming patterns in the months of March, April, May and to some extent even in June 2020.</t>
    </r>
    <r>
      <rPr>
        <sz val="10"/>
        <color theme="1"/>
        <rFont val="Arial"/>
        <family val="2"/>
      </rPr>
      <t> This is most prevalent on the dental benefit.
While organizations may anticipate lower pricing at renewal as a result of these claim reductions, it is important to note that when preparing renewal calculations, insurance providers are looking to set a premium that will cover the expected claims and expenses for the coming year. Typically, past experience is used as the base line after adjusting for trend/utilization.  Depending on size, a level of credibility will apply to an organization’s own experience. In March, April &amp; May 2020, claims dropped due to Covid-19 and the restrictions on dental, paramedical, and vision care providers. These temporary restrictions created a gap in the 2020 data, making it unreliable for predicting future claims levels. Therefore,  we are seeing insurance providers adjust their models to either:
•  exclude the experience for March, April and May 2020
•  apply an adjustment (claims normalization factor) to those months</t>
    </r>
  </si>
  <si>
    <t>Populate if Pooling Charge included in Premium. If EHC premium is net of pooled keep 0</t>
  </si>
  <si>
    <t>If Fully Insured RWAM or Green Shield</t>
  </si>
  <si>
    <t>If CADA Plan (use billings to update total premium credit)</t>
  </si>
  <si>
    <r>
      <t xml:space="preserve">*Due to the COVID-19 crisis, CADA implemented emergency premium relief for dealers participating in the CADA 360 Employee Benefits Plan by completely waiving premiums due for April and May 2020.  This relief measure represented a reduction in your premium paid of approximately </t>
    </r>
    <r>
      <rPr>
        <sz val="10"/>
        <color rgb="FFFF0000"/>
        <rFont val="Arial"/>
        <family val="2"/>
      </rPr>
      <t xml:space="preserve">$XXX </t>
    </r>
    <r>
      <rPr>
        <sz val="10"/>
        <color theme="1"/>
        <rFont val="Arial"/>
        <family val="2"/>
      </rPr>
      <t xml:space="preserve">for this report period. It is important to note that the above results do not reflect the premium relief. With COVID-19 affecting claim activity due to the temporary closure of many health and dental practitioner offices, the Loss Ratios for EHC and Dental Care are understated. </t>
    </r>
  </si>
  <si>
    <r>
      <t xml:space="preserve">Effective January 1, 2020 OHIP will no longer cover any Out of Country (OOC) Emergency care. Only OOC Dialysis services will be covered under OHIP </t>
    </r>
    <r>
      <rPr>
        <b/>
        <sz val="10"/>
        <color theme="1"/>
        <rFont val="Arial"/>
        <family val="2"/>
      </rPr>
      <t>(as of September 27 court ruling overturned the decision. Update is pending)</t>
    </r>
    <r>
      <rPr>
        <sz val="10"/>
        <color theme="1"/>
        <rFont val="Arial"/>
        <family val="2"/>
      </rPr>
      <t>.</t>
    </r>
  </si>
  <si>
    <t>INSERT ANY ADDITIONAL PERTINENT POOLED CLAIM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</si>
</sst>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7" formatCode="&quot;$&quot;#,##0.00_);\(&quot;$&quot;#,##0.00\)"/>
    <numFmt numFmtId="44" formatCode="_(&quot;$&quot;* #,##0.00_);_(&quot;$&quot;* \(#,##0.00\);_(&quot;$&quot;* &quot;-&quot;??_);_(@_)"/>
    <numFmt numFmtId="43" formatCode="_(* #,##0.00_);_(* \(#,##0.00\);_(* &quot;-&quot;??_);_(@_)"/>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quot;$&quot;#,##0"/>
    <numFmt numFmtId="169" formatCode="0.0%"/>
    <numFmt numFmtId="170" formatCode="&quot;$&quot;#,##0.00"/>
    <numFmt numFmtId="171" formatCode="_-&quot;$&quot;* #,##0.000_-;\-&quot;$&quot;* #,##0.000_-;_-&quot;$&quot;* &quot;-&quot;???_-;_-@_-"/>
    <numFmt numFmtId="172" formatCode="[$-F800]dddd\,\ mmmm\ dd\,\ yyyy"/>
    <numFmt numFmtId="173" formatCode="[$-1009]mmmm\ d\,\ yyyy;@"/>
    <numFmt numFmtId="174" formatCode="0.0"/>
    <numFmt numFmtId="175" formatCode="[$-409]mmmm\ d\,\ yyyy;@"/>
    <numFmt numFmtId="176" formatCode="[$-409]d\-mmm\-yy;@"/>
    <numFmt numFmtId="177" formatCode="_ * #,##0\ &quot;$&quot;_ ;_ * #,##0\ &quot;$&quot;_ ;_ * &quot;-&quot;??\ &quot;$&quot;_ ;_ @_ "/>
    <numFmt numFmtId="178" formatCode="_ &quot;$&quot;* #,##0.00_ ;_ &quot;$&quot;* \-#,##0.00_ ;_ &quot;$&quot;* &quot;-&quot;??_ ;_ @_ "/>
    <numFmt numFmtId="179" formatCode="&quot;$&quot;#,##0.000"/>
    <numFmt numFmtId="180" formatCode="_-&quot;$&quot;* #,##0_-;\-&quot;$&quot;* #,##0_-;_-&quot;$&quot;* &quot;-&quot;??_-;_-@_-"/>
    <numFmt numFmtId="181" formatCode="_(* #,##0_);_(* \(#,##0\);_(* &quot;-&quot;??_);_(@_)"/>
    <numFmt numFmtId="182" formatCode="[$-409]mmm\-yy;@"/>
    <numFmt numFmtId="183" formatCode="_-[$$-1009]* #,##0_-;\-[$$-1009]* #,##0_-;_-[$$-1009]* &quot;-&quot;??_-;_-@_-"/>
    <numFmt numFmtId="184" formatCode="_-[$$-1009]* #,##0.00_-;\-[$$-1009]* #,##0.00_-;_-[$$-1009]* &quot;-&quot;??_-;_-@_-"/>
    <numFmt numFmtId="185" formatCode="_-&quot;$&quot;* #,##0.0_-;\-&quot;$&quot;* #,##0.0_-;_-&quot;$&quot;* &quot;-&quot;??_-;_-@_-"/>
  </numFmts>
  <fonts count="123">
    <font>
      <sz val="11"/>
      <color theme="1"/>
      <name val="Calibri"/>
      <family val="2"/>
      <scheme val="minor"/>
    </font>
    <font>
      <sz val="11"/>
      <color theme="1"/>
      <name val="Calibri"/>
      <family val="2"/>
      <scheme val="minor"/>
    </font>
    <font>
      <sz val="12"/>
      <color theme="1"/>
      <name val="Times New Roman"/>
      <family val="1"/>
    </font>
    <font>
      <sz val="10"/>
      <color rgb="FF5E6E66"/>
      <name val="Arial"/>
      <family val="2"/>
    </font>
    <font>
      <sz val="9"/>
      <color theme="1"/>
      <name val="Arial"/>
      <family val="2"/>
    </font>
    <font>
      <sz val="9"/>
      <color rgb="FF4D4D4D"/>
      <name val="Arial"/>
      <family val="2"/>
    </font>
    <font>
      <b/>
      <sz val="9"/>
      <color theme="1"/>
      <name val="Arial"/>
      <family val="2"/>
    </font>
    <font>
      <b/>
      <sz val="16"/>
      <color rgb="FF49A942"/>
      <name val="Arial"/>
      <family val="2"/>
    </font>
    <font>
      <sz val="10"/>
      <color theme="1"/>
      <name val="Arial"/>
      <family val="2"/>
    </font>
    <font>
      <sz val="10"/>
      <name val="Arial"/>
      <family val="2"/>
    </font>
    <font>
      <u/>
      <sz val="11"/>
      <color theme="10"/>
      <name val="Calibri"/>
      <family val="2"/>
      <scheme val="minor"/>
    </font>
    <font>
      <sz val="10"/>
      <color rgb="FF4D4D4D"/>
      <name val="Arial"/>
      <family val="2"/>
    </font>
    <font>
      <b/>
      <sz val="10"/>
      <color rgb="FF4C5B52"/>
      <name val="Arial"/>
      <family val="2"/>
    </font>
    <font>
      <b/>
      <sz val="9"/>
      <color rgb="FF5E6E66"/>
      <name val="Arial"/>
      <family val="2"/>
    </font>
    <font>
      <b/>
      <sz val="10"/>
      <color rgb="FFFFFFFF"/>
      <name val="Arial"/>
      <family val="2"/>
    </font>
    <font>
      <b/>
      <sz val="9"/>
      <color rgb="FFFFFFFF"/>
      <name val="Arial"/>
      <family val="2"/>
    </font>
    <font>
      <b/>
      <sz val="9"/>
      <color rgb="FF4C5B52"/>
      <name val="Arial"/>
      <family val="2"/>
    </font>
    <font>
      <sz val="9"/>
      <color rgb="FF4C5B52"/>
      <name val="Arial"/>
      <family val="2"/>
    </font>
    <font>
      <sz val="10"/>
      <color rgb="FF4C5B52"/>
      <name val="Arial"/>
      <family val="2"/>
    </font>
    <font>
      <sz val="10"/>
      <color rgb="FF4C5B52"/>
      <name val="Symbol"/>
      <family val="1"/>
      <charset val="2"/>
    </font>
    <font>
      <sz val="7"/>
      <color rgb="FF4C5B52"/>
      <name val="Times New Roman"/>
      <family val="1"/>
    </font>
    <font>
      <i/>
      <sz val="10"/>
      <color rgb="FF4C5B52"/>
      <name val="Arial"/>
      <family val="2"/>
    </font>
    <font>
      <b/>
      <sz val="11"/>
      <color rgb="FF4C5B52"/>
      <name val="Arial"/>
      <family val="2"/>
    </font>
    <font>
      <b/>
      <sz val="9"/>
      <color rgb="FF49A942"/>
      <name val="Arial"/>
      <family val="2"/>
    </font>
    <font>
      <b/>
      <sz val="12"/>
      <color rgb="FF4C5B52"/>
      <name val="Arial"/>
      <family val="2"/>
    </font>
    <font>
      <sz val="9"/>
      <color theme="1"/>
      <name val="Calibri"/>
      <family val="2"/>
      <scheme val="minor"/>
    </font>
    <font>
      <sz val="10"/>
      <color theme="1"/>
      <name val="Calibri"/>
      <family val="2"/>
      <scheme val="minor"/>
    </font>
    <font>
      <b/>
      <sz val="9"/>
      <color theme="0"/>
      <name val="Arial"/>
      <family val="2"/>
    </font>
    <font>
      <b/>
      <sz val="10"/>
      <color theme="0"/>
      <name val="Arial"/>
      <family val="2"/>
    </font>
    <font>
      <b/>
      <sz val="11"/>
      <color rgb="FF4D4D4D"/>
      <name val="Arial"/>
      <family val="2"/>
    </font>
    <font>
      <b/>
      <sz val="9"/>
      <color indexed="9"/>
      <name val="Arial"/>
      <family val="2"/>
    </font>
    <font>
      <sz val="10"/>
      <color rgb="FFFF0000"/>
      <name val="Arial"/>
      <family val="2"/>
    </font>
    <font>
      <b/>
      <sz val="10"/>
      <color rgb="FF49A942"/>
      <name val="Arial"/>
      <family val="2"/>
    </font>
    <font>
      <i/>
      <sz val="9"/>
      <color rgb="FFFF0000"/>
      <name val="Arial"/>
      <family val="2"/>
    </font>
    <font>
      <sz val="7"/>
      <color rgb="FFFF0000"/>
      <name val="Times New Roman"/>
      <family val="1"/>
    </font>
    <font>
      <b/>
      <sz val="9"/>
      <color rgb="FF4D4D4D"/>
      <name val="Arial"/>
      <family val="2"/>
    </font>
    <font>
      <u/>
      <sz val="10"/>
      <color indexed="12"/>
      <name val="Arial"/>
      <family val="2"/>
    </font>
    <font>
      <sz val="11"/>
      <color theme="1"/>
      <name val="Arial"/>
      <family val="2"/>
    </font>
    <font>
      <i/>
      <sz val="10"/>
      <color rgb="FFFF0000"/>
      <name val="Arial"/>
      <family val="2"/>
    </font>
    <font>
      <sz val="10"/>
      <color rgb="FFFF0000"/>
      <name val="Symbol"/>
      <family val="1"/>
      <charset val="2"/>
    </font>
    <font>
      <i/>
      <sz val="9"/>
      <color rgb="FF4C5B52"/>
      <name val="Arial"/>
      <family val="2"/>
    </font>
    <font>
      <sz val="10"/>
      <color rgb="FF008000"/>
      <name val="Arial"/>
      <family val="2"/>
    </font>
    <font>
      <b/>
      <sz val="10"/>
      <color rgb="FFFF0000"/>
      <name val="Arial"/>
      <family val="2"/>
    </font>
    <font>
      <sz val="9"/>
      <color rgb="FF4C5B52"/>
      <name val="Symbol"/>
      <family val="1"/>
      <charset val="2"/>
    </font>
    <font>
      <sz val="11"/>
      <color rgb="FF4C5B52"/>
      <name val="Calibri"/>
      <family val="2"/>
      <scheme val="minor"/>
    </font>
    <font>
      <b/>
      <sz val="12"/>
      <color rgb="FF49A942"/>
      <name val="Arial"/>
      <family val="2"/>
    </font>
    <font>
      <sz val="12"/>
      <color rgb="FF4C5B52"/>
      <name val="Arial"/>
      <family val="2"/>
    </font>
    <font>
      <b/>
      <vertAlign val="superscript"/>
      <sz val="9"/>
      <color theme="0"/>
      <name val="Arial"/>
      <family val="2"/>
    </font>
    <font>
      <sz val="9"/>
      <color rgb="FF5E6E66"/>
      <name val="Arial"/>
      <family val="2"/>
    </font>
    <font>
      <sz val="10"/>
      <name val="Arial"/>
      <family val="2"/>
    </font>
    <font>
      <b/>
      <u/>
      <sz val="16"/>
      <name val="HelveticaNeueLT Std"/>
      <family val="2"/>
    </font>
    <font>
      <sz val="10"/>
      <name val="HelveticaNeueLT Std"/>
      <family val="2"/>
    </font>
    <font>
      <b/>
      <sz val="10"/>
      <name val="HelveticaNeueLT Std"/>
      <family val="2"/>
    </font>
    <font>
      <sz val="10"/>
      <name val="Wingdings"/>
      <charset val="2"/>
    </font>
    <font>
      <b/>
      <sz val="9"/>
      <name val="HelveticaNeueLT Std"/>
      <family val="2"/>
    </font>
    <font>
      <sz val="12"/>
      <name val="Wingdings"/>
      <charset val="2"/>
    </font>
    <font>
      <b/>
      <i/>
      <sz val="10"/>
      <name val="HelveticaNeueLT Std"/>
      <family val="2"/>
    </font>
    <font>
      <b/>
      <u/>
      <sz val="10"/>
      <name val="HelveticaNeueLT Std"/>
      <family val="2"/>
    </font>
    <font>
      <sz val="8"/>
      <name val="HelveticaNeueLT Std"/>
      <family val="2"/>
    </font>
    <font>
      <b/>
      <sz val="8"/>
      <color rgb="FFFF0000"/>
      <name val="HelveticaNeueLT Std"/>
      <family val="2"/>
    </font>
    <font>
      <b/>
      <sz val="8"/>
      <name val="HelveticaNeueLT Std"/>
      <family val="2"/>
    </font>
    <font>
      <b/>
      <sz val="12"/>
      <name val="HelveticaNeueLT Std"/>
      <family val="2"/>
    </font>
    <font>
      <sz val="12"/>
      <name val="Calibri"/>
      <family val="2"/>
      <scheme val="minor"/>
    </font>
    <font>
      <sz val="11"/>
      <color rgb="FF000000"/>
      <name val="Calibri"/>
      <family val="2"/>
    </font>
    <font>
      <sz val="11"/>
      <color theme="0"/>
      <name val="Calibri"/>
      <family val="2"/>
      <scheme val="minor"/>
    </font>
    <font>
      <sz val="9"/>
      <color theme="0"/>
      <name val="Calibri"/>
      <family val="2"/>
      <scheme val="minor"/>
    </font>
    <font>
      <sz val="9"/>
      <color theme="0"/>
      <name val="Arial"/>
      <family val="2"/>
    </font>
    <font>
      <sz val="9"/>
      <color rgb="FFFF0000"/>
      <name val="Arial"/>
      <family val="2"/>
    </font>
    <font>
      <b/>
      <sz val="10"/>
      <color rgb="FF4F9237"/>
      <name val="Arial"/>
      <family val="2"/>
    </font>
    <font>
      <b/>
      <sz val="16"/>
      <color rgb="FF4F9237"/>
      <name val="Arial"/>
      <family val="2"/>
    </font>
    <font>
      <b/>
      <sz val="9"/>
      <name val="Arial"/>
      <family val="2"/>
    </font>
    <font>
      <i/>
      <sz val="9"/>
      <color theme="1"/>
      <name val="Arial"/>
      <family val="2"/>
    </font>
    <font>
      <sz val="9"/>
      <color rgb="FF49A942"/>
      <name val="Arial"/>
      <family val="2"/>
    </font>
    <font>
      <b/>
      <sz val="16"/>
      <color rgb="FFFF0000"/>
      <name val="Arial"/>
      <family val="2"/>
    </font>
    <font>
      <sz val="8"/>
      <color rgb="FF4C5B52"/>
      <name val="Arial"/>
      <family val="2"/>
    </font>
    <font>
      <b/>
      <sz val="11"/>
      <color theme="1"/>
      <name val="Calibri"/>
      <family val="2"/>
      <scheme val="minor"/>
    </font>
    <font>
      <b/>
      <sz val="9"/>
      <color rgb="FFFF0000"/>
      <name val="Arial"/>
      <family val="2"/>
    </font>
    <font>
      <b/>
      <sz val="10"/>
      <color theme="1"/>
      <name val="Arial"/>
      <family val="2"/>
    </font>
    <font>
      <i/>
      <sz val="10"/>
      <name val="Arial"/>
      <family val="2"/>
    </font>
    <font>
      <sz val="12"/>
      <name val="DUTCH"/>
    </font>
    <font>
      <b/>
      <sz val="11"/>
      <name val="Arial"/>
      <family val="2"/>
    </font>
    <font>
      <sz val="11"/>
      <color rgb="FFFF0000"/>
      <name val="Calibri"/>
      <family val="2"/>
      <scheme val="minor"/>
    </font>
    <font>
      <sz val="8"/>
      <color theme="1"/>
      <name val="Arial"/>
      <family val="2"/>
    </font>
    <font>
      <sz val="11"/>
      <color rgb="FF4C5B52"/>
      <name val="Arial"/>
      <family val="2"/>
    </font>
    <font>
      <b/>
      <sz val="11"/>
      <color theme="1"/>
      <name val="Arial"/>
      <family val="2"/>
    </font>
    <font>
      <b/>
      <sz val="8"/>
      <color theme="1"/>
      <name val="Arial"/>
      <family val="2"/>
    </font>
    <font>
      <sz val="11"/>
      <color rgb="FFFF0000"/>
      <name val="Arial"/>
      <family val="2"/>
    </font>
    <font>
      <i/>
      <sz val="11"/>
      <color theme="1"/>
      <name val="Calibri"/>
      <family val="2"/>
      <scheme val="minor"/>
    </font>
    <font>
      <b/>
      <sz val="10"/>
      <color theme="1"/>
      <name val="Calibri"/>
      <family val="2"/>
      <scheme val="minor"/>
    </font>
    <font>
      <sz val="17"/>
      <color theme="1"/>
      <name val="Calibri"/>
      <family val="2"/>
      <scheme val="minor"/>
    </font>
    <font>
      <b/>
      <i/>
      <sz val="11"/>
      <color theme="2" tint="-0.749992370372631"/>
      <name val="Calibri"/>
      <family val="2"/>
      <scheme val="minor"/>
    </font>
    <font>
      <sz val="10"/>
      <color theme="1"/>
      <name val="Symbol"/>
      <family val="1"/>
      <charset val="2"/>
    </font>
    <font>
      <sz val="7"/>
      <color theme="1"/>
      <name val="Times New Roman"/>
      <family val="1"/>
    </font>
    <font>
      <sz val="10"/>
      <color theme="1"/>
      <name val="HelveticaNeue-Roman"/>
    </font>
    <font>
      <sz val="10"/>
      <color theme="1"/>
      <name val="HelveticaNeueLTCom-Roman"/>
    </font>
    <font>
      <i/>
      <sz val="10"/>
      <color theme="1"/>
      <name val="Arial"/>
      <family val="2"/>
    </font>
    <font>
      <b/>
      <sz val="12"/>
      <color theme="1"/>
      <name val="Arial"/>
      <family val="2"/>
    </font>
    <font>
      <b/>
      <sz val="16"/>
      <color theme="1"/>
      <name val="Arial"/>
      <family val="2"/>
    </font>
    <font>
      <b/>
      <sz val="12"/>
      <color rgb="FF4F9237"/>
      <name val="Arial"/>
      <family val="2"/>
    </font>
    <font>
      <sz val="8"/>
      <color theme="1"/>
      <name val="Calibri"/>
      <family val="2"/>
    </font>
    <font>
      <i/>
      <sz val="8"/>
      <color theme="1"/>
      <name val="Arial"/>
      <family val="2"/>
    </font>
    <font>
      <b/>
      <sz val="8"/>
      <color theme="0"/>
      <name val="Arial"/>
      <family val="2"/>
    </font>
    <font>
      <b/>
      <sz val="11"/>
      <color theme="0"/>
      <name val="Arial"/>
      <family val="2"/>
    </font>
    <font>
      <b/>
      <sz val="10"/>
      <color rgb="FF005A7F"/>
      <name val="Arial"/>
      <family val="2"/>
    </font>
    <font>
      <sz val="10"/>
      <color theme="3"/>
      <name val="Arial"/>
      <family val="2"/>
    </font>
    <font>
      <b/>
      <sz val="10"/>
      <color rgb="FF6DB33F"/>
      <name val="Arial"/>
      <family val="2"/>
    </font>
    <font>
      <b/>
      <sz val="10"/>
      <color theme="3"/>
      <name val="Arial"/>
      <family val="2"/>
    </font>
    <font>
      <sz val="10"/>
      <color rgb="FF005A7F"/>
      <name val="Arial"/>
      <family val="2"/>
    </font>
    <font>
      <u/>
      <sz val="10"/>
      <color rgb="FF4C5B52"/>
      <name val="Arial"/>
      <family val="2"/>
    </font>
    <font>
      <b/>
      <sz val="10"/>
      <color rgb="FF879637"/>
      <name val="Arial"/>
      <family val="2"/>
    </font>
    <font>
      <u/>
      <sz val="10"/>
      <color theme="1"/>
      <name val="Arial"/>
      <family val="2"/>
    </font>
    <font>
      <b/>
      <u/>
      <sz val="10"/>
      <color theme="1"/>
      <name val="Arial"/>
      <family val="2"/>
    </font>
    <font>
      <sz val="8"/>
      <color theme="1"/>
      <name val="Verdana"/>
      <family val="2"/>
    </font>
    <font>
      <sz val="10"/>
      <color rgb="FF4F9237"/>
      <name val="Arial"/>
      <family val="2"/>
    </font>
    <font>
      <sz val="12"/>
      <color theme="1"/>
      <name val="Arial"/>
      <family val="2"/>
    </font>
    <font>
      <b/>
      <sz val="14"/>
      <color rgb="FF4F9237"/>
      <name val="Arial"/>
      <family val="2"/>
    </font>
    <font>
      <b/>
      <sz val="11"/>
      <color rgb="FFFF0000"/>
      <name val="Arial"/>
      <family val="2"/>
    </font>
    <font>
      <b/>
      <i/>
      <sz val="8"/>
      <color rgb="FFFF0000"/>
      <name val="Arial"/>
      <family val="2"/>
    </font>
    <font>
      <sz val="9"/>
      <name val="Arial"/>
      <family val="2"/>
    </font>
    <font>
      <sz val="12"/>
      <name val="Times New Roman"/>
      <family val="1"/>
    </font>
    <font>
      <sz val="11"/>
      <color rgb="FF0070C0"/>
      <name val="Calibri"/>
      <family val="2"/>
      <scheme val="minor"/>
    </font>
    <font>
      <b/>
      <sz val="11"/>
      <color rgb="FFFF0000"/>
      <name val="Calibri"/>
      <family val="2"/>
      <scheme val="minor"/>
    </font>
    <font>
      <i/>
      <sz val="11"/>
      <color rgb="FFFF0000"/>
      <name val="Calibri"/>
      <family val="2"/>
      <scheme val="minor"/>
    </font>
  </fonts>
  <fills count="35">
    <fill>
      <patternFill patternType="none"/>
    </fill>
    <fill>
      <patternFill patternType="gray125"/>
    </fill>
    <fill>
      <patternFill patternType="solid">
        <fgColor rgb="FF5E6E66"/>
        <bgColor indexed="64"/>
      </patternFill>
    </fill>
    <fill>
      <patternFill patternType="solid">
        <fgColor rgb="FFF3F5F3"/>
        <bgColor indexed="64"/>
      </patternFill>
    </fill>
    <fill>
      <patternFill patternType="solid">
        <fgColor rgb="FFE1F1D7"/>
        <bgColor indexed="64"/>
      </patternFill>
    </fill>
    <fill>
      <patternFill patternType="solid">
        <fgColor theme="0"/>
        <bgColor indexed="64"/>
      </patternFill>
    </fill>
    <fill>
      <patternFill patternType="solid">
        <fgColor rgb="FFE7EBE7"/>
        <bgColor indexed="64"/>
      </patternFill>
    </fill>
    <fill>
      <patternFill patternType="solid">
        <fgColor rgb="FFDBE1DC"/>
        <bgColor indexed="64"/>
      </patternFill>
    </fill>
    <fill>
      <patternFill patternType="solid">
        <fgColor theme="0" tint="-4.9989318521683403E-2"/>
        <bgColor indexed="64"/>
      </patternFill>
    </fill>
    <fill>
      <patternFill patternType="solid">
        <fgColor rgb="FF49A942"/>
        <bgColor indexed="64"/>
      </patternFill>
    </fill>
    <fill>
      <patternFill patternType="solid">
        <fgColor rgb="FFFFFFFF"/>
        <bgColor indexed="64"/>
      </patternFill>
    </fill>
    <fill>
      <patternFill patternType="solid">
        <fgColor indexed="8"/>
        <bgColor indexed="64"/>
      </patternFill>
    </fill>
    <fill>
      <patternFill patternType="solid">
        <fgColor rgb="FFE4DFEC"/>
        <bgColor indexed="64"/>
      </patternFill>
    </fill>
    <fill>
      <patternFill patternType="solid">
        <fgColor rgb="FFE4DFEC"/>
        <bgColor rgb="FFE4DFEC"/>
      </patternFill>
    </fill>
    <fill>
      <patternFill patternType="solid">
        <fgColor theme="0" tint="-0.14999847407452621"/>
        <bgColor indexed="64"/>
      </patternFill>
    </fill>
    <fill>
      <patternFill patternType="solid">
        <fgColor rgb="FFFF0000"/>
        <bgColor indexed="64"/>
      </patternFill>
    </fill>
    <fill>
      <patternFill patternType="solid">
        <fgColor theme="1"/>
        <bgColor indexed="64"/>
      </patternFill>
    </fill>
    <fill>
      <patternFill patternType="solid">
        <fgColor rgb="FF0070C0"/>
        <bgColor indexed="64"/>
      </patternFill>
    </fill>
    <fill>
      <patternFill patternType="solid">
        <fgColor rgb="FF7030A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4F9237"/>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4"/>
        <bgColor indexed="64"/>
      </patternFill>
    </fill>
    <fill>
      <patternFill patternType="solid">
        <fgColor rgb="FFFFFF00"/>
        <bgColor indexed="64"/>
      </patternFill>
    </fill>
    <fill>
      <patternFill patternType="solid">
        <fgColor theme="8"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bgColor indexed="64"/>
      </patternFill>
    </fill>
    <fill>
      <patternFill patternType="solid">
        <fgColor rgb="FFD9D9D9"/>
        <bgColor indexed="64"/>
      </patternFill>
    </fill>
    <fill>
      <patternFill patternType="solid">
        <fgColor rgb="FF92D050"/>
        <bgColor indexed="64"/>
      </patternFill>
    </fill>
  </fills>
  <borders count="147">
    <border>
      <left/>
      <right/>
      <top/>
      <bottom/>
      <diagonal/>
    </border>
    <border>
      <left/>
      <right/>
      <top style="thin">
        <color rgb="FFA5B3AB"/>
      </top>
      <bottom/>
      <diagonal/>
    </border>
    <border>
      <left style="medium">
        <color rgb="FFA5B3AB"/>
      </left>
      <right style="medium">
        <color rgb="FFA5B3AB"/>
      </right>
      <top style="medium">
        <color rgb="FFA5B3AB"/>
      </top>
      <bottom style="medium">
        <color rgb="FFA5B3AB"/>
      </bottom>
      <diagonal/>
    </border>
    <border>
      <left style="thin">
        <color rgb="FFA5B3AB"/>
      </left>
      <right style="thin">
        <color rgb="FFA5B3AB"/>
      </right>
      <top style="thin">
        <color rgb="FFA5B3AB"/>
      </top>
      <bottom style="thin">
        <color rgb="FFA5B3AB"/>
      </bottom>
      <diagonal/>
    </border>
    <border>
      <left style="thin">
        <color rgb="FFA5B3AB"/>
      </left>
      <right/>
      <top/>
      <bottom/>
      <diagonal/>
    </border>
    <border>
      <left/>
      <right style="thin">
        <color rgb="FFA5B3AB"/>
      </right>
      <top/>
      <bottom/>
      <diagonal/>
    </border>
    <border>
      <left style="medium">
        <color rgb="FFA5B3AB"/>
      </left>
      <right/>
      <top style="medium">
        <color rgb="FFA5B3AB"/>
      </top>
      <bottom/>
      <diagonal/>
    </border>
    <border>
      <left/>
      <right/>
      <top style="medium">
        <color rgb="FFA5B3AB"/>
      </top>
      <bottom/>
      <diagonal/>
    </border>
    <border>
      <left/>
      <right style="medium">
        <color rgb="FFA5B3AB"/>
      </right>
      <top style="medium">
        <color rgb="FFA5B3AB"/>
      </top>
      <bottom/>
      <diagonal/>
    </border>
    <border>
      <left style="medium">
        <color rgb="FFA5B3AB"/>
      </left>
      <right/>
      <top/>
      <bottom/>
      <diagonal/>
    </border>
    <border>
      <left/>
      <right style="medium">
        <color rgb="FFA5B3AB"/>
      </right>
      <top/>
      <bottom/>
      <diagonal/>
    </border>
    <border>
      <left style="medium">
        <color rgb="FFA5B3AB"/>
      </left>
      <right/>
      <top style="medium">
        <color rgb="FFA5B3AB"/>
      </top>
      <bottom style="medium">
        <color rgb="FFA5B3AB"/>
      </bottom>
      <diagonal/>
    </border>
    <border>
      <left/>
      <right/>
      <top style="medium">
        <color rgb="FFA5B3AB"/>
      </top>
      <bottom style="medium">
        <color rgb="FFA5B3AB"/>
      </bottom>
      <diagonal/>
    </border>
    <border>
      <left/>
      <right style="medium">
        <color rgb="FFA5B3AB"/>
      </right>
      <top style="medium">
        <color rgb="FFA5B3AB"/>
      </top>
      <bottom style="medium">
        <color rgb="FFA5B3AB"/>
      </bottom>
      <diagonal/>
    </border>
    <border>
      <left style="medium">
        <color rgb="FFA5B3AB"/>
      </left>
      <right style="medium">
        <color rgb="FFA5B3AB"/>
      </right>
      <top style="thin">
        <color rgb="FFA5B3AB"/>
      </top>
      <bottom style="medium">
        <color rgb="FFA5B3AB"/>
      </bottom>
      <diagonal/>
    </border>
    <border>
      <left style="thin">
        <color rgb="FFA5B3AB"/>
      </left>
      <right/>
      <top style="medium">
        <color rgb="FFA5B3AB"/>
      </top>
      <bottom style="medium">
        <color rgb="FFA5B3AB"/>
      </bottom>
      <diagonal/>
    </border>
    <border>
      <left/>
      <right style="thin">
        <color rgb="FFA5B3AB"/>
      </right>
      <top style="medium">
        <color rgb="FFA5B3AB"/>
      </top>
      <bottom style="medium">
        <color rgb="FFA5B3AB"/>
      </bottom>
      <diagonal/>
    </border>
    <border>
      <left/>
      <right/>
      <top style="thin">
        <color rgb="FF4C5B52"/>
      </top>
      <bottom/>
      <diagonal/>
    </border>
    <border>
      <left/>
      <right style="medium">
        <color theme="0" tint="-0.249977111117893"/>
      </right>
      <top/>
      <bottom style="medium">
        <color rgb="FFC3CDC5"/>
      </bottom>
      <diagonal/>
    </border>
    <border>
      <left style="medium">
        <color rgb="FFA5B3AB"/>
      </left>
      <right style="medium">
        <color rgb="FFA5B3AB"/>
      </right>
      <top/>
      <bottom style="medium">
        <color rgb="FFA5B3AB"/>
      </bottom>
      <diagonal/>
    </border>
    <border>
      <left/>
      <right style="medium">
        <color rgb="FFA5B3AB"/>
      </right>
      <top/>
      <bottom style="medium">
        <color rgb="FFA5B3AB"/>
      </bottom>
      <diagonal/>
    </border>
    <border>
      <left style="medium">
        <color rgb="FFA5B3AB"/>
      </left>
      <right style="medium">
        <color rgb="FFA5B3AB"/>
      </right>
      <top/>
      <bottom/>
      <diagonal/>
    </border>
    <border>
      <left style="medium">
        <color rgb="FFA5B3AB"/>
      </left>
      <right style="medium">
        <color rgb="FFA5B3AB"/>
      </right>
      <top style="medium">
        <color rgb="FFA5B3AB"/>
      </top>
      <bottom/>
      <diagonal/>
    </border>
    <border>
      <left style="medium">
        <color rgb="FFA5B3AB"/>
      </left>
      <right/>
      <top/>
      <bottom style="medium">
        <color rgb="FFA5B3AB"/>
      </bottom>
      <diagonal/>
    </border>
    <border>
      <left/>
      <right/>
      <top/>
      <bottom style="medium">
        <color rgb="FFA5B3AB"/>
      </bottom>
      <diagonal/>
    </border>
    <border>
      <left style="hair">
        <color auto="1"/>
      </left>
      <right/>
      <top style="hair">
        <color auto="1"/>
      </top>
      <bottom style="hair">
        <color auto="1"/>
      </bottom>
      <diagonal/>
    </border>
    <border>
      <left/>
      <right/>
      <top style="hair">
        <color auto="1"/>
      </top>
      <bottom style="hair">
        <color auto="1"/>
      </bottom>
      <diagonal/>
    </border>
    <border>
      <left style="hair">
        <color indexed="64"/>
      </left>
      <right style="hair">
        <color indexed="64"/>
      </right>
      <top style="hair">
        <color indexed="64"/>
      </top>
      <bottom style="hair">
        <color indexed="64"/>
      </bottom>
      <diagonal/>
    </border>
    <border>
      <left style="hair">
        <color auto="1"/>
      </left>
      <right/>
      <top style="hair">
        <color auto="1"/>
      </top>
      <bottom/>
      <diagonal/>
    </border>
    <border>
      <left style="hair">
        <color auto="1"/>
      </left>
      <right/>
      <top/>
      <bottom/>
      <diagonal/>
    </border>
    <border>
      <left/>
      <right style="hair">
        <color indexed="64"/>
      </right>
      <top style="hair">
        <color indexed="64"/>
      </top>
      <bottom style="hair">
        <color indexed="64"/>
      </bottom>
      <diagonal/>
    </border>
    <border>
      <left style="hair">
        <color auto="1"/>
      </left>
      <right/>
      <top/>
      <bottom style="hair">
        <color auto="1"/>
      </bottom>
      <diagonal/>
    </border>
    <border>
      <left/>
      <right style="hair">
        <color auto="1"/>
      </right>
      <top/>
      <bottom style="hair">
        <color auto="1"/>
      </bottom>
      <diagonal/>
    </border>
    <border>
      <left/>
      <right/>
      <top/>
      <bottom style="hair">
        <color auto="1"/>
      </bottom>
      <diagonal/>
    </border>
    <border>
      <left/>
      <right/>
      <top style="hair">
        <color auto="1"/>
      </top>
      <bottom/>
      <diagonal/>
    </border>
    <border>
      <left style="thin">
        <color rgb="FFC3CDC5"/>
      </left>
      <right/>
      <top/>
      <bottom/>
      <diagonal/>
    </border>
    <border>
      <left/>
      <right style="thin">
        <color rgb="FFC3CDC5"/>
      </right>
      <top/>
      <bottom/>
      <diagonal/>
    </border>
    <border>
      <left style="thin">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double">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double">
        <color auto="1"/>
      </bottom>
      <diagonal/>
    </border>
    <border>
      <left/>
      <right style="thin">
        <color auto="1"/>
      </right>
      <top/>
      <bottom style="double">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0"/>
      </left>
      <right/>
      <top/>
      <bottom style="thin">
        <color indexed="64"/>
      </bottom>
      <diagonal/>
    </border>
    <border>
      <left style="thin">
        <color theme="0"/>
      </left>
      <right style="thin">
        <color theme="0"/>
      </right>
      <top/>
      <bottom style="thin">
        <color indexed="64"/>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top/>
      <bottom/>
      <diagonal/>
    </border>
    <border>
      <left/>
      <right/>
      <top/>
      <bottom style="thin">
        <color theme="1"/>
      </bottom>
      <diagonal/>
    </border>
    <border>
      <left style="thin">
        <color theme="0"/>
      </left>
      <right/>
      <top/>
      <bottom style="thin">
        <color theme="1"/>
      </bottom>
      <diagonal/>
    </border>
    <border>
      <left style="thin">
        <color theme="0"/>
      </left>
      <right style="thin">
        <color theme="1"/>
      </right>
      <top style="thin">
        <color theme="1"/>
      </top>
      <bottom style="thin">
        <color theme="1"/>
      </bottom>
      <diagonal/>
    </border>
    <border>
      <left style="thin">
        <color theme="0"/>
      </left>
      <right style="thin">
        <color theme="0"/>
      </right>
      <top/>
      <bottom style="thin">
        <color theme="1"/>
      </bottom>
      <diagonal/>
    </border>
    <border>
      <left style="thin">
        <color theme="0"/>
      </left>
      <right style="thin">
        <color theme="0"/>
      </right>
      <top style="thin">
        <color theme="1"/>
      </top>
      <bottom style="thin">
        <color theme="1"/>
      </bottom>
      <diagonal/>
    </border>
    <border>
      <left style="thin">
        <color theme="0"/>
      </left>
      <right style="thin">
        <color theme="0"/>
      </right>
      <top style="thin">
        <color theme="0"/>
      </top>
      <bottom/>
      <diagonal/>
    </border>
    <border>
      <left style="thin">
        <color theme="0"/>
      </left>
      <right style="thin">
        <color theme="1"/>
      </right>
      <top/>
      <bottom style="thin">
        <color theme="1"/>
      </bottom>
      <diagonal/>
    </border>
    <border>
      <left style="thin">
        <color theme="1"/>
      </left>
      <right style="thin">
        <color theme="0"/>
      </right>
      <top/>
      <bottom style="thin">
        <color theme="1"/>
      </bottom>
      <diagonal/>
    </border>
    <border>
      <left style="thin">
        <color theme="1"/>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1"/>
      </left>
      <right style="thin">
        <color theme="1"/>
      </right>
      <top style="thin">
        <color rgb="FF4F9237"/>
      </top>
      <bottom style="thin">
        <color theme="1"/>
      </bottom>
      <diagonal/>
    </border>
    <border>
      <left style="thin">
        <color theme="1"/>
      </left>
      <right/>
      <top style="thin">
        <color rgb="FF4F9237"/>
      </top>
      <bottom style="thin">
        <color theme="1"/>
      </bottom>
      <diagonal/>
    </border>
    <border>
      <left style="thin">
        <color theme="0"/>
      </left>
      <right style="thin">
        <color theme="1"/>
      </right>
      <top style="thin">
        <color theme="1"/>
      </top>
      <bottom/>
      <diagonal/>
    </border>
    <border>
      <left style="thin">
        <color theme="1"/>
      </left>
      <right style="thin">
        <color theme="0"/>
      </right>
      <top style="thin">
        <color theme="1"/>
      </top>
      <bottom/>
      <diagonal/>
    </border>
    <border>
      <left style="thin">
        <color theme="1"/>
      </left>
      <right/>
      <top style="thin">
        <color theme="0"/>
      </top>
      <bottom style="thin">
        <color theme="1"/>
      </bottom>
      <diagonal/>
    </border>
    <border>
      <left style="thin">
        <color theme="0"/>
      </left>
      <right style="thin">
        <color theme="0"/>
      </right>
      <top style="thin">
        <color theme="0"/>
      </top>
      <bottom style="thin">
        <color theme="1"/>
      </bottom>
      <diagonal/>
    </border>
    <border>
      <left style="thin">
        <color theme="0"/>
      </left>
      <right/>
      <top style="thin">
        <color theme="0"/>
      </top>
      <bottom style="thin">
        <color theme="1"/>
      </bottom>
      <diagonal/>
    </border>
    <border>
      <left style="thin">
        <color theme="0"/>
      </left>
      <right style="thin">
        <color theme="1"/>
      </right>
      <top style="thin">
        <color theme="0"/>
      </top>
      <bottom style="thin">
        <color theme="1"/>
      </bottom>
      <diagonal/>
    </border>
    <border>
      <left style="thin">
        <color theme="0"/>
      </left>
      <right style="thin">
        <color theme="1"/>
      </right>
      <top style="thin">
        <color theme="1"/>
      </top>
      <bottom style="thin">
        <color theme="0"/>
      </bottom>
      <diagonal/>
    </border>
    <border>
      <left style="thin">
        <color theme="1"/>
      </left>
      <right style="thin">
        <color theme="0"/>
      </right>
      <top style="thin">
        <color theme="1"/>
      </top>
      <bottom style="thin">
        <color theme="0"/>
      </bottom>
      <diagonal/>
    </border>
    <border>
      <left style="thin">
        <color theme="1"/>
      </left>
      <right style="thin">
        <color theme="1"/>
      </right>
      <top style="thin">
        <color theme="1"/>
      </top>
      <bottom style="thin">
        <color theme="0"/>
      </bottom>
      <diagonal/>
    </border>
    <border>
      <left style="thin">
        <color rgb="FF4F9237"/>
      </left>
      <right/>
      <top style="thin">
        <color theme="1"/>
      </top>
      <bottom style="thin">
        <color theme="1"/>
      </bottom>
      <diagonal/>
    </border>
    <border>
      <left style="thin">
        <color rgb="FF4F9237"/>
      </left>
      <right style="thin">
        <color theme="1"/>
      </right>
      <top style="thin">
        <color theme="1"/>
      </top>
      <bottom style="thin">
        <color theme="1"/>
      </bottom>
      <diagonal/>
    </border>
    <border>
      <left style="thin">
        <color rgb="FF4F9237"/>
      </left>
      <right style="thin">
        <color rgb="FF4F9237"/>
      </right>
      <top style="thin">
        <color theme="1"/>
      </top>
      <bottom style="thin">
        <color theme="1"/>
      </bottom>
      <diagonal/>
    </border>
    <border>
      <left style="thin">
        <color theme="1"/>
      </left>
      <right/>
      <top style="thin">
        <color theme="1"/>
      </top>
      <bottom style="thin">
        <color theme="0"/>
      </bottom>
      <diagonal/>
    </border>
    <border>
      <left style="thin">
        <color theme="0"/>
      </left>
      <right style="thin">
        <color indexed="64"/>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rgb="FF4F9237"/>
      </left>
      <right style="thin">
        <color rgb="FF4F9237"/>
      </right>
      <top/>
      <bottom style="thin">
        <color theme="1"/>
      </bottom>
      <diagonal/>
    </border>
    <border>
      <left style="thin">
        <color rgb="FF4F9237"/>
      </left>
      <right style="thin">
        <color theme="1"/>
      </right>
      <top/>
      <bottom style="thin">
        <color theme="1"/>
      </bottom>
      <diagonal/>
    </border>
    <border>
      <left/>
      <right/>
      <top style="thin">
        <color rgb="FFC3CDC5"/>
      </top>
      <bottom/>
      <diagonal/>
    </border>
    <border>
      <left/>
      <right/>
      <top style="double">
        <color rgb="FFC3CDC5"/>
      </top>
      <bottom/>
      <diagonal/>
    </border>
    <border>
      <left/>
      <right/>
      <top/>
      <bottom style="thin">
        <color rgb="FFC3CDC5"/>
      </bottom>
      <diagonal/>
    </border>
    <border>
      <left/>
      <right/>
      <top/>
      <bottom style="double">
        <color rgb="FFC3CDC5"/>
      </bottom>
      <diagonal/>
    </border>
    <border>
      <left style="thin">
        <color rgb="FFC3CDC5"/>
      </left>
      <right/>
      <top style="thin">
        <color rgb="FFC3CDC5"/>
      </top>
      <bottom/>
      <diagonal/>
    </border>
    <border>
      <left/>
      <right style="thin">
        <color rgb="FFC3CDC5"/>
      </right>
      <top style="thin">
        <color rgb="FFC3CDC5"/>
      </top>
      <bottom/>
      <diagonal/>
    </border>
    <border>
      <left style="thin">
        <color rgb="FFC3CDC5"/>
      </left>
      <right/>
      <top/>
      <bottom style="double">
        <color rgb="FFC3CDC5"/>
      </bottom>
      <diagonal/>
    </border>
    <border>
      <left/>
      <right style="thin">
        <color rgb="FFC3CDC5"/>
      </right>
      <top/>
      <bottom style="double">
        <color rgb="FFC3CDC5"/>
      </bottom>
      <diagonal/>
    </border>
    <border>
      <left style="thin">
        <color rgb="FFC3CDC5"/>
      </left>
      <right/>
      <top/>
      <bottom style="thin">
        <color rgb="FFC3CDC5"/>
      </bottom>
      <diagonal/>
    </border>
    <border>
      <left/>
      <right style="thin">
        <color rgb="FFC3CDC5"/>
      </right>
      <top/>
      <bottom style="thin">
        <color rgb="FFC3CDC5"/>
      </bottom>
      <diagonal/>
    </border>
    <border>
      <left style="thin">
        <color theme="1"/>
      </left>
      <right style="thin">
        <color theme="1"/>
      </right>
      <top/>
      <bottom style="thin">
        <color theme="1"/>
      </bottom>
      <diagonal/>
    </border>
    <border>
      <left/>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top style="thin">
        <color indexed="64"/>
      </top>
      <bottom style="thin">
        <color theme="1"/>
      </bottom>
      <diagonal/>
    </border>
    <border>
      <left style="thin">
        <color rgb="FF4F9237"/>
      </left>
      <right style="thin">
        <color rgb="FF4F9237"/>
      </right>
      <top style="thin">
        <color indexed="64"/>
      </top>
      <bottom style="thin">
        <color theme="1"/>
      </bottom>
      <diagonal/>
    </border>
    <border>
      <left style="thin">
        <color rgb="FF4F9237"/>
      </left>
      <right style="thin">
        <color theme="1"/>
      </right>
      <top style="thin">
        <color indexed="64"/>
      </top>
      <bottom style="thin">
        <color theme="1"/>
      </bottom>
      <diagonal/>
    </border>
    <border>
      <left style="thin">
        <color theme="1"/>
      </left>
      <right style="thin">
        <color theme="0"/>
      </right>
      <top/>
      <bottom/>
      <diagonal/>
    </border>
    <border>
      <left style="thin">
        <color theme="0"/>
      </left>
      <right style="thin">
        <color theme="0"/>
      </right>
      <top style="thin">
        <color theme="1"/>
      </top>
      <bottom/>
      <diagonal/>
    </border>
    <border>
      <left style="thin">
        <color indexed="64"/>
      </left>
      <right style="thin">
        <color theme="0"/>
      </right>
      <top style="thin">
        <color theme="0"/>
      </top>
      <bottom style="thin">
        <color theme="1"/>
      </bottom>
      <diagonal/>
    </border>
    <border>
      <left style="thin">
        <color indexed="64"/>
      </left>
      <right style="thin">
        <color theme="1"/>
      </right>
      <top style="thin">
        <color theme="1"/>
      </top>
      <bottom style="thin">
        <color theme="0"/>
      </bottom>
      <diagonal/>
    </border>
    <border>
      <left style="thin">
        <color indexed="64"/>
      </left>
      <right style="thin">
        <color theme="0"/>
      </right>
      <top style="thin">
        <color theme="0"/>
      </top>
      <bottom style="thin">
        <color indexed="64"/>
      </bottom>
      <diagonal/>
    </border>
    <border>
      <left style="thin">
        <color theme="1"/>
      </left>
      <right style="thin">
        <color indexed="64"/>
      </right>
      <top style="thin">
        <color theme="1"/>
      </top>
      <bottom style="thin">
        <color theme="0"/>
      </bottom>
      <diagonal/>
    </border>
    <border>
      <left style="thin">
        <color theme="0"/>
      </left>
      <right style="thin">
        <color indexed="64"/>
      </right>
      <top/>
      <bottom style="thin">
        <color indexed="64"/>
      </bottom>
      <diagonal/>
    </border>
    <border>
      <left style="thin">
        <color theme="0"/>
      </left>
      <right style="thin">
        <color theme="0"/>
      </right>
      <top style="thin">
        <color theme="1"/>
      </top>
      <bottom style="thin">
        <color theme="0"/>
      </bottom>
      <diagonal/>
    </border>
    <border>
      <left style="thin">
        <color theme="0"/>
      </left>
      <right style="thin">
        <color theme="1"/>
      </right>
      <top/>
      <bottom/>
      <diagonal/>
    </border>
    <border>
      <left style="thin">
        <color theme="1"/>
      </left>
      <right style="thin">
        <color theme="0"/>
      </right>
      <top style="thin">
        <color theme="0"/>
      </top>
      <bottom style="thin">
        <color theme="1"/>
      </bottom>
      <diagonal/>
    </border>
    <border>
      <left style="thin">
        <color theme="1"/>
      </left>
      <right style="thin">
        <color theme="1"/>
      </right>
      <top style="thin">
        <color theme="0"/>
      </top>
      <bottom style="thin">
        <color theme="1"/>
      </bottom>
      <diagonal/>
    </border>
    <border>
      <left style="thin">
        <color auto="1"/>
      </left>
      <right style="medium">
        <color rgb="FFC3CDC5"/>
      </right>
      <top style="thin">
        <color auto="1"/>
      </top>
      <bottom/>
      <diagonal/>
    </border>
    <border>
      <left style="medium">
        <color rgb="FFC3CDC5"/>
      </left>
      <right style="thin">
        <color auto="1"/>
      </right>
      <top style="thin">
        <color auto="1"/>
      </top>
      <bottom/>
      <diagonal/>
    </border>
    <border>
      <left style="thin">
        <color theme="0"/>
      </left>
      <right style="thin">
        <color theme="1"/>
      </right>
      <top/>
      <bottom style="thin">
        <color theme="0"/>
      </bottom>
      <diagonal/>
    </border>
    <border>
      <left style="thin">
        <color theme="1"/>
      </left>
      <right style="thin">
        <color theme="0"/>
      </right>
      <top/>
      <bottom style="thin">
        <color theme="0"/>
      </bottom>
      <diagonal/>
    </border>
    <border>
      <left/>
      <right style="thin">
        <color theme="1"/>
      </right>
      <top/>
      <bottom style="thin">
        <color theme="0"/>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theme="1"/>
      </right>
      <top style="thin">
        <color theme="1"/>
      </top>
      <bottom style="thin">
        <color theme="1"/>
      </bottom>
      <diagonal/>
    </border>
  </borders>
  <cellStyleXfs count="16">
    <xf numFmtId="0" fontId="0" fillId="0" borderId="0"/>
    <xf numFmtId="166"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36" fillId="0" borderId="0" applyNumberFormat="0" applyFill="0" applyBorder="0" applyAlignment="0" applyProtection="0">
      <alignment vertical="top"/>
      <protection locked="0"/>
    </xf>
    <xf numFmtId="14"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49" fillId="0" borderId="0"/>
    <xf numFmtId="0" fontId="9" fillId="0" borderId="0"/>
    <xf numFmtId="0" fontId="79" fillId="0" borderId="0"/>
    <xf numFmtId="178" fontId="9"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313">
    <xf numFmtId="0" fontId="0" fillId="0" borderId="0" xfId="0"/>
    <xf numFmtId="0" fontId="5"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xf>
    <xf numFmtId="0" fontId="7" fillId="0" borderId="0" xfId="0" applyFont="1" applyAlignment="1">
      <alignment vertical="top"/>
    </xf>
    <xf numFmtId="0" fontId="8" fillId="0" borderId="0" xfId="0" applyFont="1"/>
    <xf numFmtId="0" fontId="8" fillId="0" borderId="0" xfId="0" applyFont="1" applyAlignment="1">
      <alignment horizontal="left"/>
    </xf>
    <xf numFmtId="0" fontId="12" fillId="0" borderId="0" xfId="0" applyFont="1" applyAlignment="1">
      <alignment vertical="center"/>
    </xf>
    <xf numFmtId="0" fontId="18" fillId="0" borderId="0" xfId="0" applyFont="1" applyAlignment="1">
      <alignment vertical="top"/>
    </xf>
    <xf numFmtId="0" fontId="22"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indent="5"/>
    </xf>
    <xf numFmtId="0" fontId="0" fillId="5" borderId="0" xfId="0" applyFill="1"/>
    <xf numFmtId="0" fontId="18" fillId="0" borderId="0" xfId="0" applyFont="1" applyAlignment="1">
      <alignment horizontal="left" vertical="center"/>
    </xf>
    <xf numFmtId="0" fontId="24" fillId="0" borderId="0" xfId="0" applyFont="1"/>
    <xf numFmtId="0" fontId="25" fillId="5" borderId="0" xfId="0" applyFont="1" applyFill="1"/>
    <xf numFmtId="0" fontId="26" fillId="0" borderId="0" xfId="0" applyFont="1"/>
    <xf numFmtId="0" fontId="18" fillId="0" borderId="0" xfId="0" applyFont="1" applyAlignment="1">
      <alignment vertical="center" wrapText="1"/>
    </xf>
    <xf numFmtId="0" fontId="4" fillId="0" borderId="0" xfId="0" applyFont="1" applyAlignment="1">
      <alignment horizontal="center"/>
    </xf>
    <xf numFmtId="0" fontId="6" fillId="0" borderId="0" xfId="0" applyFont="1" applyAlignment="1">
      <alignment horizontal="right"/>
    </xf>
    <xf numFmtId="0" fontId="18" fillId="0" borderId="0" xfId="0" applyFont="1" applyAlignment="1">
      <alignment horizontal="left" vertical="center" wrapText="1"/>
    </xf>
    <xf numFmtId="0" fontId="4" fillId="0" borderId="0" xfId="0" applyFont="1"/>
    <xf numFmtId="0" fontId="7" fillId="0" borderId="0" xfId="0" applyFont="1" applyAlignment="1">
      <alignment vertical="center"/>
    </xf>
    <xf numFmtId="0" fontId="18" fillId="5" borderId="0" xfId="0" applyFont="1" applyFill="1" applyAlignment="1">
      <alignment vertical="center" wrapText="1"/>
    </xf>
    <xf numFmtId="0" fontId="7" fillId="0" borderId="0" xfId="0" applyFont="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top"/>
    </xf>
    <xf numFmtId="0" fontId="18" fillId="0" borderId="0" xfId="0" applyFont="1" applyAlignment="1">
      <alignment horizontal="left" vertical="top"/>
    </xf>
    <xf numFmtId="0" fontId="0" fillId="0" borderId="1" xfId="0" applyBorder="1"/>
    <xf numFmtId="0" fontId="17" fillId="0" borderId="0" xfId="0" applyFont="1" applyAlignment="1">
      <alignment horizontal="justify" vertical="top" wrapText="1"/>
    </xf>
    <xf numFmtId="0" fontId="5" fillId="0" borderId="0" xfId="0" applyFont="1" applyAlignment="1">
      <alignment horizontal="justify" vertical="top" wrapText="1"/>
    </xf>
    <xf numFmtId="0" fontId="29" fillId="0" borderId="0" xfId="0" applyFont="1" applyAlignment="1">
      <alignment horizontal="left" vertical="center" indent="5"/>
    </xf>
    <xf numFmtId="0" fontId="25" fillId="0" borderId="0" xfId="0" applyFont="1"/>
    <xf numFmtId="0" fontId="7" fillId="0" borderId="0" xfId="0" applyFont="1" applyAlignment="1">
      <alignment horizontal="left" vertical="top"/>
    </xf>
    <xf numFmtId="0" fontId="16" fillId="0" borderId="0" xfId="0" applyFont="1" applyAlignment="1">
      <alignment vertical="center"/>
    </xf>
    <xf numFmtId="0" fontId="17" fillId="0" borderId="0" xfId="0" applyFont="1" applyAlignment="1">
      <alignment horizontal="center" vertical="center" wrapText="1"/>
    </xf>
    <xf numFmtId="0" fontId="0" fillId="5" borderId="0" xfId="0" applyFill="1" applyAlignment="1">
      <alignment horizontal="center"/>
    </xf>
    <xf numFmtId="0" fontId="32" fillId="0" borderId="0" xfId="0" applyFont="1" applyAlignment="1">
      <alignment horizontal="justify" vertical="center"/>
    </xf>
    <xf numFmtId="0" fontId="21" fillId="0" borderId="0" xfId="0" applyFont="1" applyAlignment="1">
      <alignment horizontal="justify" vertical="center"/>
    </xf>
    <xf numFmtId="0" fontId="18" fillId="0" borderId="0" xfId="0" applyFont="1" applyAlignment="1">
      <alignment horizontal="justify" vertical="center"/>
    </xf>
    <xf numFmtId="164" fontId="0" fillId="0" borderId="0" xfId="0" applyNumberFormat="1"/>
    <xf numFmtId="167" fontId="0" fillId="0" borderId="0" xfId="0" applyNumberFormat="1"/>
    <xf numFmtId="167" fontId="5" fillId="0" borderId="0" xfId="0" applyNumberFormat="1" applyFont="1" applyAlignment="1">
      <alignment vertical="top" wrapText="1"/>
    </xf>
    <xf numFmtId="167" fontId="7" fillId="0" borderId="0" xfId="0" applyNumberFormat="1" applyFont="1" applyAlignment="1">
      <alignment horizontal="left" vertical="center"/>
    </xf>
    <xf numFmtId="0" fontId="18" fillId="0" borderId="0" xfId="0" applyFont="1" applyAlignment="1">
      <alignment horizontal="left" vertical="top" wrapText="1"/>
    </xf>
    <xf numFmtId="49" fontId="7" fillId="0" borderId="0" xfId="0" applyNumberFormat="1" applyFont="1" applyAlignment="1">
      <alignment horizontal="left" vertical="center"/>
    </xf>
    <xf numFmtId="0" fontId="30" fillId="2" borderId="3" xfId="0" applyFont="1" applyFill="1" applyBorder="1" applyAlignment="1">
      <alignment horizontal="center" vertical="center" wrapText="1"/>
    </xf>
    <xf numFmtId="0" fontId="39" fillId="0" borderId="0" xfId="0" applyFont="1" applyAlignment="1">
      <alignment horizontal="left" vertical="center" indent="5"/>
    </xf>
    <xf numFmtId="0" fontId="7" fillId="0" borderId="0" xfId="0" applyFont="1" applyAlignment="1">
      <alignment vertical="center" wrapText="1"/>
    </xf>
    <xf numFmtId="0" fontId="27" fillId="9" borderId="6" xfId="0" applyFont="1" applyFill="1" applyBorder="1" applyAlignment="1">
      <alignment vertical="center" wrapText="1"/>
    </xf>
    <xf numFmtId="0" fontId="27" fillId="9" borderId="7" xfId="0" applyFont="1" applyFill="1" applyBorder="1" applyAlignment="1">
      <alignment vertical="center" wrapText="1"/>
    </xf>
    <xf numFmtId="0" fontId="27" fillId="9" borderId="8" xfId="0" applyFont="1" applyFill="1" applyBorder="1" applyAlignment="1">
      <alignment vertical="center" wrapText="1"/>
    </xf>
    <xf numFmtId="0" fontId="17" fillId="0" borderId="2" xfId="0" applyFont="1" applyBorder="1" applyAlignment="1">
      <alignment horizontal="left" vertical="center" wrapText="1"/>
    </xf>
    <xf numFmtId="0" fontId="5" fillId="0" borderId="9" xfId="0" applyFont="1" applyBorder="1" applyAlignment="1">
      <alignment vertical="center" wrapText="1"/>
    </xf>
    <xf numFmtId="0" fontId="17" fillId="0" borderId="0" xfId="0" applyFont="1" applyAlignment="1">
      <alignment horizontal="left" vertical="center" wrapText="1"/>
    </xf>
    <xf numFmtId="0" fontId="17" fillId="0" borderId="10" xfId="0" applyFont="1" applyBorder="1" applyAlignment="1">
      <alignment horizontal="left" vertical="center" wrapText="1"/>
    </xf>
    <xf numFmtId="0" fontId="27" fillId="9" borderId="9" xfId="0" applyFont="1" applyFill="1" applyBorder="1" applyAlignment="1">
      <alignment vertical="center" wrapText="1"/>
    </xf>
    <xf numFmtId="0" fontId="17" fillId="9" borderId="0" xfId="0" applyFont="1" applyFill="1" applyAlignment="1">
      <alignment horizontal="left" vertical="center" wrapText="1"/>
    </xf>
    <xf numFmtId="0" fontId="17" fillId="9" borderId="10" xfId="0" applyFont="1" applyFill="1" applyBorder="1" applyAlignment="1">
      <alignment horizontal="left" vertical="center" wrapText="1"/>
    </xf>
    <xf numFmtId="10" fontId="17" fillId="0" borderId="2" xfId="0" applyNumberFormat="1" applyFont="1" applyBorder="1" applyAlignment="1">
      <alignment horizontal="left" vertical="center" wrapText="1"/>
    </xf>
    <xf numFmtId="168" fontId="17" fillId="0" borderId="2" xfId="0" applyNumberFormat="1" applyFont="1" applyBorder="1" applyAlignment="1">
      <alignment horizontal="left" vertical="center" wrapText="1"/>
    </xf>
    <xf numFmtId="9" fontId="17" fillId="0" borderId="14" xfId="0" applyNumberFormat="1" applyFont="1" applyBorder="1" applyAlignment="1">
      <alignment horizontal="left" vertical="center" wrapText="1"/>
    </xf>
    <xf numFmtId="0" fontId="17" fillId="0" borderId="2" xfId="0" applyFont="1" applyBorder="1" applyAlignment="1">
      <alignment vertical="center" wrapText="1"/>
    </xf>
    <xf numFmtId="0" fontId="37" fillId="0" borderId="0" xfId="0" applyFont="1" applyAlignment="1">
      <alignment wrapText="1"/>
    </xf>
    <xf numFmtId="0" fontId="7" fillId="9" borderId="7" xfId="0" applyFont="1" applyFill="1" applyBorder="1" applyAlignment="1">
      <alignment horizontal="left" vertical="center" wrapText="1"/>
    </xf>
    <xf numFmtId="0" fontId="7" fillId="9" borderId="8" xfId="0" applyFont="1" applyFill="1" applyBorder="1" applyAlignment="1">
      <alignment horizontal="left" vertical="center" wrapText="1"/>
    </xf>
    <xf numFmtId="0" fontId="27" fillId="9" borderId="15" xfId="0" applyFont="1" applyFill="1" applyBorder="1" applyAlignment="1">
      <alignment vertical="center" wrapText="1"/>
    </xf>
    <xf numFmtId="0" fontId="7" fillId="9" borderId="12" xfId="0" applyFont="1" applyFill="1" applyBorder="1" applyAlignment="1">
      <alignment horizontal="left" vertical="center" wrapText="1"/>
    </xf>
    <xf numFmtId="0" fontId="7" fillId="9" borderId="16" xfId="0" applyFont="1" applyFill="1" applyBorder="1" applyAlignment="1">
      <alignment horizontal="left" vertical="center" wrapText="1"/>
    </xf>
    <xf numFmtId="9" fontId="17" fillId="0" borderId="2" xfId="0" applyNumberFormat="1" applyFont="1" applyBorder="1" applyAlignment="1">
      <alignment horizontal="left" vertical="center" wrapText="1"/>
    </xf>
    <xf numFmtId="0" fontId="5" fillId="0" borderId="4" xfId="0" applyFont="1" applyBorder="1" applyAlignment="1">
      <alignment vertical="center" wrapText="1"/>
    </xf>
    <xf numFmtId="0" fontId="17" fillId="0" borderId="5" xfId="0" applyFont="1" applyBorder="1" applyAlignment="1">
      <alignment horizontal="left" vertical="center" wrapText="1"/>
    </xf>
    <xf numFmtId="0" fontId="27" fillId="9" borderId="4" xfId="0" applyFont="1" applyFill="1" applyBorder="1" applyAlignment="1">
      <alignment vertical="center" wrapText="1"/>
    </xf>
    <xf numFmtId="0" fontId="17" fillId="9" borderId="5" xfId="0" applyFont="1" applyFill="1" applyBorder="1" applyAlignment="1">
      <alignment horizontal="left" vertical="center" wrapText="1"/>
    </xf>
    <xf numFmtId="0" fontId="7" fillId="9" borderId="0" xfId="0" applyFont="1" applyFill="1" applyAlignment="1">
      <alignment horizontal="left" vertical="center" wrapText="1"/>
    </xf>
    <xf numFmtId="0" fontId="7" fillId="9" borderId="5" xfId="0" applyFont="1" applyFill="1" applyBorder="1" applyAlignment="1">
      <alignment horizontal="left" vertical="center" wrapText="1"/>
    </xf>
    <xf numFmtId="0" fontId="18" fillId="0" borderId="0" xfId="0" applyFont="1" applyAlignment="1">
      <alignment horizontal="justify" vertical="top"/>
    </xf>
    <xf numFmtId="0" fontId="21" fillId="0" borderId="0" xfId="0" applyFont="1" applyAlignment="1">
      <alignment horizontal="left"/>
    </xf>
    <xf numFmtId="0" fontId="18" fillId="0" borderId="0" xfId="0" applyFont="1" applyAlignment="1">
      <alignment horizontal="justify" wrapText="1"/>
    </xf>
    <xf numFmtId="0" fontId="0" fillId="0" borderId="0" xfId="0" applyAlignment="1">
      <alignment horizontal="center"/>
    </xf>
    <xf numFmtId="0" fontId="17" fillId="0" borderId="0" xfId="0" applyFont="1" applyAlignment="1">
      <alignment vertical="center" wrapText="1"/>
    </xf>
    <xf numFmtId="0" fontId="17" fillId="0" borderId="13" xfId="0" applyFont="1" applyBorder="1" applyAlignment="1">
      <alignment vertical="center"/>
    </xf>
    <xf numFmtId="0" fontId="17" fillId="0" borderId="20" xfId="0" applyFont="1" applyBorder="1" applyAlignment="1">
      <alignment vertical="center" wrapText="1"/>
    </xf>
    <xf numFmtId="0" fontId="17" fillId="0" borderId="19" xfId="0" applyFont="1" applyBorder="1" applyAlignment="1">
      <alignment vertical="center"/>
    </xf>
    <xf numFmtId="0" fontId="17" fillId="0" borderId="20" xfId="0" applyFont="1" applyBorder="1" applyAlignment="1">
      <alignment vertical="center"/>
    </xf>
    <xf numFmtId="0" fontId="15" fillId="9" borderId="20" xfId="0" applyFont="1" applyFill="1" applyBorder="1" applyAlignment="1">
      <alignment vertical="center"/>
    </xf>
    <xf numFmtId="0" fontId="15" fillId="0" borderId="20" xfId="0" applyFont="1" applyBorder="1" applyAlignment="1">
      <alignment vertical="center"/>
    </xf>
    <xf numFmtId="0" fontId="17" fillId="9" borderId="20" xfId="0" applyFont="1" applyFill="1" applyBorder="1" applyAlignment="1">
      <alignment vertical="center"/>
    </xf>
    <xf numFmtId="0" fontId="17" fillId="0" borderId="0" xfId="0" applyFont="1" applyAlignment="1">
      <alignment vertical="top"/>
    </xf>
    <xf numFmtId="0" fontId="16" fillId="0" borderId="0" xfId="0" applyFont="1" applyAlignment="1">
      <alignment vertical="center" wrapText="1"/>
    </xf>
    <xf numFmtId="0" fontId="19" fillId="0" borderId="0" xfId="0" applyFont="1" applyAlignment="1">
      <alignment vertical="top" wrapText="1"/>
    </xf>
    <xf numFmtId="0" fontId="44" fillId="0" borderId="0" xfId="0" applyFont="1"/>
    <xf numFmtId="0" fontId="5" fillId="3" borderId="2" xfId="0" applyFont="1" applyFill="1" applyBorder="1" applyAlignment="1">
      <alignment vertical="center" wrapText="1"/>
    </xf>
    <xf numFmtId="0" fontId="5" fillId="3" borderId="14" xfId="0" applyFont="1" applyFill="1" applyBorder="1" applyAlignment="1">
      <alignment vertical="center" wrapText="1"/>
    </xf>
    <xf numFmtId="0" fontId="17" fillId="3" borderId="2" xfId="0" applyFont="1" applyFill="1" applyBorder="1" applyAlignment="1">
      <alignment vertical="center"/>
    </xf>
    <xf numFmtId="0" fontId="17" fillId="3" borderId="19" xfId="0" applyFont="1" applyFill="1" applyBorder="1" applyAlignment="1">
      <alignment vertical="center" wrapText="1"/>
    </xf>
    <xf numFmtId="0" fontId="17" fillId="3" borderId="19" xfId="0" applyFont="1" applyFill="1" applyBorder="1" applyAlignment="1">
      <alignment vertical="center"/>
    </xf>
    <xf numFmtId="0" fontId="17" fillId="3" borderId="21" xfId="0" applyFont="1" applyFill="1" applyBorder="1" applyAlignment="1">
      <alignment vertical="center"/>
    </xf>
    <xf numFmtId="0" fontId="43" fillId="3" borderId="21" xfId="0" applyFont="1" applyFill="1" applyBorder="1" applyAlignment="1">
      <alignment horizontal="left" vertical="center" indent="5"/>
    </xf>
    <xf numFmtId="0" fontId="7" fillId="0" borderId="0" xfId="0" applyFont="1" applyAlignment="1">
      <alignment horizontal="left" vertical="center" wrapText="1"/>
    </xf>
    <xf numFmtId="0" fontId="46" fillId="0" borderId="0" xfId="0" applyFont="1"/>
    <xf numFmtId="0" fontId="15" fillId="9" borderId="11" xfId="0" applyFont="1" applyFill="1" applyBorder="1" applyAlignment="1">
      <alignment vertical="center" wrapText="1"/>
    </xf>
    <xf numFmtId="0" fontId="15" fillId="9" borderId="12" xfId="0" applyFont="1" applyFill="1" applyBorder="1" applyAlignment="1">
      <alignment vertical="center" wrapText="1"/>
    </xf>
    <xf numFmtId="0" fontId="15" fillId="9" borderId="13" xfId="0" applyFont="1" applyFill="1" applyBorder="1" applyAlignment="1">
      <alignment vertical="center" wrapText="1"/>
    </xf>
    <xf numFmtId="0" fontId="17" fillId="3" borderId="23" xfId="0" applyFont="1" applyFill="1" applyBorder="1" applyAlignment="1">
      <alignment vertical="center"/>
    </xf>
    <xf numFmtId="0" fontId="17" fillId="0" borderId="24" xfId="0" applyFont="1" applyBorder="1" applyAlignment="1">
      <alignment vertical="center"/>
    </xf>
    <xf numFmtId="0" fontId="15" fillId="9" borderId="23" xfId="0" applyFont="1" applyFill="1" applyBorder="1" applyAlignment="1">
      <alignment vertical="center"/>
    </xf>
    <xf numFmtId="0" fontId="15" fillId="9" borderId="24" xfId="0" applyFont="1" applyFill="1" applyBorder="1" applyAlignment="1">
      <alignment vertical="center"/>
    </xf>
    <xf numFmtId="0" fontId="17" fillId="0" borderId="23" xfId="0" applyFont="1" applyBorder="1" applyAlignment="1">
      <alignment vertical="center"/>
    </xf>
    <xf numFmtId="0" fontId="17" fillId="9" borderId="24" xfId="0" applyFont="1" applyFill="1" applyBorder="1" applyAlignment="1">
      <alignment vertical="center"/>
    </xf>
    <xf numFmtId="0" fontId="43" fillId="3" borderId="11" xfId="0" applyFont="1" applyFill="1" applyBorder="1" applyAlignment="1">
      <alignment horizontal="left" vertical="center" indent="5"/>
    </xf>
    <xf numFmtId="0" fontId="17" fillId="0" borderId="12" xfId="0" applyFont="1" applyBorder="1" applyAlignment="1">
      <alignment vertical="center"/>
    </xf>
    <xf numFmtId="0" fontId="51" fillId="0" borderId="0" xfId="10" applyFont="1"/>
    <xf numFmtId="0" fontId="52" fillId="0" borderId="0" xfId="10" applyFont="1" applyAlignment="1">
      <alignment horizontal="centerContinuous"/>
    </xf>
    <xf numFmtId="0" fontId="53" fillId="0" borderId="0" xfId="10" applyFont="1" applyAlignment="1">
      <alignment horizontal="center"/>
    </xf>
    <xf numFmtId="0" fontId="52" fillId="0" borderId="0" xfId="10" applyFont="1"/>
    <xf numFmtId="0" fontId="51" fillId="8" borderId="27" xfId="10" applyFont="1" applyFill="1" applyBorder="1" applyAlignment="1">
      <alignment horizontal="center"/>
    </xf>
    <xf numFmtId="0" fontId="51" fillId="0" borderId="0" xfId="10" applyFont="1" applyAlignment="1">
      <alignment horizontal="center"/>
    </xf>
    <xf numFmtId="0" fontId="52" fillId="8" borderId="27" xfId="10" applyFont="1" applyFill="1" applyBorder="1"/>
    <xf numFmtId="0" fontId="54" fillId="0" borderId="29" xfId="10" applyFont="1" applyBorder="1"/>
    <xf numFmtId="0" fontId="55" fillId="0" borderId="0" xfId="10" applyFont="1" applyAlignment="1">
      <alignment horizontal="center"/>
    </xf>
    <xf numFmtId="0" fontId="54" fillId="0" borderId="0" xfId="10" applyFont="1" applyAlignment="1">
      <alignment wrapText="1"/>
    </xf>
    <xf numFmtId="0" fontId="54" fillId="0" borderId="31" xfId="10" applyFont="1" applyBorder="1"/>
    <xf numFmtId="0" fontId="55" fillId="0" borderId="33" xfId="10" applyFont="1" applyBorder="1" applyAlignment="1">
      <alignment horizontal="center"/>
    </xf>
    <xf numFmtId="15" fontId="51" fillId="0" borderId="0" xfId="10" applyNumberFormat="1" applyFont="1" applyAlignment="1">
      <alignment horizontal="center"/>
    </xf>
    <xf numFmtId="0" fontId="51" fillId="11" borderId="0" xfId="10" applyFont="1" applyFill="1"/>
    <xf numFmtId="0" fontId="52" fillId="0" borderId="0" xfId="10" applyFont="1" applyAlignment="1">
      <alignment horizontal="left"/>
    </xf>
    <xf numFmtId="0" fontId="56" fillId="0" borderId="0" xfId="10" applyFont="1" applyAlignment="1">
      <alignment horizontal="center"/>
    </xf>
    <xf numFmtId="0" fontId="57" fillId="0" borderId="0" xfId="10" applyFont="1" applyAlignment="1">
      <alignment horizontal="center"/>
    </xf>
    <xf numFmtId="0" fontId="57" fillId="0" borderId="0" xfId="10" applyFont="1" applyAlignment="1">
      <alignment horizontal="centerContinuous"/>
    </xf>
    <xf numFmtId="0" fontId="57" fillId="0" borderId="0" xfId="10" applyFont="1" applyAlignment="1">
      <alignment horizontal="center" wrapText="1"/>
    </xf>
    <xf numFmtId="0" fontId="51" fillId="0" borderId="27" xfId="10" applyFont="1" applyBorder="1" applyAlignment="1">
      <alignment horizontal="center"/>
    </xf>
    <xf numFmtId="44" fontId="51" fillId="0" borderId="27" xfId="9" applyFont="1" applyBorder="1" applyAlignment="1">
      <alignment horizontal="center"/>
    </xf>
    <xf numFmtId="44" fontId="51" fillId="0" borderId="25" xfId="9" applyFont="1" applyBorder="1" applyAlignment="1">
      <alignment horizontal="center"/>
    </xf>
    <xf numFmtId="44" fontId="51" fillId="0" borderId="0" xfId="9" applyFont="1" applyAlignment="1">
      <alignment horizontal="center"/>
    </xf>
    <xf numFmtId="0" fontId="58" fillId="0" borderId="0" xfId="10" applyFont="1"/>
    <xf numFmtId="44" fontId="51" fillId="0" borderId="0" xfId="9" applyFont="1"/>
    <xf numFmtId="0" fontId="60" fillId="0" borderId="27" xfId="10" applyFont="1" applyBorder="1"/>
    <xf numFmtId="173" fontId="51" fillId="8" borderId="27" xfId="10" applyNumberFormat="1" applyFont="1" applyFill="1" applyBorder="1" applyAlignment="1">
      <alignment horizontal="center"/>
    </xf>
    <xf numFmtId="0" fontId="54" fillId="0" borderId="28" xfId="10" applyFont="1" applyBorder="1"/>
    <xf numFmtId="0" fontId="55" fillId="0" borderId="34" xfId="10" applyFont="1" applyBorder="1" applyAlignment="1">
      <alignment horizontal="center"/>
    </xf>
    <xf numFmtId="0" fontId="51" fillId="0" borderId="0" xfId="0" applyFont="1"/>
    <xf numFmtId="0" fontId="57" fillId="0" borderId="0" xfId="0" applyFont="1" applyAlignment="1">
      <alignment horizontal="centerContinuous"/>
    </xf>
    <xf numFmtId="0" fontId="52" fillId="12" borderId="27" xfId="0" applyFont="1" applyFill="1" applyBorder="1" applyAlignment="1">
      <alignment horizontal="center"/>
    </xf>
    <xf numFmtId="0" fontId="59" fillId="0" borderId="0" xfId="0" applyFont="1" applyAlignment="1">
      <alignment horizontal="center"/>
    </xf>
    <xf numFmtId="0" fontId="61" fillId="0" borderId="0" xfId="0" applyFont="1" applyAlignment="1">
      <alignment horizontal="center"/>
    </xf>
    <xf numFmtId="0" fontId="52" fillId="13" borderId="27" xfId="0" applyFont="1" applyFill="1" applyBorder="1" applyAlignment="1">
      <alignment horizontal="center"/>
    </xf>
    <xf numFmtId="0" fontId="62" fillId="13" borderId="27" xfId="0" applyFont="1" applyFill="1" applyBorder="1" applyAlignment="1">
      <alignment horizontal="center" vertical="center"/>
    </xf>
    <xf numFmtId="0" fontId="62" fillId="13" borderId="27" xfId="0" applyFont="1" applyFill="1" applyBorder="1" applyAlignment="1">
      <alignment horizontal="center"/>
    </xf>
    <xf numFmtId="0" fontId="15" fillId="2" borderId="0" xfId="0" applyFont="1" applyFill="1" applyAlignment="1">
      <alignment horizontal="center" vertical="center" wrapText="1"/>
    </xf>
    <xf numFmtId="0" fontId="21" fillId="0" borderId="0" xfId="0" applyFont="1" applyAlignment="1">
      <alignment horizontal="center" vertical="center"/>
    </xf>
    <xf numFmtId="0" fontId="2" fillId="5" borderId="0" xfId="0" applyFont="1" applyFill="1" applyAlignment="1">
      <alignment vertical="center" wrapText="1"/>
    </xf>
    <xf numFmtId="0" fontId="17" fillId="0" borderId="0" xfId="0" applyFont="1" applyAlignment="1">
      <alignment horizontal="center"/>
    </xf>
    <xf numFmtId="172" fontId="17" fillId="0" borderId="0" xfId="0" applyNumberFormat="1" applyFont="1" applyAlignment="1">
      <alignment horizontal="center"/>
    </xf>
    <xf numFmtId="0" fontId="27" fillId="0" borderId="0" xfId="0" applyFont="1" applyAlignment="1">
      <alignment horizontal="center" vertical="center" wrapText="1"/>
    </xf>
    <xf numFmtId="172" fontId="48" fillId="0" borderId="0" xfId="0" applyNumberFormat="1" applyFont="1" applyAlignment="1">
      <alignment horizontal="center"/>
    </xf>
    <xf numFmtId="166" fontId="48" fillId="0" borderId="0" xfId="0" applyNumberFormat="1" applyFont="1" applyAlignment="1">
      <alignment horizontal="center"/>
    </xf>
    <xf numFmtId="0" fontId="3" fillId="0" borderId="0" xfId="0" applyFont="1" applyAlignment="1">
      <alignment horizontal="center"/>
    </xf>
    <xf numFmtId="0" fontId="27" fillId="0" borderId="0" xfId="0" applyFont="1" applyAlignment="1">
      <alignment horizontal="center" wrapText="1"/>
    </xf>
    <xf numFmtId="0" fontId="27" fillId="0" borderId="0" xfId="0" applyFont="1" applyAlignment="1">
      <alignment horizontal="center" vertical="center"/>
    </xf>
    <xf numFmtId="2" fontId="0" fillId="0" borderId="0" xfId="0" applyNumberFormat="1"/>
    <xf numFmtId="0" fontId="27" fillId="0" borderId="0" xfId="0" applyFont="1" applyAlignment="1">
      <alignment horizontal="center"/>
    </xf>
    <xf numFmtId="0" fontId="8" fillId="0" borderId="0" xfId="0" applyFont="1" applyAlignment="1">
      <alignment horizontal="center"/>
    </xf>
    <xf numFmtId="164" fontId="65" fillId="5" borderId="0" xfId="0" applyNumberFormat="1" applyFont="1" applyFill="1"/>
    <xf numFmtId="1" fontId="0" fillId="0" borderId="0" xfId="0" applyNumberFormat="1"/>
    <xf numFmtId="0" fontId="64" fillId="0" borderId="0" xfId="0" applyFont="1"/>
    <xf numFmtId="0" fontId="66" fillId="0" borderId="0" xfId="0" applyFont="1" applyAlignment="1">
      <alignment horizontal="center"/>
    </xf>
    <xf numFmtId="0" fontId="65" fillId="0" borderId="0" xfId="0" applyFont="1"/>
    <xf numFmtId="168" fontId="27" fillId="0" borderId="0" xfId="0" applyNumberFormat="1" applyFont="1" applyAlignment="1">
      <alignment horizontal="center"/>
    </xf>
    <xf numFmtId="168" fontId="64" fillId="0" borderId="0" xfId="0" applyNumberFormat="1" applyFont="1"/>
    <xf numFmtId="168" fontId="0" fillId="0" borderId="0" xfId="0" applyNumberFormat="1"/>
    <xf numFmtId="166" fontId="17" fillId="0" borderId="0" xfId="0" applyNumberFormat="1" applyFont="1" applyAlignment="1">
      <alignment horizontal="center"/>
    </xf>
    <xf numFmtId="0" fontId="42" fillId="0" borderId="0" xfId="0" applyFont="1" applyAlignment="1">
      <alignment vertical="center"/>
    </xf>
    <xf numFmtId="0" fontId="23" fillId="0" borderId="0" xfId="0" applyFont="1" applyAlignment="1">
      <alignment horizontal="right" vertical="center" wrapText="1"/>
    </xf>
    <xf numFmtId="0" fontId="67" fillId="0" borderId="0" xfId="0" applyFont="1" applyAlignment="1">
      <alignment horizontal="left" vertical="center"/>
    </xf>
    <xf numFmtId="0" fontId="68" fillId="0" borderId="0" xfId="0" applyFont="1"/>
    <xf numFmtId="0" fontId="68" fillId="0" borderId="0" xfId="0" applyFont="1" applyAlignment="1">
      <alignment horizontal="justify" vertical="center"/>
    </xf>
    <xf numFmtId="166" fontId="48" fillId="0" borderId="0" xfId="0" applyNumberFormat="1" applyFont="1" applyAlignment="1">
      <alignment horizontal="center" vertical="center"/>
    </xf>
    <xf numFmtId="0" fontId="4" fillId="0" borderId="0" xfId="0" applyFont="1" applyAlignment="1">
      <alignment vertical="center"/>
    </xf>
    <xf numFmtId="0" fontId="45" fillId="0" borderId="0" xfId="0" applyFont="1"/>
    <xf numFmtId="49" fontId="12" fillId="0" borderId="0" xfId="0" applyNumberFormat="1" applyFont="1" applyAlignment="1">
      <alignment vertical="center"/>
    </xf>
    <xf numFmtId="0" fontId="27" fillId="15" borderId="0" xfId="0" applyFont="1" applyFill="1" applyAlignment="1">
      <alignment vertical="center"/>
    </xf>
    <xf numFmtId="0" fontId="27" fillId="17" borderId="0" xfId="0" applyFont="1" applyFill="1" applyAlignment="1">
      <alignment vertical="center"/>
    </xf>
    <xf numFmtId="0" fontId="27" fillId="18" borderId="0" xfId="0" applyFont="1" applyFill="1" applyAlignment="1">
      <alignment vertical="center"/>
    </xf>
    <xf numFmtId="0" fontId="70" fillId="9" borderId="0" xfId="0" applyFont="1" applyFill="1" applyAlignment="1">
      <alignment vertical="center"/>
    </xf>
    <xf numFmtId="0" fontId="70" fillId="19" borderId="0" xfId="0" applyFont="1" applyFill="1" applyAlignment="1">
      <alignment vertical="center"/>
    </xf>
    <xf numFmtId="0" fontId="4" fillId="0" borderId="0" xfId="0" quotePrefix="1" applyFont="1" applyAlignment="1">
      <alignment horizontal="center" vertical="center"/>
    </xf>
    <xf numFmtId="0" fontId="71" fillId="14" borderId="0" xfId="0" applyFont="1" applyFill="1" applyAlignment="1">
      <alignment vertical="center"/>
    </xf>
    <xf numFmtId="175" fontId="71" fillId="14" borderId="0" xfId="0" applyNumberFormat="1" applyFont="1" applyFill="1" applyAlignment="1">
      <alignment vertical="center"/>
    </xf>
    <xf numFmtId="0" fontId="71" fillId="14" borderId="0" xfId="0" applyFont="1" applyFill="1" applyAlignment="1">
      <alignment horizontal="left" vertical="center"/>
    </xf>
    <xf numFmtId="0" fontId="72" fillId="0" borderId="0" xfId="0" applyFont="1" applyAlignment="1">
      <alignment vertical="top" wrapText="1"/>
    </xf>
    <xf numFmtId="0" fontId="69" fillId="0" borderId="0" xfId="0" applyFont="1" applyAlignment="1">
      <alignment horizontal="left" vertical="top"/>
    </xf>
    <xf numFmtId="0" fontId="38" fillId="0" borderId="0" xfId="0" applyFont="1" applyAlignment="1">
      <alignment horizontal="left" vertical="center"/>
    </xf>
    <xf numFmtId="169" fontId="17" fillId="21" borderId="18" xfId="2" applyNumberFormat="1" applyFont="1" applyFill="1" applyBorder="1" applyAlignment="1">
      <alignment horizontal="right" vertical="center" wrapText="1"/>
    </xf>
    <xf numFmtId="0" fontId="71" fillId="0" borderId="0" xfId="0" applyFont="1" applyAlignment="1">
      <alignment vertical="center"/>
    </xf>
    <xf numFmtId="0" fontId="12" fillId="0" borderId="0" xfId="0" applyFont="1" applyAlignment="1">
      <alignment vertical="center" wrapText="1"/>
    </xf>
    <xf numFmtId="0" fontId="19" fillId="0" borderId="0" xfId="0" applyFont="1" applyAlignment="1">
      <alignment vertical="center"/>
    </xf>
    <xf numFmtId="0" fontId="19" fillId="0" borderId="0" xfId="0" applyFont="1" applyAlignment="1">
      <alignment vertical="center" wrapText="1"/>
    </xf>
    <xf numFmtId="0" fontId="31" fillId="0" borderId="0" xfId="0" applyFont="1" applyAlignment="1">
      <alignment vertical="center"/>
    </xf>
    <xf numFmtId="0" fontId="75" fillId="0" borderId="0" xfId="0" applyFont="1"/>
    <xf numFmtId="0" fontId="4" fillId="0" borderId="0" xfId="0" applyFont="1" applyAlignment="1">
      <alignment horizontal="justify" vertical="center"/>
    </xf>
    <xf numFmtId="0" fontId="23" fillId="0" borderId="0" xfId="0" applyFont="1" applyAlignment="1">
      <alignment horizontal="left" vertical="center"/>
    </xf>
    <xf numFmtId="0" fontId="29" fillId="0" borderId="0" xfId="0" applyFont="1" applyAlignment="1">
      <alignment horizontal="left" vertical="center"/>
    </xf>
    <xf numFmtId="0" fontId="69" fillId="0" borderId="0" xfId="0" applyFont="1" applyAlignment="1">
      <alignment horizontal="left" vertical="center"/>
    </xf>
    <xf numFmtId="0" fontId="18" fillId="0" borderId="0" xfId="0" applyFont="1" applyAlignment="1">
      <alignment horizontal="center" vertical="center"/>
    </xf>
    <xf numFmtId="0" fontId="69" fillId="0" borderId="0" xfId="0" applyFont="1" applyAlignment="1">
      <alignment vertical="center"/>
    </xf>
    <xf numFmtId="0" fontId="4" fillId="0" borderId="0" xfId="0" applyFont="1" applyAlignment="1">
      <alignment horizontal="left" vertical="center" wrapText="1"/>
    </xf>
    <xf numFmtId="0" fontId="69" fillId="0" borderId="0" xfId="0" applyFont="1" applyAlignment="1">
      <alignment horizontal="left" vertical="center" wrapText="1"/>
    </xf>
    <xf numFmtId="0" fontId="37" fillId="0" borderId="0" xfId="0" applyFont="1"/>
    <xf numFmtId="164" fontId="37" fillId="0" borderId="0" xfId="0" applyNumberFormat="1" applyFont="1"/>
    <xf numFmtId="0" fontId="18" fillId="0" borderId="0" xfId="0" applyFont="1" applyAlignment="1">
      <alignment vertical="top" wrapText="1"/>
    </xf>
    <xf numFmtId="0" fontId="6" fillId="0" borderId="0" xfId="0" applyFont="1" applyAlignment="1">
      <alignment horizontal="left" vertical="center"/>
    </xf>
    <xf numFmtId="0" fontId="4" fillId="0" borderId="0" xfId="0" applyFont="1" applyAlignment="1">
      <alignment vertical="top"/>
    </xf>
    <xf numFmtId="0" fontId="6" fillId="0" borderId="0" xfId="0" applyFont="1"/>
    <xf numFmtId="0" fontId="0" fillId="0" borderId="0" xfId="0" applyAlignment="1">
      <alignment horizontal="center" vertical="center"/>
    </xf>
    <xf numFmtId="0" fontId="16" fillId="8" borderId="0" xfId="0" applyFont="1" applyFill="1" applyAlignment="1">
      <alignment horizontal="left" vertical="center" wrapText="1"/>
    </xf>
    <xf numFmtId="0" fontId="13" fillId="0" borderId="0" xfId="0" applyFont="1" applyAlignment="1">
      <alignment horizontal="right" vertical="center" wrapText="1"/>
    </xf>
    <xf numFmtId="164" fontId="17" fillId="0" borderId="0" xfId="0" applyNumberFormat="1" applyFont="1" applyAlignment="1">
      <alignment horizontal="center" vertical="center" wrapText="1"/>
    </xf>
    <xf numFmtId="0" fontId="19" fillId="0" borderId="0" xfId="0" applyFont="1" applyAlignment="1">
      <alignment horizontal="left" vertical="top" wrapText="1"/>
    </xf>
    <xf numFmtId="169" fontId="17" fillId="0" borderId="0" xfId="2" applyNumberFormat="1" applyFont="1" applyAlignment="1">
      <alignment horizontal="center" vertical="center" wrapText="1"/>
    </xf>
    <xf numFmtId="0" fontId="19" fillId="0" borderId="0" xfId="0" applyFont="1" applyAlignment="1">
      <alignment horizontal="left" vertical="center"/>
    </xf>
    <xf numFmtId="0" fontId="39" fillId="0" borderId="0" xfId="0" applyFont="1" applyAlignment="1">
      <alignment vertical="center"/>
    </xf>
    <xf numFmtId="0" fontId="76" fillId="0" borderId="0" xfId="0" applyFont="1" applyAlignment="1">
      <alignment horizontal="right" vertical="top"/>
    </xf>
    <xf numFmtId="0" fontId="0" fillId="0" borderId="0" xfId="0" applyAlignment="1">
      <alignment vertical="center"/>
    </xf>
    <xf numFmtId="0" fontId="8" fillId="0" borderId="0" xfId="0" applyFont="1" applyAlignment="1">
      <alignment vertical="center"/>
    </xf>
    <xf numFmtId="0" fontId="18" fillId="0" borderId="0" xfId="0" applyFont="1" applyAlignment="1">
      <alignment horizontal="justify" vertical="center" wrapText="1"/>
    </xf>
    <xf numFmtId="0" fontId="16" fillId="0" borderId="0" xfId="0" applyFont="1" applyAlignment="1">
      <alignment horizontal="left" vertical="center"/>
    </xf>
    <xf numFmtId="0" fontId="17" fillId="0" borderId="0" xfId="0" applyFont="1" applyAlignment="1">
      <alignment horizontal="justify" vertical="center"/>
    </xf>
    <xf numFmtId="168" fontId="71" fillId="14" borderId="0" xfId="0" applyNumberFormat="1" applyFont="1" applyFill="1" applyAlignment="1">
      <alignment horizontal="left" vertical="center"/>
    </xf>
    <xf numFmtId="0" fontId="4" fillId="0" borderId="0" xfId="0" applyFont="1" applyAlignment="1">
      <alignment horizontal="right"/>
    </xf>
    <xf numFmtId="0" fontId="69" fillId="0" borderId="0" xfId="0" applyFont="1" applyAlignment="1">
      <alignment vertical="center"/>
    </xf>
    <xf numFmtId="0" fontId="4" fillId="0" borderId="0" xfId="0" applyFont="1" applyAlignment="1">
      <alignment horizontal="right" vertical="center"/>
    </xf>
    <xf numFmtId="169" fontId="71" fillId="14" borderId="0" xfId="2" applyNumberFormat="1" applyFont="1" applyFill="1" applyAlignment="1">
      <alignment horizontal="left" vertical="center"/>
    </xf>
    <xf numFmtId="0" fontId="0" fillId="0" borderId="0" xfId="0"/>
    <xf numFmtId="0" fontId="22" fillId="0" borderId="0" xfId="0" applyFont="1" applyAlignment="1">
      <alignment vertical="center"/>
    </xf>
    <xf numFmtId="0" fontId="18" fillId="0" borderId="0" xfId="0" applyFont="1" applyAlignment="1">
      <alignment horizontal="justify" vertical="center"/>
    </xf>
    <xf numFmtId="0" fontId="68" fillId="0" borderId="0" xfId="0" applyFont="1" applyAlignment="1">
      <alignment vertical="center" wrapText="1"/>
    </xf>
    <xf numFmtId="0" fontId="0" fillId="0" borderId="37"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77" fillId="28" borderId="0" xfId="0" applyFont="1" applyFill="1"/>
    <xf numFmtId="0" fontId="77" fillId="0" borderId="37" xfId="0" applyFont="1" applyBorder="1"/>
    <xf numFmtId="0" fontId="0" fillId="0" borderId="48" xfId="0" applyBorder="1"/>
    <xf numFmtId="0" fontId="0" fillId="0" borderId="49" xfId="0" applyBorder="1"/>
    <xf numFmtId="177" fontId="78" fillId="29" borderId="50" xfId="0" applyNumberFormat="1" applyFont="1" applyFill="1" applyBorder="1"/>
    <xf numFmtId="168" fontId="78" fillId="0" borderId="50" xfId="0" applyNumberFormat="1" applyFont="1" applyBorder="1" applyProtection="1">
      <protection locked="0"/>
    </xf>
    <xf numFmtId="177" fontId="78" fillId="29" borderId="52" xfId="0" applyNumberFormat="1" applyFont="1" applyFill="1" applyBorder="1"/>
    <xf numFmtId="168" fontId="78" fillId="0" borderId="52" xfId="0" applyNumberFormat="1" applyFont="1" applyBorder="1" applyProtection="1">
      <protection locked="0"/>
    </xf>
    <xf numFmtId="0" fontId="0" fillId="0" borderId="54" xfId="0" applyBorder="1"/>
    <xf numFmtId="168" fontId="78" fillId="0" borderId="55" xfId="0" applyNumberFormat="1" applyFont="1" applyBorder="1" applyProtection="1">
      <protection locked="0"/>
    </xf>
    <xf numFmtId="0" fontId="77" fillId="30" borderId="0" xfId="0" applyFont="1" applyFill="1"/>
    <xf numFmtId="10" fontId="77" fillId="0" borderId="56" xfId="2" applyNumberFormat="1" applyFont="1" applyBorder="1"/>
    <xf numFmtId="168" fontId="0" fillId="30" borderId="57" xfId="0" applyNumberFormat="1" applyFill="1" applyBorder="1"/>
    <xf numFmtId="0" fontId="0" fillId="0" borderId="58" xfId="0" applyBorder="1"/>
    <xf numFmtId="0" fontId="0" fillId="0" borderId="59" xfId="0" applyBorder="1"/>
    <xf numFmtId="0" fontId="0" fillId="0" borderId="60" xfId="0" applyBorder="1"/>
    <xf numFmtId="168" fontId="78" fillId="31" borderId="0" xfId="0" applyNumberFormat="1" applyFont="1" applyFill="1" applyProtection="1">
      <protection locked="0"/>
    </xf>
    <xf numFmtId="168" fontId="78" fillId="31" borderId="54" xfId="0" applyNumberFormat="1" applyFont="1" applyFill="1" applyBorder="1" applyProtection="1">
      <protection locked="0"/>
    </xf>
    <xf numFmtId="0" fontId="6" fillId="27" borderId="0" xfId="0" applyFont="1" applyFill="1" applyAlignment="1">
      <alignment vertical="center"/>
    </xf>
    <xf numFmtId="0" fontId="6" fillId="27" borderId="37" xfId="0" applyFont="1" applyFill="1" applyBorder="1" applyAlignment="1">
      <alignment vertical="center"/>
    </xf>
    <xf numFmtId="0" fontId="0" fillId="0" borderId="0" xfId="0" applyFont="1"/>
    <xf numFmtId="0" fontId="66" fillId="0" borderId="0" xfId="0" applyFont="1" applyAlignment="1">
      <alignment vertical="top" wrapText="1"/>
    </xf>
    <xf numFmtId="0" fontId="74" fillId="0" borderId="0" xfId="11" applyFont="1" applyAlignment="1">
      <alignment horizontal="center"/>
    </xf>
    <xf numFmtId="0" fontId="74" fillId="0" borderId="63" xfId="11" applyFont="1" applyBorder="1" applyAlignment="1">
      <alignment horizontal="center"/>
    </xf>
    <xf numFmtId="0" fontId="74" fillId="0" borderId="64" xfId="11" applyFont="1" applyBorder="1" applyAlignment="1">
      <alignment horizontal="center"/>
    </xf>
    <xf numFmtId="0" fontId="37" fillId="0" borderId="0" xfId="0" applyFont="1" applyAlignment="1">
      <alignment horizontal="center" vertical="center"/>
    </xf>
    <xf numFmtId="0" fontId="9" fillId="0" borderId="0" xfId="11" applyFont="1"/>
    <xf numFmtId="2" fontId="74" fillId="0" borderId="51" xfId="11" applyNumberFormat="1" applyFont="1" applyBorder="1"/>
    <xf numFmtId="2" fontId="74" fillId="0" borderId="65" xfId="11" applyNumberFormat="1" applyFont="1" applyBorder="1"/>
    <xf numFmtId="2" fontId="74" fillId="0" borderId="66" xfId="11" applyNumberFormat="1" applyFont="1" applyBorder="1"/>
    <xf numFmtId="2" fontId="74" fillId="0" borderId="67" xfId="11" applyNumberFormat="1" applyFont="1" applyBorder="1"/>
    <xf numFmtId="2" fontId="74" fillId="0" borderId="0" xfId="0" applyNumberFormat="1" applyFont="1"/>
    <xf numFmtId="2" fontId="82" fillId="0" borderId="0" xfId="0" applyNumberFormat="1" applyFont="1"/>
    <xf numFmtId="0" fontId="83" fillId="0" borderId="0" xfId="0" applyFont="1"/>
    <xf numFmtId="0" fontId="82" fillId="0" borderId="0" xfId="0" applyFont="1"/>
    <xf numFmtId="169" fontId="85" fillId="0" borderId="0" xfId="2" applyNumberFormat="1" applyFont="1"/>
    <xf numFmtId="0" fontId="81" fillId="0" borderId="0" xfId="0" applyFont="1"/>
    <xf numFmtId="44" fontId="81" fillId="0" borderId="0" xfId="0" applyNumberFormat="1" applyFont="1"/>
    <xf numFmtId="166" fontId="81" fillId="0" borderId="0" xfId="0" applyNumberFormat="1" applyFont="1"/>
    <xf numFmtId="9" fontId="0" fillId="0" borderId="0" xfId="2" applyFont="1"/>
    <xf numFmtId="0" fontId="18"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center"/>
    </xf>
    <xf numFmtId="0" fontId="86" fillId="0" borderId="0" xfId="0" applyFont="1"/>
    <xf numFmtId="164" fontId="86" fillId="0" borderId="0" xfId="0" applyNumberFormat="1" applyFont="1"/>
    <xf numFmtId="44" fontId="51" fillId="0" borderId="25" xfId="9" applyFont="1" applyBorder="1" applyAlignment="1">
      <alignment horizontal="center"/>
    </xf>
    <xf numFmtId="0" fontId="51" fillId="0" borderId="0" xfId="10" applyFont="1"/>
    <xf numFmtId="44" fontId="51" fillId="0" borderId="0" xfId="9" applyFont="1" applyAlignment="1">
      <alignment horizontal="center"/>
    </xf>
    <xf numFmtId="0" fontId="7" fillId="0" borderId="0" xfId="0" applyFont="1" applyAlignment="1">
      <alignment horizontal="left" vertical="center"/>
    </xf>
    <xf numFmtId="0" fontId="51" fillId="0" borderId="0" xfId="10" applyFont="1" applyBorder="1" applyAlignment="1">
      <alignment horizontal="center"/>
    </xf>
    <xf numFmtId="44" fontId="51" fillId="0" borderId="0" xfId="9" applyFont="1" applyBorder="1" applyAlignment="1">
      <alignment horizontal="center"/>
    </xf>
    <xf numFmtId="0" fontId="0" fillId="24" borderId="0" xfId="0" applyFill="1"/>
    <xf numFmtId="170" fontId="80" fillId="0" borderId="37" xfId="12" applyNumberFormat="1" applyFont="1" applyBorder="1" applyAlignment="1">
      <alignment horizontal="right"/>
    </xf>
    <xf numFmtId="169" fontId="8" fillId="31" borderId="51" xfId="2" applyNumberFormat="1" applyFont="1" applyFill="1" applyBorder="1"/>
    <xf numFmtId="169" fontId="8" fillId="31" borderId="53" xfId="2" applyNumberFormat="1" applyFont="1" applyFill="1" applyBorder="1"/>
    <xf numFmtId="0" fontId="51" fillId="0" borderId="0" xfId="10" applyFont="1" applyAlignment="1">
      <alignment vertical="center"/>
    </xf>
    <xf numFmtId="0" fontId="52" fillId="0" borderId="0" xfId="10" applyFont="1" applyAlignment="1">
      <alignment vertical="center"/>
    </xf>
    <xf numFmtId="0" fontId="51" fillId="0" borderId="27" xfId="10" applyFont="1" applyBorder="1" applyAlignment="1">
      <alignment horizontal="center" vertical="center"/>
    </xf>
    <xf numFmtId="0" fontId="51" fillId="0" borderId="0" xfId="10" applyFont="1" applyAlignment="1">
      <alignment horizontal="center" vertical="center"/>
    </xf>
    <xf numFmtId="0" fontId="4" fillId="0" borderId="27" xfId="10" applyFont="1" applyBorder="1" applyAlignment="1">
      <alignment horizontal="center" vertical="center"/>
    </xf>
    <xf numFmtId="0" fontId="51" fillId="0" borderId="0" xfId="10" applyFont="1" applyBorder="1" applyAlignment="1">
      <alignment horizontal="center" vertical="center"/>
    </xf>
    <xf numFmtId="0" fontId="52" fillId="0" borderId="27" xfId="10" applyFont="1" applyBorder="1" applyAlignment="1">
      <alignment horizontal="center" vertical="center"/>
    </xf>
    <xf numFmtId="44" fontId="51" fillId="0" borderId="27" xfId="9" applyFont="1" applyBorder="1" applyAlignment="1">
      <alignment horizontal="center" vertical="center"/>
    </xf>
    <xf numFmtId="44" fontId="51" fillId="0" borderId="0" xfId="9" applyFont="1" applyBorder="1" applyAlignment="1">
      <alignment horizontal="center" vertical="center"/>
    </xf>
    <xf numFmtId="44" fontId="51" fillId="0" borderId="0" xfId="9" applyFont="1" applyAlignment="1">
      <alignment horizontal="center" vertical="center"/>
    </xf>
    <xf numFmtId="10" fontId="51" fillId="0" borderId="27" xfId="10" applyNumberFormat="1" applyFont="1" applyBorder="1" applyAlignment="1">
      <alignment horizontal="center" vertical="center"/>
    </xf>
    <xf numFmtId="10" fontId="51" fillId="0" borderId="0" xfId="10" applyNumberFormat="1" applyFont="1" applyBorder="1" applyAlignment="1">
      <alignment horizontal="center" vertical="center"/>
    </xf>
    <xf numFmtId="10" fontId="51" fillId="0" borderId="0" xfId="10" applyNumberFormat="1" applyFont="1" applyAlignment="1">
      <alignment horizontal="center" vertical="center"/>
    </xf>
    <xf numFmtId="167" fontId="0" fillId="0" borderId="0" xfId="0" applyNumberFormat="1" applyAlignment="1">
      <alignment horizontal="right"/>
    </xf>
    <xf numFmtId="167" fontId="7" fillId="0" borderId="0" xfId="0" applyNumberFormat="1" applyFont="1" applyAlignment="1">
      <alignment horizontal="right" vertical="center"/>
    </xf>
    <xf numFmtId="0" fontId="17" fillId="0" borderId="0" xfId="0" applyFont="1" applyAlignment="1">
      <alignment horizontal="right" vertical="center" wrapText="1"/>
    </xf>
    <xf numFmtId="0" fontId="31" fillId="0" borderId="0" xfId="0" applyFont="1" applyAlignment="1">
      <alignment horizontal="left" vertical="center"/>
    </xf>
    <xf numFmtId="0" fontId="7" fillId="0" borderId="0" xfId="0" applyFont="1" applyAlignment="1">
      <alignment horizontal="center" vertical="center"/>
    </xf>
    <xf numFmtId="0" fontId="5" fillId="0" borderId="0" xfId="0" applyFont="1" applyAlignment="1">
      <alignment vertical="center"/>
    </xf>
    <xf numFmtId="0" fontId="17" fillId="0" borderId="0" xfId="0" applyFont="1" applyAlignment="1">
      <alignment vertical="center"/>
    </xf>
    <xf numFmtId="0" fontId="0" fillId="0" borderId="0" xfId="0" applyAlignment="1">
      <alignment horizontal="left" vertical="center"/>
    </xf>
    <xf numFmtId="0" fontId="16" fillId="0" borderId="0" xfId="0" applyFont="1" applyAlignment="1">
      <alignment vertical="center" wrapText="1"/>
    </xf>
    <xf numFmtId="0" fontId="23" fillId="0" borderId="0" xfId="0" applyFont="1" applyBorder="1" applyAlignment="1">
      <alignment horizontal="right" vertical="center" wrapText="1"/>
    </xf>
    <xf numFmtId="170" fontId="23" fillId="0" borderId="0" xfId="1" applyNumberFormat="1" applyFont="1" applyBorder="1" applyAlignment="1">
      <alignment horizontal="center" vertical="center" wrapText="1"/>
    </xf>
    <xf numFmtId="0" fontId="16" fillId="0" borderId="0" xfId="0" applyFont="1" applyBorder="1" applyAlignment="1">
      <alignment vertical="center" wrapText="1"/>
    </xf>
    <xf numFmtId="169" fontId="23" fillId="0" borderId="0" xfId="2" applyNumberFormat="1" applyFont="1" applyBorder="1" applyAlignment="1">
      <alignment horizontal="center" vertical="center" wrapText="1"/>
    </xf>
    <xf numFmtId="44" fontId="81" fillId="0" borderId="40" xfId="0" applyNumberFormat="1" applyFont="1" applyBorder="1"/>
    <xf numFmtId="164" fontId="86" fillId="0" borderId="40" xfId="0" applyNumberFormat="1" applyFont="1" applyBorder="1"/>
    <xf numFmtId="0" fontId="86" fillId="0" borderId="0" xfId="0" applyFont="1" applyAlignment="1">
      <alignment horizontal="center"/>
    </xf>
    <xf numFmtId="0" fontId="81" fillId="0" borderId="0" xfId="0" applyFont="1" applyAlignment="1">
      <alignment horizontal="center"/>
    </xf>
    <xf numFmtId="0" fontId="0" fillId="0" borderId="0" xfId="0"/>
    <xf numFmtId="0" fontId="88" fillId="14" borderId="37" xfId="0" applyFont="1" applyFill="1" applyBorder="1" applyAlignment="1">
      <alignment horizontal="center" vertical="center"/>
    </xf>
    <xf numFmtId="0" fontId="88" fillId="14" borderId="37" xfId="0" applyFont="1" applyFill="1" applyBorder="1" applyAlignment="1">
      <alignment horizontal="center" vertical="center" wrapText="1"/>
    </xf>
    <xf numFmtId="0" fontId="75" fillId="14" borderId="48" xfId="0" applyFont="1" applyFill="1" applyBorder="1" applyAlignment="1">
      <alignment horizontal="center" vertical="center"/>
    </xf>
    <xf numFmtId="0" fontId="26" fillId="0" borderId="50" xfId="0" applyFont="1" applyBorder="1"/>
    <xf numFmtId="170" fontId="26" fillId="0" borderId="50" xfId="1" applyNumberFormat="1" applyFont="1" applyBorder="1"/>
    <xf numFmtId="170" fontId="26" fillId="14" borderId="71" xfId="0" applyNumberFormat="1" applyFont="1" applyFill="1" applyBorder="1"/>
    <xf numFmtId="0" fontId="26" fillId="14" borderId="50" xfId="0" applyFont="1" applyFill="1" applyBorder="1"/>
    <xf numFmtId="0" fontId="26" fillId="0" borderId="52" xfId="0" applyFont="1" applyBorder="1"/>
    <xf numFmtId="170" fontId="26" fillId="0" borderId="52" xfId="1" applyNumberFormat="1" applyFont="1" applyBorder="1"/>
    <xf numFmtId="170" fontId="26" fillId="14" borderId="0" xfId="0" applyNumberFormat="1" applyFont="1" applyFill="1" applyBorder="1"/>
    <xf numFmtId="0" fontId="26" fillId="14" borderId="52" xfId="0" applyFont="1" applyFill="1" applyBorder="1"/>
    <xf numFmtId="0" fontId="26" fillId="14" borderId="0" xfId="0" applyFont="1" applyFill="1" applyBorder="1"/>
    <xf numFmtId="0" fontId="26" fillId="0" borderId="68" xfId="0" applyFont="1" applyBorder="1"/>
    <xf numFmtId="0" fontId="26" fillId="14" borderId="54" xfId="0" applyFont="1" applyFill="1" applyBorder="1"/>
    <xf numFmtId="2" fontId="26" fillId="0" borderId="68" xfId="0" applyNumberFormat="1" applyFont="1" applyBorder="1"/>
    <xf numFmtId="0" fontId="26" fillId="14" borderId="68" xfId="0" applyFont="1" applyFill="1" applyBorder="1"/>
    <xf numFmtId="0" fontId="0" fillId="0" borderId="0" xfId="0"/>
    <xf numFmtId="0" fontId="26" fillId="0" borderId="0" xfId="0" applyFont="1"/>
    <xf numFmtId="0" fontId="88" fillId="14" borderId="37" xfId="0" applyFont="1" applyFill="1" applyBorder="1" applyAlignment="1">
      <alignment horizontal="center" vertical="center"/>
    </xf>
    <xf numFmtId="0" fontId="88" fillId="14" borderId="37" xfId="0" applyFont="1" applyFill="1" applyBorder="1" applyAlignment="1">
      <alignment horizontal="center" vertical="center" wrapText="1"/>
    </xf>
    <xf numFmtId="0" fontId="75" fillId="14" borderId="37" xfId="0" applyFont="1" applyFill="1" applyBorder="1" applyAlignment="1">
      <alignment horizontal="center" vertical="center" wrapText="1"/>
    </xf>
    <xf numFmtId="0" fontId="26" fillId="0" borderId="50" xfId="0" applyFont="1" applyBorder="1" applyAlignment="1">
      <alignment horizontal="center"/>
    </xf>
    <xf numFmtId="168" fontId="26" fillId="0" borderId="50" xfId="0" applyNumberFormat="1" applyFont="1" applyBorder="1"/>
    <xf numFmtId="168" fontId="26" fillId="0" borderId="63" xfId="0" applyNumberFormat="1" applyFont="1" applyBorder="1"/>
    <xf numFmtId="169" fontId="26" fillId="14" borderId="52" xfId="0" applyNumberFormat="1" applyFont="1" applyFill="1" applyBorder="1" applyAlignment="1">
      <alignment horizontal="center"/>
    </xf>
    <xf numFmtId="168" fontId="26" fillId="0" borderId="64" xfId="0" applyNumberFormat="1" applyFont="1" applyBorder="1"/>
    <xf numFmtId="0" fontId="26" fillId="0" borderId="52" xfId="0" applyFont="1" applyBorder="1" applyAlignment="1">
      <alignment horizontal="center"/>
    </xf>
    <xf numFmtId="168" fontId="26" fillId="0" borderId="52" xfId="0" applyNumberFormat="1" applyFont="1" applyBorder="1"/>
    <xf numFmtId="168" fontId="26" fillId="0" borderId="51" xfId="0" applyNumberFormat="1" applyFont="1" applyBorder="1"/>
    <xf numFmtId="168" fontId="26" fillId="0" borderId="65" xfId="0" applyNumberFormat="1" applyFont="1" applyBorder="1"/>
    <xf numFmtId="0" fontId="26" fillId="0" borderId="68" xfId="0" applyFont="1" applyBorder="1" applyAlignment="1">
      <alignment horizontal="center"/>
    </xf>
    <xf numFmtId="168" fontId="26" fillId="0" borderId="68" xfId="0" applyNumberFormat="1" applyFont="1" applyBorder="1"/>
    <xf numFmtId="168" fontId="26" fillId="0" borderId="53" xfId="0" applyNumberFormat="1" applyFont="1" applyBorder="1"/>
    <xf numFmtId="169" fontId="26" fillId="14" borderId="68" xfId="0" applyNumberFormat="1" applyFont="1" applyFill="1" applyBorder="1" applyAlignment="1">
      <alignment horizontal="center"/>
    </xf>
    <xf numFmtId="168" fontId="26" fillId="0" borderId="69" xfId="0" applyNumberFormat="1" applyFont="1" applyBorder="1"/>
    <xf numFmtId="0" fontId="0" fillId="0" borderId="0" xfId="0"/>
    <xf numFmtId="0" fontId="87" fillId="0" borderId="0" xfId="0" applyFont="1"/>
    <xf numFmtId="166" fontId="87" fillId="0" borderId="0" xfId="1" applyFont="1"/>
    <xf numFmtId="166" fontId="16" fillId="0" borderId="0" xfId="0" applyNumberFormat="1" applyFont="1" applyBorder="1" applyAlignment="1">
      <alignment horizontal="center" vertical="center" wrapText="1"/>
    </xf>
    <xf numFmtId="0" fontId="46" fillId="0" borderId="0" xfId="0" applyFont="1" applyFill="1" applyAlignment="1">
      <alignment vertical="center"/>
    </xf>
    <xf numFmtId="9" fontId="0" fillId="0" borderId="0" xfId="2" applyFont="1" applyAlignment="1">
      <alignment horizontal="center"/>
    </xf>
    <xf numFmtId="0" fontId="18" fillId="0" borderId="0" xfId="0" applyFont="1" applyAlignment="1">
      <alignment horizontal="left" vertical="center" wrapText="1"/>
    </xf>
    <xf numFmtId="0" fontId="69" fillId="0" borderId="0" xfId="0" applyFont="1" applyAlignment="1">
      <alignment vertical="center"/>
    </xf>
    <xf numFmtId="0" fontId="0" fillId="0" borderId="0" xfId="0" applyBorder="1"/>
    <xf numFmtId="0" fontId="15" fillId="0" borderId="72" xfId="0" applyFont="1" applyBorder="1" applyAlignment="1">
      <alignment horizontal="center" vertical="center" wrapText="1"/>
    </xf>
    <xf numFmtId="0" fontId="27" fillId="0" borderId="54" xfId="0" applyFont="1" applyBorder="1" applyAlignment="1">
      <alignment horizontal="left" vertical="center" wrapText="1"/>
    </xf>
    <xf numFmtId="0" fontId="15" fillId="0" borderId="73" xfId="0" applyFont="1" applyBorder="1" applyAlignment="1">
      <alignment horizontal="center" vertical="center" wrapText="1"/>
    </xf>
    <xf numFmtId="164" fontId="67" fillId="5" borderId="37" xfId="0" applyNumberFormat="1" applyFont="1" applyFill="1" applyBorder="1" applyAlignment="1">
      <alignment horizontal="center" vertical="center" wrapText="1"/>
    </xf>
    <xf numFmtId="164" fontId="67" fillId="5" borderId="70" xfId="0" applyNumberFormat="1" applyFont="1" applyFill="1" applyBorder="1" applyAlignment="1">
      <alignment horizontal="center" vertical="center" wrapText="1"/>
    </xf>
    <xf numFmtId="1" fontId="67" fillId="5" borderId="37" xfId="0" applyNumberFormat="1" applyFont="1" applyFill="1" applyBorder="1" applyAlignment="1">
      <alignment horizontal="center" vertical="center" wrapText="1"/>
    </xf>
    <xf numFmtId="168" fontId="67" fillId="5" borderId="37" xfId="0" applyNumberFormat="1" applyFont="1" applyFill="1" applyBorder="1" applyAlignment="1">
      <alignment horizontal="center" vertical="center" wrapText="1"/>
    </xf>
    <xf numFmtId="168" fontId="67" fillId="5" borderId="70" xfId="0" applyNumberFormat="1" applyFont="1" applyFill="1" applyBorder="1" applyAlignment="1">
      <alignment horizontal="center" vertical="center" wrapText="1"/>
    </xf>
    <xf numFmtId="164" fontId="67" fillId="5" borderId="50" xfId="0" applyNumberFormat="1" applyFont="1" applyFill="1" applyBorder="1" applyAlignment="1">
      <alignment horizontal="center" vertical="center" wrapText="1"/>
    </xf>
    <xf numFmtId="164" fontId="67" fillId="5" borderId="63" xfId="0" applyNumberFormat="1" applyFont="1" applyFill="1" applyBorder="1" applyAlignment="1">
      <alignment horizontal="center" vertical="center" wrapText="1"/>
    </xf>
    <xf numFmtId="164" fontId="67" fillId="0" borderId="74" xfId="0" applyNumberFormat="1" applyFont="1" applyBorder="1" applyAlignment="1">
      <alignment horizontal="center" vertical="center" wrapText="1"/>
    </xf>
    <xf numFmtId="164" fontId="67" fillId="0" borderId="78" xfId="0" applyNumberFormat="1" applyFont="1" applyBorder="1" applyAlignment="1">
      <alignment horizontal="center" vertical="center" wrapText="1"/>
    </xf>
    <xf numFmtId="164" fontId="4" fillId="0" borderId="74" xfId="0" applyNumberFormat="1" applyFont="1" applyBorder="1" applyAlignment="1">
      <alignment horizontal="center" vertical="center" wrapText="1"/>
    </xf>
    <xf numFmtId="164" fontId="67" fillId="0" borderId="80" xfId="0" applyNumberFormat="1" applyFont="1" applyBorder="1" applyAlignment="1">
      <alignment horizontal="center" vertical="center" wrapText="1"/>
    </xf>
    <xf numFmtId="164" fontId="67" fillId="0" borderId="81" xfId="0" applyNumberFormat="1" applyFont="1" applyBorder="1" applyAlignment="1">
      <alignment horizontal="center" vertical="center" wrapText="1"/>
    </xf>
    <xf numFmtId="0" fontId="0" fillId="0" borderId="74" xfId="0" applyBorder="1"/>
    <xf numFmtId="0" fontId="15" fillId="0" borderId="84" xfId="0" applyFont="1" applyBorder="1" applyAlignment="1">
      <alignment horizontal="center" vertical="center" wrapText="1"/>
    </xf>
    <xf numFmtId="0" fontId="15" fillId="0" borderId="86" xfId="0" applyFont="1" applyBorder="1" applyAlignment="1">
      <alignment horizontal="center" vertical="center" wrapText="1"/>
    </xf>
    <xf numFmtId="0" fontId="27" fillId="0" borderId="83" xfId="0" applyFont="1" applyBorder="1" applyAlignment="1">
      <alignment horizontal="left" vertical="center" wrapText="1"/>
    </xf>
    <xf numFmtId="0" fontId="84" fillId="0" borderId="0" xfId="0" applyFont="1" applyAlignment="1">
      <alignment vertical="center"/>
    </xf>
    <xf numFmtId="0" fontId="91" fillId="0" borderId="0" xfId="0" applyFont="1" applyAlignment="1">
      <alignment vertical="center"/>
    </xf>
    <xf numFmtId="0" fontId="14" fillId="23" borderId="88" xfId="0" applyFont="1" applyFill="1" applyBorder="1" applyAlignment="1">
      <alignment horizontal="center" vertical="center" wrapText="1"/>
    </xf>
    <xf numFmtId="0" fontId="15" fillId="0" borderId="83" xfId="0" applyFont="1" applyBorder="1" applyAlignment="1">
      <alignment horizontal="left" vertical="center" wrapText="1"/>
    </xf>
    <xf numFmtId="0" fontId="15" fillId="0" borderId="83" xfId="0" applyFont="1" applyBorder="1" applyAlignment="1">
      <alignment horizontal="center" vertical="center" wrapText="1"/>
    </xf>
    <xf numFmtId="0" fontId="6" fillId="20" borderId="77" xfId="0" applyFont="1" applyFill="1" applyBorder="1" applyAlignment="1">
      <alignment horizontal="left" vertical="center" wrapText="1"/>
    </xf>
    <xf numFmtId="169" fontId="4" fillId="0" borderId="74" xfId="2" applyNumberFormat="1" applyFont="1" applyBorder="1" applyAlignment="1">
      <alignment horizontal="center" vertical="center" wrapText="1"/>
    </xf>
    <xf numFmtId="169" fontId="4" fillId="0" borderId="78" xfId="2" applyNumberFormat="1" applyFont="1" applyBorder="1" applyAlignment="1">
      <alignment horizontal="center" vertical="center" wrapText="1"/>
    </xf>
    <xf numFmtId="169" fontId="6" fillId="20" borderId="74" xfId="2" applyNumberFormat="1" applyFont="1" applyFill="1" applyBorder="1" applyAlignment="1">
      <alignment horizontal="center" vertical="center" wrapText="1"/>
    </xf>
    <xf numFmtId="169" fontId="6" fillId="20" borderId="78" xfId="2" applyNumberFormat="1" applyFont="1" applyFill="1" applyBorder="1" applyAlignment="1">
      <alignment horizontal="center" vertical="center" wrapText="1"/>
    </xf>
    <xf numFmtId="180" fontId="6" fillId="20" borderId="74" xfId="0" applyNumberFormat="1" applyFont="1" applyFill="1" applyBorder="1" applyAlignment="1">
      <alignment horizontal="center" vertical="center" wrapText="1"/>
    </xf>
    <xf numFmtId="0" fontId="15" fillId="22" borderId="74" xfId="0" applyFont="1" applyFill="1" applyBorder="1" applyAlignment="1">
      <alignment horizontal="center" vertical="center" wrapText="1"/>
    </xf>
    <xf numFmtId="0" fontId="27" fillId="22" borderId="74" xfId="0" applyFont="1" applyFill="1" applyBorder="1" applyAlignment="1">
      <alignment horizontal="center" vertical="center" wrapText="1"/>
    </xf>
    <xf numFmtId="0" fontId="27" fillId="22" borderId="85" xfId="0" applyFont="1" applyFill="1" applyBorder="1" applyAlignment="1">
      <alignment horizontal="center" vertical="center" wrapText="1"/>
    </xf>
    <xf numFmtId="0" fontId="15" fillId="22" borderId="78" xfId="0" applyFont="1" applyFill="1" applyBorder="1" applyAlignment="1">
      <alignment vertical="center" wrapText="1"/>
    </xf>
    <xf numFmtId="0" fontId="15" fillId="22" borderId="87" xfId="0" applyFont="1" applyFill="1" applyBorder="1" applyAlignment="1">
      <alignment horizontal="center" vertical="center" wrapText="1"/>
    </xf>
    <xf numFmtId="0" fontId="15" fillId="22" borderId="85" xfId="0" applyFont="1" applyFill="1" applyBorder="1" applyAlignment="1">
      <alignment horizontal="center" vertical="center" wrapText="1"/>
    </xf>
    <xf numFmtId="166" fontId="23" fillId="0" borderId="74" xfId="0" applyNumberFormat="1" applyFont="1" applyBorder="1" applyAlignment="1">
      <alignment horizontal="center" vertical="center" wrapText="1"/>
    </xf>
    <xf numFmtId="0" fontId="17" fillId="0" borderId="74" xfId="0" applyFont="1" applyBorder="1" applyAlignment="1">
      <alignment horizontal="center" vertical="center" wrapText="1"/>
    </xf>
    <xf numFmtId="166" fontId="23" fillId="14" borderId="74" xfId="0" applyNumberFormat="1" applyFont="1" applyFill="1" applyBorder="1" applyAlignment="1">
      <alignment horizontal="center" vertical="center" wrapText="1"/>
    </xf>
    <xf numFmtId="0" fontId="77" fillId="0" borderId="0" xfId="0" applyFont="1" applyAlignment="1">
      <alignment horizontal="left"/>
    </xf>
    <xf numFmtId="0" fontId="8" fillId="0" borderId="0" xfId="0" applyFont="1" applyAlignment="1">
      <alignment horizontal="left" vertical="top"/>
    </xf>
    <xf numFmtId="1" fontId="4" fillId="5" borderId="37" xfId="0" applyNumberFormat="1" applyFont="1" applyFill="1" applyBorder="1" applyAlignment="1">
      <alignment horizontal="center" vertical="center" wrapText="1"/>
    </xf>
    <xf numFmtId="1" fontId="4" fillId="5" borderId="70" xfId="0" applyNumberFormat="1" applyFont="1" applyFill="1" applyBorder="1" applyAlignment="1">
      <alignment horizontal="center" vertical="center" wrapText="1"/>
    </xf>
    <xf numFmtId="0" fontId="6" fillId="14" borderId="77" xfId="0" applyFont="1" applyFill="1" applyBorder="1" applyAlignment="1">
      <alignment horizontal="left" vertical="center" wrapText="1"/>
    </xf>
    <xf numFmtId="164" fontId="6" fillId="14" borderId="74" xfId="0" applyNumberFormat="1" applyFont="1" applyFill="1" applyBorder="1" applyAlignment="1">
      <alignment horizontal="center" vertical="center" wrapText="1"/>
    </xf>
    <xf numFmtId="169" fontId="6" fillId="14" borderId="74" xfId="2" applyNumberFormat="1" applyFont="1" applyFill="1" applyBorder="1" applyAlignment="1">
      <alignment horizontal="center" vertical="center" wrapText="1"/>
    </xf>
    <xf numFmtId="169" fontId="6" fillId="14" borderId="78" xfId="2" applyNumberFormat="1" applyFont="1" applyFill="1" applyBorder="1" applyAlignment="1">
      <alignment horizontal="center" vertical="center" wrapText="1"/>
    </xf>
    <xf numFmtId="0" fontId="6" fillId="14" borderId="79" xfId="0" applyFont="1" applyFill="1" applyBorder="1" applyAlignment="1">
      <alignment horizontal="left" vertical="center" wrapText="1"/>
    </xf>
    <xf numFmtId="0" fontId="6" fillId="14" borderId="80" xfId="0" applyFont="1" applyFill="1" applyBorder="1" applyAlignment="1">
      <alignment horizontal="center" vertical="center" wrapText="1"/>
    </xf>
    <xf numFmtId="164" fontId="6" fillId="14" borderId="80" xfId="0" applyNumberFormat="1" applyFont="1" applyFill="1" applyBorder="1" applyAlignment="1">
      <alignment horizontal="center" vertical="center" wrapText="1"/>
    </xf>
    <xf numFmtId="169" fontId="6" fillId="14" borderId="80" xfId="2" applyNumberFormat="1" applyFont="1" applyFill="1" applyBorder="1" applyAlignment="1">
      <alignment horizontal="center" vertical="center" wrapText="1"/>
    </xf>
    <xf numFmtId="169" fontId="6" fillId="14" borderId="81" xfId="2" applyNumberFormat="1" applyFont="1" applyFill="1" applyBorder="1" applyAlignment="1">
      <alignment horizontal="center" vertical="center" wrapText="1"/>
    </xf>
    <xf numFmtId="0" fontId="77" fillId="0" borderId="0" xfId="0" applyFont="1" applyAlignment="1">
      <alignment vertical="center"/>
    </xf>
    <xf numFmtId="9" fontId="4" fillId="0" borderId="74" xfId="2" applyFont="1" applyBorder="1" applyAlignment="1">
      <alignment horizontal="center" vertical="top"/>
    </xf>
    <xf numFmtId="0" fontId="6" fillId="5" borderId="74" xfId="0" applyFont="1" applyFill="1" applyBorder="1" applyAlignment="1">
      <alignment horizontal="right" vertical="center" wrapText="1"/>
    </xf>
    <xf numFmtId="169" fontId="4" fillId="0" borderId="74" xfId="2" applyNumberFormat="1" applyFont="1" applyBorder="1" applyAlignment="1">
      <alignment horizontal="right" vertical="center" wrapText="1"/>
    </xf>
    <xf numFmtId="0" fontId="6" fillId="14" borderId="74" xfId="0" applyFont="1" applyFill="1" applyBorder="1" applyAlignment="1">
      <alignment vertical="center" wrapText="1"/>
    </xf>
    <xf numFmtId="0" fontId="8" fillId="0" borderId="0" xfId="0" applyFont="1" applyAlignment="1">
      <alignment horizontal="left" vertical="center"/>
    </xf>
    <xf numFmtId="49" fontId="8" fillId="0" borderId="0" xfId="0" applyNumberFormat="1" applyFont="1" applyAlignment="1">
      <alignment horizontal="justify" vertical="top" wrapText="1"/>
    </xf>
    <xf numFmtId="0" fontId="8" fillId="0" borderId="0" xfId="0" applyFont="1" applyAlignment="1">
      <alignment vertical="center" wrapText="1"/>
    </xf>
    <xf numFmtId="0" fontId="8" fillId="0" borderId="0" xfId="0" applyFont="1" applyAlignment="1">
      <alignment horizontal="justify" wrapText="1"/>
    </xf>
    <xf numFmtId="49" fontId="77" fillId="0" borderId="0" xfId="0" applyNumberFormat="1" applyFont="1" applyAlignment="1">
      <alignment vertical="center"/>
    </xf>
    <xf numFmtId="166" fontId="4" fillId="0" borderId="74" xfId="0" applyNumberFormat="1" applyFont="1" applyBorder="1" applyAlignment="1">
      <alignment horizontal="center" vertical="center" wrapText="1"/>
    </xf>
    <xf numFmtId="166" fontId="6" fillId="14" borderId="74" xfId="0" applyNumberFormat="1" applyFont="1" applyFill="1" applyBorder="1" applyAlignment="1">
      <alignment horizontal="center" vertical="center" wrapText="1"/>
    </xf>
    <xf numFmtId="169" fontId="6" fillId="14" borderId="74" xfId="0" applyNumberFormat="1" applyFont="1" applyFill="1" applyBorder="1" applyAlignment="1">
      <alignment horizontal="right" vertical="center" wrapText="1"/>
    </xf>
    <xf numFmtId="0" fontId="4" fillId="0" borderId="74" xfId="0" applyFont="1" applyBorder="1" applyAlignment="1">
      <alignment horizontal="center" vertical="center" wrapText="1"/>
    </xf>
    <xf numFmtId="169" fontId="4" fillId="0" borderId="74" xfId="0" applyNumberFormat="1" applyFont="1" applyBorder="1" applyAlignment="1">
      <alignment horizontal="center" vertical="center" wrapText="1"/>
    </xf>
    <xf numFmtId="0" fontId="96" fillId="0" borderId="0" xfId="0" applyFont="1" applyAlignment="1">
      <alignment vertical="top"/>
    </xf>
    <xf numFmtId="0" fontId="16" fillId="10" borderId="0" xfId="0" applyFont="1" applyFill="1" applyBorder="1" applyAlignment="1">
      <alignment horizontal="center" vertical="center" wrapText="1"/>
    </xf>
    <xf numFmtId="166" fontId="6" fillId="0" borderId="74" xfId="0" applyNumberFormat="1" applyFont="1" applyBorder="1" applyAlignment="1">
      <alignment horizontal="center" vertical="center" wrapText="1"/>
    </xf>
    <xf numFmtId="0" fontId="96" fillId="0" borderId="0" xfId="0" applyFont="1"/>
    <xf numFmtId="169" fontId="23" fillId="0" borderId="74" xfId="2" applyNumberFormat="1" applyFont="1" applyBorder="1" applyAlignment="1">
      <alignment horizontal="center" vertical="center" wrapText="1"/>
    </xf>
    <xf numFmtId="0" fontId="15" fillId="22" borderId="92" xfId="0" applyFont="1" applyFill="1" applyBorder="1" applyAlignment="1">
      <alignment horizontal="center" vertical="center" wrapText="1"/>
    </xf>
    <xf numFmtId="0" fontId="15" fillId="22" borderId="98" xfId="0" applyFont="1" applyFill="1" applyBorder="1" applyAlignment="1">
      <alignment horizontal="center" vertical="center" wrapText="1"/>
    </xf>
    <xf numFmtId="0" fontId="15" fillId="22" borderId="99" xfId="0" applyFont="1" applyFill="1" applyBorder="1" applyAlignment="1">
      <alignment horizontal="center" vertical="center" wrapText="1"/>
    </xf>
    <xf numFmtId="0" fontId="6" fillId="3" borderId="74" xfId="0" applyFont="1" applyFill="1" applyBorder="1" applyAlignment="1">
      <alignment horizontal="right" vertical="center" wrapText="1"/>
    </xf>
    <xf numFmtId="10" fontId="4" fillId="0" borderId="74" xfId="2" applyNumberFormat="1" applyFont="1" applyBorder="1" applyAlignment="1">
      <alignment horizontal="right" vertical="center" wrapText="1"/>
    </xf>
    <xf numFmtId="169" fontId="6" fillId="0" borderId="74" xfId="2" applyNumberFormat="1" applyFont="1" applyBorder="1" applyAlignment="1">
      <alignment horizontal="right" vertical="center" wrapText="1"/>
    </xf>
    <xf numFmtId="0" fontId="6" fillId="14" borderId="74" xfId="0" applyFont="1" applyFill="1" applyBorder="1" applyAlignment="1">
      <alignment horizontal="left" vertical="center" wrapText="1"/>
    </xf>
    <xf numFmtId="0" fontId="27" fillId="22" borderId="85" xfId="0" applyFont="1" applyFill="1" applyBorder="1" applyAlignment="1">
      <alignment horizontal="center" vertical="center"/>
    </xf>
    <xf numFmtId="0" fontId="27" fillId="22" borderId="87" xfId="0" applyFont="1" applyFill="1" applyBorder="1" applyAlignment="1">
      <alignment horizontal="center" vertical="center"/>
    </xf>
    <xf numFmtId="0" fontId="27" fillId="22" borderId="78" xfId="0" applyFont="1" applyFill="1" applyBorder="1" applyAlignment="1">
      <alignment horizontal="center" vertical="center" wrapText="1"/>
    </xf>
    <xf numFmtId="0" fontId="27" fillId="22" borderId="78" xfId="0" applyFont="1" applyFill="1" applyBorder="1" applyAlignment="1">
      <alignment horizontal="left" vertical="center"/>
    </xf>
    <xf numFmtId="0" fontId="27" fillId="22" borderId="87" xfId="0" applyFont="1" applyFill="1" applyBorder="1" applyAlignment="1">
      <alignment horizontal="center" vertical="center" wrapText="1"/>
    </xf>
    <xf numFmtId="169" fontId="6" fillId="14" borderId="74" xfId="2" applyNumberFormat="1" applyFont="1" applyFill="1" applyBorder="1" applyAlignment="1">
      <alignment horizontal="right" vertical="center" wrapText="1"/>
    </xf>
    <xf numFmtId="0" fontId="15" fillId="22" borderId="86" xfId="0" applyFont="1" applyFill="1" applyBorder="1" applyAlignment="1">
      <alignment horizontal="center" vertical="center" wrapText="1"/>
    </xf>
    <xf numFmtId="0" fontId="15" fillId="22" borderId="84" xfId="0" applyFont="1" applyFill="1" applyBorder="1" applyAlignment="1">
      <alignment horizontal="center" vertical="center" wrapText="1"/>
    </xf>
    <xf numFmtId="0" fontId="27" fillId="0" borderId="74" xfId="0" applyFont="1" applyBorder="1" applyAlignment="1">
      <alignment horizontal="center"/>
    </xf>
    <xf numFmtId="0" fontId="4" fillId="0" borderId="74" xfId="0" applyFont="1" applyBorder="1" applyAlignment="1">
      <alignment horizontal="center"/>
    </xf>
    <xf numFmtId="0" fontId="27" fillId="0" borderId="74" xfId="0" applyFont="1" applyBorder="1" applyAlignment="1">
      <alignment horizontal="center" vertical="center"/>
    </xf>
    <xf numFmtId="0" fontId="48" fillId="0" borderId="74" xfId="0" applyFont="1" applyBorder="1" applyAlignment="1">
      <alignment horizontal="center"/>
    </xf>
    <xf numFmtId="172" fontId="48" fillId="0" borderId="74" xfId="0" applyNumberFormat="1" applyFont="1" applyBorder="1" applyAlignment="1">
      <alignment horizontal="center"/>
    </xf>
    <xf numFmtId="166" fontId="4" fillId="5" borderId="74" xfId="0" applyNumberFormat="1" applyFont="1" applyFill="1" applyBorder="1" applyAlignment="1">
      <alignment horizontal="center" vertical="center" wrapText="1"/>
    </xf>
    <xf numFmtId="169" fontId="4" fillId="5" borderId="74" xfId="2" applyNumberFormat="1" applyFont="1" applyFill="1" applyBorder="1" applyAlignment="1">
      <alignment horizontal="right" vertical="center" wrapText="1"/>
    </xf>
    <xf numFmtId="169" fontId="23" fillId="0" borderId="74" xfId="2" applyNumberFormat="1" applyFont="1" applyBorder="1" applyAlignment="1">
      <alignment horizontal="right" vertical="center" wrapText="1"/>
    </xf>
    <xf numFmtId="0" fontId="17" fillId="0" borderId="74" xfId="0" applyFont="1" applyBorder="1" applyAlignment="1">
      <alignment horizontal="right" vertical="center" wrapText="1"/>
    </xf>
    <xf numFmtId="0" fontId="2" fillId="5" borderId="74" xfId="0" applyFont="1" applyFill="1" applyBorder="1" applyAlignment="1">
      <alignment vertical="center" wrapText="1"/>
    </xf>
    <xf numFmtId="0" fontId="23" fillId="5" borderId="0" xfId="0" applyFont="1" applyFill="1" applyBorder="1" applyAlignment="1">
      <alignment horizontal="center" vertical="center" wrapText="1"/>
    </xf>
    <xf numFmtId="169" fontId="67" fillId="0" borderId="74" xfId="2" applyNumberFormat="1" applyFont="1" applyBorder="1" applyAlignment="1">
      <alignment horizontal="center" vertical="center" wrapText="1"/>
    </xf>
    <xf numFmtId="0" fontId="27" fillId="22" borderId="75" xfId="0" applyFont="1" applyFill="1" applyBorder="1" applyAlignment="1">
      <alignment horizontal="center" vertical="center" wrapText="1"/>
    </xf>
    <xf numFmtId="0" fontId="27" fillId="22" borderId="98" xfId="0" applyFont="1" applyFill="1" applyBorder="1" applyAlignment="1">
      <alignment horizontal="center" vertical="center" wrapText="1"/>
    </xf>
    <xf numFmtId="169" fontId="23" fillId="14" borderId="74" xfId="2" applyNumberFormat="1" applyFont="1" applyFill="1" applyBorder="1" applyAlignment="1">
      <alignment horizontal="right" vertical="center" wrapText="1"/>
    </xf>
    <xf numFmtId="0" fontId="23" fillId="14" borderId="74" xfId="0" applyFont="1" applyFill="1" applyBorder="1" applyAlignment="1">
      <alignment horizontal="left" vertical="center" wrapText="1"/>
    </xf>
    <xf numFmtId="0" fontId="17" fillId="0" borderId="74" xfId="0" applyFont="1" applyBorder="1" applyAlignment="1">
      <alignment horizontal="left" vertical="center" wrapText="1"/>
    </xf>
    <xf numFmtId="0" fontId="23" fillId="0" borderId="74" xfId="0" applyFont="1" applyBorder="1" applyAlignment="1">
      <alignment horizontal="left" vertical="center" wrapText="1"/>
    </xf>
    <xf numFmtId="0" fontId="27" fillId="22" borderId="97" xfId="0" applyFont="1" applyFill="1" applyBorder="1" applyAlignment="1">
      <alignment horizontal="center" vertical="center" wrapText="1"/>
    </xf>
    <xf numFmtId="0" fontId="4" fillId="5" borderId="74" xfId="0" applyFont="1" applyFill="1" applyBorder="1" applyAlignment="1">
      <alignment horizontal="left" vertical="center" wrapText="1"/>
    </xf>
    <xf numFmtId="0" fontId="4" fillId="5" borderId="74" xfId="0" applyFont="1" applyFill="1" applyBorder="1" applyAlignment="1">
      <alignment horizontal="right" vertical="center" wrapText="1"/>
    </xf>
    <xf numFmtId="0" fontId="77" fillId="0" borderId="0" xfId="0" applyFont="1" applyAlignment="1">
      <alignment vertical="center" wrapText="1"/>
    </xf>
    <xf numFmtId="0" fontId="27" fillId="22" borderId="100" xfId="0" applyFont="1" applyFill="1" applyBorder="1" applyAlignment="1">
      <alignment horizontal="center" vertical="center" wrapText="1"/>
    </xf>
    <xf numFmtId="0" fontId="27" fillId="22" borderId="99" xfId="0" applyFont="1" applyFill="1" applyBorder="1" applyAlignment="1">
      <alignment horizontal="center" vertical="center" wrapText="1"/>
    </xf>
    <xf numFmtId="0" fontId="98" fillId="0" borderId="0" xfId="0" applyFont="1"/>
    <xf numFmtId="0" fontId="27" fillId="22" borderId="84" xfId="0" applyFont="1" applyFill="1" applyBorder="1" applyAlignment="1">
      <alignment horizontal="center" vertical="center" wrapText="1"/>
    </xf>
    <xf numFmtId="0" fontId="15" fillId="22" borderId="100" xfId="0" applyFont="1" applyFill="1" applyBorder="1" applyAlignment="1">
      <alignment horizontal="center" vertical="center" wrapText="1"/>
    </xf>
    <xf numFmtId="0" fontId="15" fillId="22" borderId="75" xfId="0" applyFont="1" applyFill="1" applyBorder="1" applyAlignment="1">
      <alignment horizontal="center" vertical="center" wrapText="1"/>
    </xf>
    <xf numFmtId="49" fontId="6" fillId="5" borderId="74" xfId="0" applyNumberFormat="1" applyFont="1" applyFill="1" applyBorder="1" applyAlignment="1">
      <alignment horizontal="left" vertical="center" wrapText="1"/>
    </xf>
    <xf numFmtId="3" fontId="4" fillId="0" borderId="74" xfId="0" applyNumberFormat="1" applyFont="1" applyBorder="1" applyAlignment="1">
      <alignment horizontal="center" vertical="center" wrapText="1"/>
    </xf>
    <xf numFmtId="0" fontId="14" fillId="22" borderId="78" xfId="0" applyFont="1" applyFill="1" applyBorder="1" applyAlignment="1">
      <alignment horizontal="left" vertical="center" wrapText="1"/>
    </xf>
    <xf numFmtId="0" fontId="14" fillId="22" borderId="76" xfId="0" applyFont="1" applyFill="1" applyBorder="1" applyAlignment="1">
      <alignment horizontal="left" vertical="center" wrapText="1"/>
    </xf>
    <xf numFmtId="0" fontId="15" fillId="22" borderId="89" xfId="0" applyFont="1" applyFill="1" applyBorder="1" applyAlignment="1">
      <alignment horizontal="center" vertical="center" wrapText="1"/>
    </xf>
    <xf numFmtId="0" fontId="14" fillId="22" borderId="76" xfId="0" applyFont="1" applyFill="1" applyBorder="1" applyAlignment="1">
      <alignment horizontal="right" vertical="center" wrapText="1"/>
    </xf>
    <xf numFmtId="0" fontId="14" fillId="22" borderId="86" xfId="0" applyFont="1" applyFill="1" applyBorder="1" applyAlignment="1">
      <alignment horizontal="right" vertical="center" wrapText="1"/>
    </xf>
    <xf numFmtId="49" fontId="6" fillId="5" borderId="74" xfId="0" applyNumberFormat="1" applyFont="1" applyFill="1" applyBorder="1" applyAlignment="1">
      <alignment horizontal="right" vertical="center" wrapText="1"/>
    </xf>
    <xf numFmtId="1" fontId="4" fillId="0" borderId="74" xfId="0" applyNumberFormat="1" applyFont="1" applyBorder="1" applyAlignment="1">
      <alignment horizontal="center" vertical="center" wrapText="1"/>
    </xf>
    <xf numFmtId="0" fontId="99" fillId="0" borderId="0" xfId="0" applyFont="1" applyAlignment="1">
      <alignment horizontal="right" vertical="center"/>
    </xf>
    <xf numFmtId="0" fontId="101" fillId="22" borderId="87" xfId="0" applyFont="1" applyFill="1" applyBorder="1" applyAlignment="1">
      <alignment horizontal="center" vertical="center" wrapText="1"/>
    </xf>
    <xf numFmtId="0" fontId="4" fillId="3" borderId="74" xfId="0" applyFont="1" applyFill="1" applyBorder="1" applyAlignment="1">
      <alignment horizontal="right" vertical="center" wrapText="1"/>
    </xf>
    <xf numFmtId="1" fontId="67" fillId="5" borderId="74" xfId="0" applyNumberFormat="1" applyFont="1" applyFill="1" applyBorder="1" applyAlignment="1">
      <alignment horizontal="center" vertical="center" wrapText="1"/>
    </xf>
    <xf numFmtId="0" fontId="17" fillId="5" borderId="74" xfId="0" applyFont="1" applyFill="1" applyBorder="1" applyAlignment="1">
      <alignment horizontal="center" vertical="center" wrapText="1"/>
    </xf>
    <xf numFmtId="170" fontId="4" fillId="5" borderId="74" xfId="0" applyNumberFormat="1" applyFont="1" applyFill="1" applyBorder="1" applyAlignment="1">
      <alignment horizontal="center" vertical="center" wrapText="1"/>
    </xf>
    <xf numFmtId="0" fontId="4" fillId="5" borderId="74" xfId="0" applyFont="1" applyFill="1" applyBorder="1" applyAlignment="1">
      <alignment horizontal="center" vertical="center" wrapText="1"/>
    </xf>
    <xf numFmtId="1" fontId="4" fillId="5" borderId="74" xfId="0" applyNumberFormat="1" applyFont="1" applyFill="1" applyBorder="1" applyAlignment="1">
      <alignment horizontal="center" vertical="center" wrapText="1"/>
    </xf>
    <xf numFmtId="0" fontId="15" fillId="22" borderId="78" xfId="0" applyFont="1" applyFill="1" applyBorder="1" applyAlignment="1">
      <alignment horizontal="left" vertical="center" wrapText="1"/>
    </xf>
    <xf numFmtId="0" fontId="77" fillId="3" borderId="80" xfId="0" applyFont="1" applyFill="1" applyBorder="1" applyAlignment="1">
      <alignment horizontal="center" vertical="center" wrapText="1"/>
    </xf>
    <xf numFmtId="0" fontId="77" fillId="6" borderId="80" xfId="0" applyFont="1" applyFill="1" applyBorder="1" applyAlignment="1">
      <alignment horizontal="center" vertical="center" wrapText="1"/>
    </xf>
    <xf numFmtId="166" fontId="4" fillId="3" borderId="74" xfId="0" applyNumberFormat="1" applyFont="1" applyFill="1" applyBorder="1" applyAlignment="1">
      <alignment horizontal="center" vertical="center" wrapText="1"/>
    </xf>
    <xf numFmtId="166" fontId="4" fillId="6" borderId="74" xfId="0" applyNumberFormat="1" applyFont="1" applyFill="1" applyBorder="1" applyAlignment="1">
      <alignment horizontal="center" vertical="center" wrapText="1"/>
    </xf>
    <xf numFmtId="166" fontId="15" fillId="22" borderId="85" xfId="0" applyNumberFormat="1" applyFont="1" applyFill="1" applyBorder="1" applyAlignment="1">
      <alignment horizontal="center" vertical="center" wrapText="1"/>
    </xf>
    <xf numFmtId="166" fontId="15" fillId="22" borderId="87" xfId="0" applyNumberFormat="1" applyFont="1" applyFill="1" applyBorder="1" applyAlignment="1">
      <alignment horizontal="center" vertical="center" wrapText="1"/>
    </xf>
    <xf numFmtId="0" fontId="15" fillId="22" borderId="87" xfId="0" applyFont="1" applyFill="1" applyBorder="1" applyAlignment="1">
      <alignment vertical="center" wrapText="1"/>
    </xf>
    <xf numFmtId="0" fontId="77" fillId="3" borderId="74" xfId="0" applyFont="1" applyFill="1" applyBorder="1" applyAlignment="1">
      <alignment horizontal="center" vertical="center" wrapText="1"/>
    </xf>
    <xf numFmtId="0" fontId="77" fillId="6" borderId="74" xfId="0" applyFont="1" applyFill="1" applyBorder="1" applyAlignment="1">
      <alignment horizontal="center" vertical="center" wrapText="1"/>
    </xf>
    <xf numFmtId="0" fontId="77" fillId="7" borderId="74" xfId="0" applyFont="1" applyFill="1" applyBorder="1" applyAlignment="1">
      <alignment horizontal="center" vertical="center" wrapText="1"/>
    </xf>
    <xf numFmtId="169" fontId="27" fillId="22" borderId="85" xfId="2" applyNumberFormat="1" applyFont="1" applyFill="1" applyBorder="1" applyAlignment="1">
      <alignment horizontal="right" vertical="center" wrapText="1"/>
    </xf>
    <xf numFmtId="166" fontId="27" fillId="22" borderId="87" xfId="0" applyNumberFormat="1" applyFont="1" applyFill="1" applyBorder="1" applyAlignment="1">
      <alignment horizontal="center" vertical="center" wrapText="1"/>
    </xf>
    <xf numFmtId="169" fontId="27" fillId="22" borderId="87" xfId="2" applyNumberFormat="1" applyFont="1" applyFill="1" applyBorder="1" applyAlignment="1">
      <alignment horizontal="right" vertical="center" wrapText="1"/>
    </xf>
    <xf numFmtId="0" fontId="27" fillId="22" borderId="78" xfId="0" applyFont="1" applyFill="1" applyBorder="1" applyAlignment="1">
      <alignment vertical="center" wrapText="1"/>
    </xf>
    <xf numFmtId="169" fontId="4" fillId="7" borderId="74" xfId="2" applyNumberFormat="1" applyFont="1" applyFill="1" applyBorder="1" applyAlignment="1">
      <alignment horizontal="right" vertical="center" wrapText="1"/>
    </xf>
    <xf numFmtId="170" fontId="4" fillId="0" borderId="74" xfId="0" applyNumberFormat="1" applyFont="1" applyBorder="1" applyAlignment="1">
      <alignment horizontal="center" vertical="center" wrapText="1"/>
    </xf>
    <xf numFmtId="170" fontId="6" fillId="14" borderId="74" xfId="0" applyNumberFormat="1" applyFont="1" applyFill="1" applyBorder="1" applyAlignment="1">
      <alignment horizontal="center" vertical="center" wrapText="1"/>
    </xf>
    <xf numFmtId="0" fontId="4" fillId="5" borderId="74" xfId="0" applyFont="1" applyFill="1" applyBorder="1" applyAlignment="1">
      <alignment vertical="center" wrapText="1"/>
    </xf>
    <xf numFmtId="170" fontId="6" fillId="22" borderId="105" xfId="0" applyNumberFormat="1" applyFont="1" applyFill="1" applyBorder="1" applyAlignment="1">
      <alignment horizontal="center" vertical="center" wrapText="1"/>
    </xf>
    <xf numFmtId="170" fontId="4" fillId="22" borderId="106" xfId="0" applyNumberFormat="1" applyFont="1" applyFill="1" applyBorder="1" applyAlignment="1">
      <alignment horizontal="center" vertical="center" wrapText="1"/>
    </xf>
    <xf numFmtId="170" fontId="13" fillId="22" borderId="105" xfId="0" applyNumberFormat="1" applyFont="1" applyFill="1" applyBorder="1" applyAlignment="1">
      <alignment horizontal="center" vertical="center" wrapText="1"/>
    </xf>
    <xf numFmtId="170" fontId="17" fillId="22" borderId="106" xfId="0" applyNumberFormat="1" applyFont="1" applyFill="1" applyBorder="1" applyAlignment="1">
      <alignment horizontal="center" vertical="center" wrapText="1"/>
    </xf>
    <xf numFmtId="170" fontId="27" fillId="22" borderId="85" xfId="0" applyNumberFormat="1" applyFont="1" applyFill="1" applyBorder="1" applyAlignment="1">
      <alignment horizontal="center" vertical="center" wrapText="1"/>
    </xf>
    <xf numFmtId="170" fontId="27" fillId="22" borderId="87" xfId="0" applyNumberFormat="1" applyFont="1" applyFill="1" applyBorder="1" applyAlignment="1">
      <alignment horizontal="center" vertical="center" wrapText="1"/>
    </xf>
    <xf numFmtId="10" fontId="4" fillId="0" borderId="74" xfId="0" applyNumberFormat="1" applyFont="1" applyBorder="1" applyAlignment="1">
      <alignment horizontal="center" vertical="center" wrapText="1"/>
    </xf>
    <xf numFmtId="0" fontId="4" fillId="3" borderId="74" xfId="0" applyFont="1" applyFill="1" applyBorder="1" applyAlignment="1">
      <alignment horizontal="left" vertical="center" wrapText="1"/>
    </xf>
    <xf numFmtId="0" fontId="15" fillId="0" borderId="0" xfId="0" applyFont="1" applyBorder="1" applyAlignment="1">
      <alignment horizontal="center" vertical="center" wrapText="1"/>
    </xf>
    <xf numFmtId="0" fontId="97" fillId="0" borderId="0" xfId="0" applyFont="1" applyAlignment="1">
      <alignment horizontal="left" vertical="center"/>
    </xf>
    <xf numFmtId="0" fontId="15" fillId="22" borderId="78" xfId="0" applyFont="1" applyFill="1" applyBorder="1" applyAlignment="1">
      <alignment horizontal="right" vertical="center" wrapText="1"/>
    </xf>
    <xf numFmtId="171" fontId="4" fillId="21" borderId="74" xfId="0" applyNumberFormat="1" applyFont="1" applyFill="1" applyBorder="1" applyAlignment="1">
      <alignment horizontal="center" vertical="center" wrapText="1"/>
    </xf>
    <xf numFmtId="166" fontId="4" fillId="21" borderId="74" xfId="0" applyNumberFormat="1" applyFont="1" applyFill="1" applyBorder="1" applyAlignment="1">
      <alignment horizontal="center" vertical="center" wrapText="1"/>
    </xf>
    <xf numFmtId="171" fontId="4" fillId="20" borderId="74" xfId="0" applyNumberFormat="1" applyFont="1" applyFill="1" applyBorder="1" applyAlignment="1">
      <alignment horizontal="center" vertical="center" wrapText="1"/>
    </xf>
    <xf numFmtId="166" fontId="4" fillId="20" borderId="74" xfId="0" applyNumberFormat="1" applyFont="1" applyFill="1" applyBorder="1" applyAlignment="1">
      <alignment horizontal="center" vertical="center" wrapText="1"/>
    </xf>
    <xf numFmtId="169" fontId="4" fillId="20" borderId="74" xfId="2" applyNumberFormat="1" applyFont="1" applyFill="1" applyBorder="1" applyAlignment="1">
      <alignment horizontal="right" vertical="center" wrapText="1"/>
    </xf>
    <xf numFmtId="169" fontId="4" fillId="21" borderId="74" xfId="2" applyNumberFormat="1" applyFont="1" applyFill="1" applyBorder="1" applyAlignment="1">
      <alignment horizontal="right" vertical="center" wrapText="1"/>
    </xf>
    <xf numFmtId="0" fontId="6" fillId="3" borderId="74" xfId="0" applyFont="1" applyFill="1" applyBorder="1" applyAlignment="1">
      <alignment horizontal="center" vertical="center" wrapText="1"/>
    </xf>
    <xf numFmtId="166" fontId="6" fillId="3" borderId="74" xfId="0" applyNumberFormat="1" applyFont="1" applyFill="1" applyBorder="1" applyAlignment="1">
      <alignment horizontal="center" vertical="center" wrapText="1"/>
    </xf>
    <xf numFmtId="169" fontId="6" fillId="3" borderId="74" xfId="2" applyNumberFormat="1" applyFont="1" applyFill="1" applyBorder="1" applyAlignment="1">
      <alignment horizontal="right" vertical="center" wrapText="1"/>
    </xf>
    <xf numFmtId="164" fontId="6" fillId="0" borderId="74" xfId="0" applyNumberFormat="1" applyFont="1" applyBorder="1" applyAlignment="1">
      <alignment horizontal="center" vertical="center" wrapText="1"/>
    </xf>
    <xf numFmtId="171" fontId="6" fillId="21" borderId="74" xfId="0" applyNumberFormat="1" applyFont="1" applyFill="1" applyBorder="1" applyAlignment="1">
      <alignment horizontal="center" vertical="center" wrapText="1"/>
    </xf>
    <xf numFmtId="166" fontId="6" fillId="21" borderId="74" xfId="0" applyNumberFormat="1" applyFont="1" applyFill="1" applyBorder="1" applyAlignment="1">
      <alignment horizontal="center" vertical="center" wrapText="1"/>
    </xf>
    <xf numFmtId="171" fontId="6" fillId="20" borderId="74" xfId="0" applyNumberFormat="1" applyFont="1" applyFill="1" applyBorder="1" applyAlignment="1">
      <alignment horizontal="center" vertical="center" wrapText="1"/>
    </xf>
    <xf numFmtId="166" fontId="6" fillId="20" borderId="74" xfId="0" applyNumberFormat="1" applyFont="1" applyFill="1" applyBorder="1" applyAlignment="1">
      <alignment horizontal="center" vertical="center" wrapText="1"/>
    </xf>
    <xf numFmtId="169" fontId="6" fillId="20" borderId="74" xfId="2" applyNumberFormat="1" applyFont="1" applyFill="1" applyBorder="1" applyAlignment="1">
      <alignment horizontal="right" vertical="center" wrapText="1"/>
    </xf>
    <xf numFmtId="169" fontId="6" fillId="21" borderId="74" xfId="2" applyNumberFormat="1" applyFont="1" applyFill="1" applyBorder="1" applyAlignment="1">
      <alignment horizontal="right" vertical="center" wrapText="1"/>
    </xf>
    <xf numFmtId="165" fontId="4" fillId="0" borderId="74" xfId="0" applyNumberFormat="1" applyFont="1" applyBorder="1" applyAlignment="1">
      <alignment horizontal="right" vertical="center" wrapText="1"/>
    </xf>
    <xf numFmtId="164" fontId="4" fillId="0" borderId="74" xfId="0" applyNumberFormat="1" applyFont="1" applyBorder="1" applyAlignment="1">
      <alignment horizontal="right" vertical="center" wrapText="1"/>
    </xf>
    <xf numFmtId="0" fontId="4" fillId="20" borderId="74" xfId="0" applyFont="1" applyFill="1" applyBorder="1" applyAlignment="1">
      <alignment horizontal="right" vertical="center" wrapText="1"/>
    </xf>
    <xf numFmtId="0" fontId="4" fillId="21" borderId="74" xfId="0" applyFont="1" applyFill="1" applyBorder="1" applyAlignment="1">
      <alignment horizontal="right" vertical="center" wrapText="1"/>
    </xf>
    <xf numFmtId="0" fontId="6" fillId="14" borderId="74" xfId="0" applyFont="1" applyFill="1" applyBorder="1" applyAlignment="1">
      <alignment horizontal="center" vertical="center" wrapText="1"/>
    </xf>
    <xf numFmtId="0" fontId="15" fillId="22" borderId="91" xfId="0" applyFont="1" applyFill="1" applyBorder="1" applyAlignment="1">
      <alignment horizontal="right" vertical="center" wrapText="1"/>
    </xf>
    <xf numFmtId="0" fontId="27" fillId="22" borderId="78" xfId="0" applyFont="1" applyFill="1" applyBorder="1" applyAlignment="1">
      <alignment horizontal="left" vertical="center" wrapText="1"/>
    </xf>
    <xf numFmtId="0" fontId="15" fillId="22" borderId="104" xfId="0" applyFont="1" applyFill="1" applyBorder="1" applyAlignment="1">
      <alignment horizontal="center" vertical="center" wrapText="1"/>
    </xf>
    <xf numFmtId="0" fontId="15" fillId="22" borderId="105" xfId="0" applyFont="1" applyFill="1" applyBorder="1" applyAlignment="1">
      <alignment horizontal="center" vertical="center" wrapText="1"/>
    </xf>
    <xf numFmtId="0" fontId="15" fillId="22" borderId="106" xfId="0" applyFont="1" applyFill="1" applyBorder="1" applyAlignment="1">
      <alignment horizontal="center" vertical="center" wrapText="1"/>
    </xf>
    <xf numFmtId="0" fontId="6" fillId="22" borderId="106" xfId="0" applyFont="1" applyFill="1" applyBorder="1" applyAlignment="1">
      <alignment horizontal="center" vertical="center" wrapText="1"/>
    </xf>
    <xf numFmtId="10" fontId="4" fillId="5" borderId="74" xfId="0" applyNumberFormat="1" applyFont="1" applyFill="1" applyBorder="1" applyAlignment="1">
      <alignment horizontal="center" vertical="center" wrapText="1"/>
    </xf>
    <xf numFmtId="166" fontId="6" fillId="8" borderId="74" xfId="0" applyNumberFormat="1" applyFont="1" applyFill="1" applyBorder="1" applyAlignment="1">
      <alignment horizontal="center" vertical="center" wrapText="1"/>
    </xf>
    <xf numFmtId="0" fontId="4" fillId="0" borderId="74" xfId="0" applyFont="1" applyBorder="1" applyAlignment="1">
      <alignment horizontal="right" vertical="center" wrapText="1"/>
    </xf>
    <xf numFmtId="0" fontId="27" fillId="26" borderId="85" xfId="0" applyFont="1" applyFill="1" applyBorder="1" applyAlignment="1">
      <alignment horizontal="center" vertical="center"/>
    </xf>
    <xf numFmtId="0" fontId="27" fillId="26" borderId="87" xfId="0" applyFont="1" applyFill="1" applyBorder="1" applyAlignment="1">
      <alignment horizontal="center" vertical="center"/>
    </xf>
    <xf numFmtId="0" fontId="4" fillId="5" borderId="74" xfId="0" applyFont="1" applyFill="1" applyBorder="1" applyAlignment="1">
      <alignment horizontal="center" vertical="center"/>
    </xf>
    <xf numFmtId="10" fontId="4" fillId="5" borderId="74" xfId="0" applyNumberFormat="1" applyFont="1" applyFill="1" applyBorder="1" applyAlignment="1">
      <alignment horizontal="right" vertical="center"/>
    </xf>
    <xf numFmtId="7" fontId="4" fillId="5" borderId="74" xfId="1" applyNumberFormat="1" applyFont="1" applyFill="1" applyBorder="1" applyAlignment="1">
      <alignment horizontal="right" vertical="center"/>
    </xf>
    <xf numFmtId="0" fontId="27" fillId="26" borderId="78" xfId="0" applyFont="1" applyFill="1" applyBorder="1" applyAlignment="1">
      <alignment horizontal="left" vertical="center"/>
    </xf>
    <xf numFmtId="171" fontId="4" fillId="0" borderId="74" xfId="0" applyNumberFormat="1" applyFont="1" applyBorder="1" applyAlignment="1">
      <alignment horizontal="center" vertical="center" wrapText="1"/>
    </xf>
    <xf numFmtId="171" fontId="6" fillId="0" borderId="74" xfId="0" applyNumberFormat="1" applyFont="1" applyBorder="1" applyAlignment="1">
      <alignment horizontal="center" vertical="center" wrapText="1"/>
    </xf>
    <xf numFmtId="164" fontId="6" fillId="0" borderId="74" xfId="0" applyNumberFormat="1" applyFont="1" applyBorder="1" applyAlignment="1">
      <alignment horizontal="right" vertical="center" wrapText="1"/>
    </xf>
    <xf numFmtId="175" fontId="15" fillId="22" borderId="87" xfId="0" applyNumberFormat="1" applyFont="1" applyFill="1" applyBorder="1" applyAlignment="1">
      <alignment horizontal="center" vertical="center" wrapText="1"/>
    </xf>
    <xf numFmtId="0" fontId="14" fillId="22" borderId="87" xfId="0" applyFont="1" applyFill="1" applyBorder="1" applyAlignment="1">
      <alignment horizontal="left" vertical="center" wrapText="1"/>
    </xf>
    <xf numFmtId="0" fontId="4" fillId="0" borderId="0" xfId="0" applyFont="1" applyAlignment="1">
      <alignment horizontal="left" vertical="center"/>
    </xf>
    <xf numFmtId="0" fontId="4" fillId="0" borderId="74" xfId="0" applyFont="1" applyBorder="1" applyAlignment="1">
      <alignment horizontal="left" vertical="center" wrapText="1"/>
    </xf>
    <xf numFmtId="0" fontId="7" fillId="22" borderId="105" xfId="0" applyFont="1" applyFill="1" applyBorder="1" applyAlignment="1">
      <alignment horizontal="left" vertical="center" wrapText="1"/>
    </xf>
    <xf numFmtId="0" fontId="7" fillId="22" borderId="106" xfId="0" applyFont="1" applyFill="1" applyBorder="1" applyAlignment="1">
      <alignment horizontal="left" vertical="center" wrapText="1"/>
    </xf>
    <xf numFmtId="0" fontId="17" fillId="22" borderId="105" xfId="0" applyFont="1" applyFill="1" applyBorder="1" applyAlignment="1">
      <alignment horizontal="left" vertical="center" wrapText="1"/>
    </xf>
    <xf numFmtId="0" fontId="17" fillId="22" borderId="106" xfId="0" applyFont="1" applyFill="1" applyBorder="1" applyAlignment="1">
      <alignment horizontal="left" vertical="center" wrapText="1"/>
    </xf>
    <xf numFmtId="0" fontId="5" fillId="5" borderId="0" xfId="0" applyFont="1" applyFill="1" applyBorder="1" applyAlignment="1">
      <alignment vertical="center" wrapText="1"/>
    </xf>
    <xf numFmtId="0" fontId="4" fillId="5" borderId="49" xfId="0" applyFont="1" applyFill="1" applyBorder="1" applyAlignment="1">
      <alignment horizontal="left" vertical="center" wrapText="1"/>
    </xf>
    <xf numFmtId="0" fontId="4" fillId="5" borderId="64" xfId="0" applyFont="1" applyFill="1" applyBorder="1" applyAlignment="1">
      <alignment horizontal="left" vertical="center" wrapText="1"/>
    </xf>
    <xf numFmtId="0" fontId="4" fillId="5" borderId="77" xfId="0" applyFont="1" applyFill="1" applyBorder="1" applyAlignment="1">
      <alignment horizontal="left" vertical="center" wrapText="1"/>
    </xf>
    <xf numFmtId="0" fontId="4" fillId="5" borderId="79" xfId="0" applyFont="1" applyFill="1" applyBorder="1" applyAlignment="1">
      <alignment horizontal="left" vertical="center" wrapText="1"/>
    </xf>
    <xf numFmtId="176" fontId="4" fillId="5" borderId="74" xfId="0" applyNumberFormat="1" applyFont="1" applyFill="1" applyBorder="1" applyAlignment="1">
      <alignment horizontal="center" vertical="center" wrapText="1"/>
    </xf>
    <xf numFmtId="171" fontId="4" fillId="5" borderId="74" xfId="0" applyNumberFormat="1" applyFont="1" applyFill="1" applyBorder="1" applyAlignment="1">
      <alignment horizontal="center" vertical="center" wrapText="1"/>
    </xf>
    <xf numFmtId="171" fontId="4" fillId="5" borderId="74" xfId="2" applyNumberFormat="1" applyFont="1" applyFill="1" applyBorder="1" applyAlignment="1">
      <alignment horizontal="center" vertical="center" wrapText="1"/>
    </xf>
    <xf numFmtId="166" fontId="4" fillId="5" borderId="74" xfId="2" applyNumberFormat="1" applyFont="1" applyFill="1" applyBorder="1" applyAlignment="1">
      <alignment horizontal="center" vertical="center" wrapText="1"/>
    </xf>
    <xf numFmtId="168" fontId="4" fillId="0" borderId="74" xfId="0" applyNumberFormat="1" applyFont="1" applyBorder="1" applyAlignment="1">
      <alignment horizontal="left" vertical="center" wrapText="1"/>
    </xf>
    <xf numFmtId="0" fontId="27" fillId="22" borderId="85" xfId="0" applyFont="1" applyFill="1" applyBorder="1" applyAlignment="1">
      <alignment horizontal="center" vertical="center" wrapText="1"/>
    </xf>
    <xf numFmtId="0" fontId="27" fillId="22" borderId="78" xfId="0" applyFont="1" applyFill="1" applyBorder="1" applyAlignment="1">
      <alignment horizontal="center" vertical="center" wrapText="1"/>
    </xf>
    <xf numFmtId="0" fontId="27" fillId="22" borderId="70" xfId="0" applyFont="1" applyFill="1" applyBorder="1" applyAlignment="1">
      <alignment horizontal="center" vertical="center" wrapText="1"/>
    </xf>
    <xf numFmtId="0" fontId="27" fillId="22" borderId="108" xfId="0" applyFont="1" applyFill="1" applyBorder="1" applyAlignment="1">
      <alignment horizontal="center" vertical="center" wrapText="1"/>
    </xf>
    <xf numFmtId="0" fontId="27" fillId="22" borderId="109" xfId="0" applyFont="1" applyFill="1" applyBorder="1" applyAlignment="1">
      <alignment horizontal="center" vertical="center" wrapText="1"/>
    </xf>
    <xf numFmtId="0" fontId="27" fillId="22" borderId="76" xfId="0" applyFont="1" applyFill="1" applyBorder="1" applyAlignment="1">
      <alignment vertical="center" wrapText="1"/>
    </xf>
    <xf numFmtId="0" fontId="17" fillId="22" borderId="110" xfId="0" applyFont="1" applyFill="1" applyBorder="1" applyAlignment="1">
      <alignment horizontal="left" vertical="center" wrapText="1"/>
    </xf>
    <xf numFmtId="0" fontId="17" fillId="22" borderId="111" xfId="0" applyFont="1" applyFill="1" applyBorder="1" applyAlignment="1">
      <alignment horizontal="left" vertical="center" wrapText="1"/>
    </xf>
    <xf numFmtId="0" fontId="69" fillId="0" borderId="0" xfId="0" applyFont="1"/>
    <xf numFmtId="0" fontId="69" fillId="0" borderId="0" xfId="0" applyFont="1" applyAlignment="1">
      <alignment horizontal="left" vertical="top"/>
    </xf>
    <xf numFmtId="0" fontId="8" fillId="0" borderId="0" xfId="0" applyFont="1" applyAlignment="1">
      <alignment horizontal="left"/>
    </xf>
    <xf numFmtId="0" fontId="104" fillId="0" borderId="0" xfId="0" applyFont="1"/>
    <xf numFmtId="0" fontId="104" fillId="0" borderId="0" xfId="0" applyFont="1" applyAlignment="1">
      <alignment horizontal="left"/>
    </xf>
    <xf numFmtId="181" fontId="9" fillId="0" borderId="0" xfId="15" applyNumberFormat="1" applyFont="1"/>
    <xf numFmtId="43" fontId="104" fillId="0" borderId="0" xfId="15" applyFont="1"/>
    <xf numFmtId="0" fontId="104" fillId="0" borderId="0" xfId="0" applyFont="1" applyAlignment="1">
      <alignment horizontal="right"/>
    </xf>
    <xf numFmtId="181" fontId="104" fillId="0" borderId="0" xfId="15" applyNumberFormat="1" applyFont="1"/>
    <xf numFmtId="39" fontId="104" fillId="0" borderId="0" xfId="15" applyNumberFormat="1" applyFont="1"/>
    <xf numFmtId="0" fontId="106" fillId="5" borderId="112" xfId="0" applyFont="1" applyFill="1" applyBorder="1"/>
    <xf numFmtId="43" fontId="106" fillId="5" borderId="112" xfId="15" applyFont="1" applyFill="1" applyBorder="1"/>
    <xf numFmtId="37" fontId="105" fillId="5" borderId="0" xfId="15" applyNumberFormat="1" applyFont="1" applyFill="1" applyBorder="1"/>
    <xf numFmtId="0" fontId="107" fillId="0" borderId="0" xfId="0" applyFont="1" applyAlignment="1">
      <alignment horizontal="left"/>
    </xf>
    <xf numFmtId="0" fontId="108" fillId="0" borderId="0" xfId="0" applyFont="1" applyAlignment="1">
      <alignment horizontal="right"/>
    </xf>
    <xf numFmtId="0" fontId="18" fillId="0" borderId="0" xfId="0" applyFont="1" applyAlignment="1">
      <alignment horizontal="left"/>
    </xf>
    <xf numFmtId="181" fontId="9" fillId="0" borderId="0" xfId="15" applyNumberFormat="1" applyFont="1" applyBorder="1"/>
    <xf numFmtId="181" fontId="104" fillId="0" borderId="0" xfId="15" applyNumberFormat="1" applyFont="1" applyBorder="1"/>
    <xf numFmtId="0" fontId="12" fillId="5" borderId="112" xfId="0" applyFont="1" applyFill="1" applyBorder="1" applyAlignment="1">
      <alignment horizontal="left"/>
    </xf>
    <xf numFmtId="181" fontId="106" fillId="5" borderId="112" xfId="0" applyNumberFormat="1" applyFont="1" applyFill="1" applyBorder="1"/>
    <xf numFmtId="181" fontId="105" fillId="5" borderId="112" xfId="15" applyNumberFormat="1" applyFont="1" applyFill="1" applyBorder="1"/>
    <xf numFmtId="181" fontId="105" fillId="5" borderId="0" xfId="15" applyNumberFormat="1" applyFont="1" applyFill="1" applyBorder="1"/>
    <xf numFmtId="39" fontId="105" fillId="5" borderId="0" xfId="15" applyNumberFormat="1" applyFont="1" applyFill="1" applyBorder="1"/>
    <xf numFmtId="0" fontId="12" fillId="0" borderId="0" xfId="0" applyFont="1" applyFill="1" applyAlignment="1">
      <alignment horizontal="left"/>
    </xf>
    <xf numFmtId="0" fontId="103" fillId="0" borderId="0" xfId="0" applyFont="1" applyFill="1" applyAlignment="1">
      <alignment horizontal="left"/>
    </xf>
    <xf numFmtId="43" fontId="106" fillId="0" borderId="0" xfId="15" applyFont="1" applyFill="1"/>
    <xf numFmtId="37" fontId="104" fillId="0" borderId="0" xfId="15" applyNumberFormat="1" applyFont="1" applyFill="1"/>
    <xf numFmtId="0" fontId="18" fillId="0" borderId="0" xfId="0" applyFont="1" applyFill="1" applyAlignment="1">
      <alignment horizontal="left"/>
    </xf>
    <xf numFmtId="0" fontId="107" fillId="0" borderId="0" xfId="0" applyFont="1" applyFill="1" applyAlignment="1">
      <alignment horizontal="left"/>
    </xf>
    <xf numFmtId="10" fontId="9" fillId="0" borderId="0" xfId="15" applyNumberFormat="1" applyFont="1" applyFill="1"/>
    <xf numFmtId="39" fontId="9" fillId="0" borderId="0" xfId="15" applyNumberFormat="1" applyFont="1" applyFill="1"/>
    <xf numFmtId="43" fontId="9" fillId="0" borderId="0" xfId="15" applyFont="1" applyFill="1"/>
    <xf numFmtId="39" fontId="9" fillId="5" borderId="0" xfId="15" applyNumberFormat="1" applyFont="1" applyFill="1" applyBorder="1"/>
    <xf numFmtId="37" fontId="9" fillId="5" borderId="0" xfId="15" applyNumberFormat="1" applyFont="1" applyFill="1" applyBorder="1"/>
    <xf numFmtId="39" fontId="105" fillId="0" borderId="0" xfId="0" applyNumberFormat="1" applyFont="1" applyBorder="1"/>
    <xf numFmtId="37" fontId="104" fillId="0" borderId="0" xfId="0" applyNumberFormat="1" applyFont="1"/>
    <xf numFmtId="39" fontId="9" fillId="0" borderId="0" xfId="15" applyNumberFormat="1" applyFont="1" applyFill="1" applyBorder="1"/>
    <xf numFmtId="39" fontId="109" fillId="0" borderId="0" xfId="0" applyNumberFormat="1" applyFont="1" applyBorder="1"/>
    <xf numFmtId="9" fontId="8" fillId="0" borderId="115" xfId="0" applyNumberFormat="1" applyFont="1" applyBorder="1"/>
    <xf numFmtId="39" fontId="18" fillId="0" borderId="0" xfId="0" applyNumberFormat="1" applyFont="1" applyBorder="1"/>
    <xf numFmtId="0" fontId="8" fillId="5" borderId="0" xfId="0" applyFont="1" applyFill="1" applyBorder="1" applyAlignment="1">
      <alignment horizontal="left" vertical="center" wrapText="1"/>
    </xf>
    <xf numFmtId="166" fontId="8" fillId="0" borderId="0" xfId="1" applyFont="1"/>
    <xf numFmtId="0" fontId="110" fillId="0" borderId="0" xfId="0" applyFont="1" applyAlignment="1">
      <alignment horizontal="right"/>
    </xf>
    <xf numFmtId="43" fontId="8" fillId="0" borderId="0" xfId="15" applyFont="1"/>
    <xf numFmtId="0" fontId="8" fillId="0" borderId="0" xfId="0" applyFont="1" applyAlignment="1">
      <alignment horizontal="right"/>
    </xf>
    <xf numFmtId="181" fontId="8" fillId="0" borderId="0" xfId="15" applyNumberFormat="1" applyFont="1"/>
    <xf numFmtId="181" fontId="8" fillId="0" borderId="113" xfId="15" applyNumberFormat="1" applyFont="1" applyBorder="1"/>
    <xf numFmtId="166" fontId="8" fillId="0" borderId="113" xfId="1" applyFont="1" applyBorder="1"/>
    <xf numFmtId="0" fontId="8" fillId="0" borderId="0" xfId="0" applyFont="1" applyBorder="1" applyAlignment="1">
      <alignment horizontal="left"/>
    </xf>
    <xf numFmtId="43" fontId="8" fillId="0" borderId="0" xfId="15" applyFont="1" applyBorder="1"/>
    <xf numFmtId="181" fontId="8" fillId="0" borderId="0" xfId="15" applyNumberFormat="1" applyFont="1" applyBorder="1"/>
    <xf numFmtId="181" fontId="8" fillId="0" borderId="0" xfId="0" applyNumberFormat="1" applyFont="1"/>
    <xf numFmtId="181" fontId="8" fillId="0" borderId="0" xfId="0" applyNumberFormat="1" applyFont="1" applyBorder="1"/>
    <xf numFmtId="39" fontId="8" fillId="0" borderId="0" xfId="15" applyNumberFormat="1" applyFont="1"/>
    <xf numFmtId="0" fontId="111" fillId="0" borderId="0" xfId="0" applyFont="1" applyAlignment="1">
      <alignment horizontal="left"/>
    </xf>
    <xf numFmtId="10" fontId="8" fillId="0" borderId="0" xfId="15" applyNumberFormat="1" applyFont="1"/>
    <xf numFmtId="0" fontId="8" fillId="0" borderId="0" xfId="0" applyFont="1" applyFill="1" applyAlignment="1">
      <alignment horizontal="left"/>
    </xf>
    <xf numFmtId="10" fontId="8" fillId="0" borderId="0" xfId="15" applyNumberFormat="1" applyFont="1" applyFill="1"/>
    <xf numFmtId="39" fontId="8" fillId="0" borderId="0" xfId="15" applyNumberFormat="1" applyFont="1" applyFill="1"/>
    <xf numFmtId="43" fontId="8" fillId="0" borderId="0" xfId="15" applyFont="1" applyFill="1"/>
    <xf numFmtId="166" fontId="8" fillId="0" borderId="0" xfId="1" applyFont="1" applyFill="1"/>
    <xf numFmtId="39" fontId="8" fillId="5" borderId="0" xfId="15" applyNumberFormat="1" applyFont="1" applyFill="1" applyBorder="1"/>
    <xf numFmtId="166" fontId="8" fillId="5" borderId="0" xfId="1" applyFont="1" applyFill="1" applyBorder="1"/>
    <xf numFmtId="0" fontId="8" fillId="0" borderId="0" xfId="0" applyFont="1" applyBorder="1"/>
    <xf numFmtId="0" fontId="77" fillId="0" borderId="0" xfId="0" applyFont="1" applyBorder="1"/>
    <xf numFmtId="0" fontId="8" fillId="0" borderId="115" xfId="0" applyFont="1" applyBorder="1"/>
    <xf numFmtId="0" fontId="77" fillId="0" borderId="115" xfId="0" applyFont="1" applyFill="1" applyBorder="1" applyAlignment="1">
      <alignment horizontal="left"/>
    </xf>
    <xf numFmtId="0" fontId="77" fillId="0" borderId="115" xfId="0" applyFont="1" applyFill="1" applyBorder="1"/>
    <xf numFmtId="43" fontId="77" fillId="0" borderId="115" xfId="15" applyFont="1" applyFill="1" applyBorder="1"/>
    <xf numFmtId="166" fontId="8" fillId="0" borderId="115" xfId="1" applyFont="1" applyFill="1" applyBorder="1"/>
    <xf numFmtId="0" fontId="8" fillId="0" borderId="116" xfId="0" applyFont="1" applyBorder="1"/>
    <xf numFmtId="0" fontId="8" fillId="0" borderId="112" xfId="0" applyFont="1" applyBorder="1"/>
    <xf numFmtId="0" fontId="77" fillId="0" borderId="112" xfId="0" applyFont="1" applyBorder="1"/>
    <xf numFmtId="166" fontId="8" fillId="0" borderId="117" xfId="1" applyFont="1" applyFill="1" applyBorder="1"/>
    <xf numFmtId="0" fontId="8" fillId="0" borderId="35" xfId="0" applyFont="1" applyBorder="1"/>
    <xf numFmtId="0" fontId="8" fillId="0" borderId="0" xfId="0" applyFont="1" applyBorder="1" applyAlignment="1"/>
    <xf numFmtId="166" fontId="8" fillId="0" borderId="36" xfId="1" applyFont="1" applyFill="1" applyBorder="1"/>
    <xf numFmtId="0" fontId="8" fillId="0" borderId="118" xfId="0" applyFont="1" applyBorder="1"/>
    <xf numFmtId="43" fontId="112" fillId="0" borderId="115" xfId="15" applyFont="1" applyBorder="1"/>
    <xf numFmtId="0" fontId="77" fillId="0" borderId="115" xfId="0" applyFont="1" applyBorder="1"/>
    <xf numFmtId="9" fontId="8" fillId="0" borderId="115" xfId="0" applyNumberFormat="1" applyFont="1" applyBorder="1" applyAlignment="1">
      <alignment wrapText="1"/>
    </xf>
    <xf numFmtId="166" fontId="8" fillId="0" borderId="119" xfId="1" applyFont="1" applyFill="1" applyBorder="1"/>
    <xf numFmtId="166" fontId="8" fillId="0" borderId="119" xfId="1" applyFont="1" applyBorder="1"/>
    <xf numFmtId="0" fontId="68" fillId="5" borderId="112" xfId="0" applyFont="1" applyFill="1" applyBorder="1" applyAlignment="1">
      <alignment horizontal="left"/>
    </xf>
    <xf numFmtId="0" fontId="68" fillId="0" borderId="112" xfId="0" applyFont="1" applyBorder="1"/>
    <xf numFmtId="0" fontId="68" fillId="5" borderId="112" xfId="0" applyFont="1" applyFill="1" applyBorder="1"/>
    <xf numFmtId="43" fontId="68" fillId="5" borderId="112" xfId="15" applyFont="1" applyFill="1" applyBorder="1"/>
    <xf numFmtId="37" fontId="68" fillId="5" borderId="112" xfId="15" applyNumberFormat="1" applyFont="1" applyFill="1" applyBorder="1"/>
    <xf numFmtId="166" fontId="68" fillId="5" borderId="112" xfId="1" applyFont="1" applyFill="1" applyBorder="1"/>
    <xf numFmtId="0" fontId="113" fillId="0" borderId="112" xfId="0" applyFont="1" applyBorder="1"/>
    <xf numFmtId="166" fontId="68" fillId="0" borderId="112" xfId="1" applyFont="1" applyBorder="1"/>
    <xf numFmtId="0" fontId="68" fillId="0" borderId="114" xfId="0" applyFont="1" applyFill="1" applyBorder="1" applyAlignment="1">
      <alignment horizontal="left"/>
    </xf>
    <xf numFmtId="0" fontId="68" fillId="0" borderId="114" xfId="0" applyFont="1" applyFill="1" applyBorder="1"/>
    <xf numFmtId="43" fontId="68" fillId="0" borderId="114" xfId="15" applyFont="1" applyFill="1" applyBorder="1"/>
    <xf numFmtId="166" fontId="68" fillId="0" borderId="114" xfId="1" applyFont="1" applyBorder="1"/>
    <xf numFmtId="0" fontId="68" fillId="0" borderId="0" xfId="0" applyFont="1" applyBorder="1"/>
    <xf numFmtId="0" fontId="113" fillId="0" borderId="0" xfId="0" applyFont="1" applyBorder="1"/>
    <xf numFmtId="166" fontId="68" fillId="0" borderId="0" xfId="1" applyFont="1" applyBorder="1"/>
    <xf numFmtId="39" fontId="68" fillId="0" borderId="0" xfId="0" applyNumberFormat="1" applyFont="1" applyBorder="1"/>
    <xf numFmtId="0" fontId="68" fillId="0" borderId="35" xfId="0" applyFont="1" applyBorder="1"/>
    <xf numFmtId="43" fontId="113" fillId="0" borderId="0" xfId="15" applyFont="1" applyBorder="1"/>
    <xf numFmtId="166" fontId="68" fillId="0" borderId="36" xfId="1" applyFont="1" applyBorder="1"/>
    <xf numFmtId="0" fontId="68" fillId="0" borderId="120" xfId="0" applyFont="1" applyBorder="1"/>
    <xf numFmtId="0" fontId="113" fillId="0" borderId="114" xfId="0" applyFont="1" applyBorder="1"/>
    <xf numFmtId="0" fontId="68" fillId="0" borderId="114" xfId="0" applyFont="1" applyBorder="1"/>
    <xf numFmtId="9" fontId="113" fillId="0" borderId="114" xfId="0" applyNumberFormat="1" applyFont="1" applyBorder="1"/>
    <xf numFmtId="166" fontId="68" fillId="0" borderId="121" xfId="1" applyFont="1" applyBorder="1"/>
    <xf numFmtId="9" fontId="67" fillId="5" borderId="74" xfId="2" applyFont="1" applyFill="1" applyBorder="1" applyAlignment="1">
      <alignment horizontal="center" vertical="center" wrapText="1"/>
    </xf>
    <xf numFmtId="10" fontId="4" fillId="0" borderId="74" xfId="2" applyNumberFormat="1" applyFont="1" applyFill="1" applyBorder="1" applyAlignment="1">
      <alignment horizontal="right" vertical="center" wrapText="1"/>
    </xf>
    <xf numFmtId="0" fontId="6" fillId="0" borderId="74" xfId="0" applyFont="1" applyFill="1" applyBorder="1" applyAlignment="1">
      <alignment horizontal="left" vertical="center" wrapText="1"/>
    </xf>
    <xf numFmtId="169" fontId="4" fillId="0" borderId="74" xfId="2" applyNumberFormat="1" applyFont="1" applyFill="1" applyBorder="1" applyAlignment="1">
      <alignment horizontal="right" vertical="center" wrapText="1"/>
    </xf>
    <xf numFmtId="0" fontId="6" fillId="5" borderId="74" xfId="0" applyFont="1" applyFill="1" applyBorder="1" applyAlignment="1">
      <alignment horizontal="left" vertical="center" wrapText="1"/>
    </xf>
    <xf numFmtId="0" fontId="15" fillId="22" borderId="87" xfId="0" applyFont="1" applyFill="1" applyBorder="1" applyAlignment="1">
      <alignment horizontal="center" vertical="center" wrapText="1"/>
    </xf>
    <xf numFmtId="0" fontId="4" fillId="5" borderId="74" xfId="0" applyFont="1" applyFill="1" applyBorder="1" applyAlignment="1">
      <alignment horizontal="center" vertical="center" wrapText="1"/>
    </xf>
    <xf numFmtId="0" fontId="15" fillId="22" borderId="85" xfId="0" applyFont="1" applyFill="1" applyBorder="1" applyAlignment="1">
      <alignment horizontal="center" vertical="center" wrapText="1"/>
    </xf>
    <xf numFmtId="0" fontId="27" fillId="22" borderId="85" xfId="0" applyFont="1" applyFill="1" applyBorder="1" applyAlignment="1">
      <alignment horizontal="center" vertical="center"/>
    </xf>
    <xf numFmtId="0" fontId="15" fillId="22" borderId="91" xfId="0" applyFont="1" applyFill="1" applyBorder="1" applyAlignment="1">
      <alignment horizontal="left" vertical="center" wrapText="1"/>
    </xf>
    <xf numFmtId="0" fontId="15" fillId="22" borderId="91" xfId="0" applyFont="1" applyFill="1" applyBorder="1" applyAlignment="1">
      <alignment horizontal="right" vertical="center" wrapText="1"/>
    </xf>
    <xf numFmtId="164" fontId="4" fillId="0" borderId="37" xfId="0" applyNumberFormat="1" applyFont="1" applyBorder="1" applyAlignment="1">
      <alignment horizontal="center" vertical="center" wrapText="1"/>
    </xf>
    <xf numFmtId="169" fontId="4" fillId="0" borderId="37" xfId="2" applyNumberFormat="1" applyFont="1" applyBorder="1" applyAlignment="1">
      <alignment horizontal="right" vertical="center" wrapText="1"/>
    </xf>
    <xf numFmtId="0" fontId="4" fillId="0" borderId="37" xfId="0" applyFont="1" applyFill="1" applyBorder="1" applyAlignment="1">
      <alignment horizontal="right" vertical="center" wrapText="1"/>
    </xf>
    <xf numFmtId="0" fontId="15" fillId="22" borderId="77" xfId="0" applyFont="1" applyFill="1" applyBorder="1" applyAlignment="1">
      <alignment horizontal="center" vertical="center" wrapText="1"/>
    </xf>
    <xf numFmtId="0" fontId="6" fillId="5" borderId="74" xfId="0" applyFont="1" applyFill="1" applyBorder="1" applyAlignment="1">
      <alignment horizontal="right" vertical="center"/>
    </xf>
    <xf numFmtId="0" fontId="27" fillId="22" borderId="91" xfId="0" applyFont="1" applyFill="1" applyBorder="1" applyAlignment="1">
      <alignment horizontal="left" vertical="center"/>
    </xf>
    <xf numFmtId="0" fontId="4" fillId="5" borderId="74" xfId="0" applyFont="1" applyFill="1" applyBorder="1" applyAlignment="1">
      <alignment vertical="center"/>
    </xf>
    <xf numFmtId="176" fontId="4" fillId="5" borderId="74" xfId="0" applyNumberFormat="1" applyFont="1" applyFill="1" applyBorder="1" applyAlignment="1">
      <alignment vertical="center"/>
    </xf>
    <xf numFmtId="0" fontId="91" fillId="0" borderId="0" xfId="0" applyFont="1" applyAlignment="1">
      <alignment horizontal="left" vertical="center" indent="5"/>
    </xf>
    <xf numFmtId="0" fontId="6" fillId="5" borderId="74" xfId="0" applyFont="1" applyFill="1" applyBorder="1" applyAlignment="1">
      <alignment horizontal="left" vertical="center"/>
    </xf>
    <xf numFmtId="0" fontId="4" fillId="14" borderId="78" xfId="0" applyFont="1" applyFill="1" applyBorder="1" applyAlignment="1">
      <alignment vertical="center" wrapText="1"/>
    </xf>
    <xf numFmtId="0" fontId="4" fillId="14" borderId="77" xfId="0" applyFont="1" applyFill="1" applyBorder="1" applyAlignment="1">
      <alignment vertical="center" wrapText="1"/>
    </xf>
    <xf numFmtId="0" fontId="4" fillId="14" borderId="123" xfId="0" applyFont="1" applyFill="1" applyBorder="1" applyAlignment="1">
      <alignment vertical="center" wrapText="1"/>
    </xf>
    <xf numFmtId="0" fontId="4" fillId="0" borderId="78" xfId="0" applyFont="1" applyBorder="1" applyAlignment="1">
      <alignment vertical="center" wrapText="1"/>
    </xf>
    <xf numFmtId="0" fontId="4" fillId="0" borderId="123" xfId="0" applyFont="1" applyBorder="1" applyAlignment="1">
      <alignment vertical="center" wrapText="1"/>
    </xf>
    <xf numFmtId="0" fontId="4" fillId="0" borderId="77" xfId="0" applyFont="1" applyBorder="1" applyAlignment="1">
      <alignment vertical="center" wrapText="1"/>
    </xf>
    <xf numFmtId="173" fontId="6" fillId="5" borderId="74" xfId="0" applyNumberFormat="1" applyFont="1" applyFill="1" applyBorder="1" applyAlignment="1">
      <alignment horizontal="left" vertical="center" wrapText="1"/>
    </xf>
    <xf numFmtId="0" fontId="4" fillId="5" borderId="74" xfId="0" applyFont="1" applyFill="1" applyBorder="1" applyAlignment="1">
      <alignment horizontal="center" vertical="center" wrapText="1"/>
    </xf>
    <xf numFmtId="0" fontId="4" fillId="5" borderId="74" xfId="0" applyFont="1" applyFill="1" applyBorder="1" applyAlignment="1">
      <alignment horizontal="center" vertical="center" wrapText="1"/>
    </xf>
    <xf numFmtId="0" fontId="4" fillId="5" borderId="74" xfId="0" applyFont="1" applyFill="1" applyBorder="1" applyAlignment="1">
      <alignment horizontal="left" vertical="center" wrapText="1"/>
    </xf>
    <xf numFmtId="0" fontId="6" fillId="5" borderId="74" xfId="0" applyFont="1" applyFill="1" applyBorder="1" applyAlignment="1">
      <alignment horizontal="left" vertical="center" wrapText="1"/>
    </xf>
    <xf numFmtId="0" fontId="27" fillId="22" borderId="87" xfId="0" applyFont="1" applyFill="1" applyBorder="1" applyAlignment="1">
      <alignment horizontal="center" vertical="center" wrapText="1"/>
    </xf>
    <xf numFmtId="0" fontId="6" fillId="14" borderId="74" xfId="0" applyFont="1" applyFill="1" applyBorder="1" applyAlignment="1">
      <alignment horizontal="right" vertical="center"/>
    </xf>
    <xf numFmtId="0" fontId="4" fillId="5" borderId="74" xfId="0" applyFont="1" applyFill="1" applyBorder="1" applyAlignment="1">
      <alignment horizontal="left" vertical="center"/>
    </xf>
    <xf numFmtId="0" fontId="4" fillId="0" borderId="74" xfId="0" applyFont="1" applyBorder="1" applyAlignment="1">
      <alignment horizontal="center" vertical="center" wrapText="1"/>
    </xf>
    <xf numFmtId="0" fontId="96" fillId="0" borderId="0" xfId="0" applyFont="1" applyAlignment="1">
      <alignment vertical="center"/>
    </xf>
    <xf numFmtId="0" fontId="114" fillId="0" borderId="0" xfId="0" applyFont="1" applyAlignment="1">
      <alignment vertical="center"/>
    </xf>
    <xf numFmtId="0" fontId="114" fillId="0" borderId="0" xfId="0" applyFont="1" applyAlignment="1">
      <alignment horizontal="left" vertical="center"/>
    </xf>
    <xf numFmtId="0" fontId="4" fillId="5" borderId="124" xfId="0" applyFont="1" applyFill="1" applyBorder="1" applyAlignment="1">
      <alignment vertical="center" wrapText="1"/>
    </xf>
    <xf numFmtId="0" fontId="4" fillId="0" borderId="124" xfId="0" applyFont="1" applyBorder="1" applyAlignment="1">
      <alignment horizontal="left" vertical="center" wrapText="1"/>
    </xf>
    <xf numFmtId="0" fontId="27" fillId="22" borderId="125" xfId="0" applyFont="1" applyFill="1" applyBorder="1" applyAlignment="1">
      <alignment vertical="center"/>
    </xf>
    <xf numFmtId="0" fontId="17" fillId="22" borderId="126" xfId="0" applyFont="1" applyFill="1" applyBorder="1" applyAlignment="1">
      <alignment horizontal="left" vertical="center" wrapText="1"/>
    </xf>
    <xf numFmtId="0" fontId="17" fillId="22" borderId="127" xfId="0" applyFont="1" applyFill="1" applyBorder="1" applyAlignment="1">
      <alignment horizontal="left" vertical="center" wrapText="1"/>
    </xf>
    <xf numFmtId="0" fontId="27" fillId="22" borderId="125" xfId="0" applyFont="1" applyFill="1" applyBorder="1" applyAlignment="1">
      <alignment vertical="center" wrapText="1"/>
    </xf>
    <xf numFmtId="0" fontId="4" fillId="0" borderId="74" xfId="2" applyNumberFormat="1" applyFont="1" applyBorder="1" applyAlignment="1">
      <alignment horizontal="center" vertical="center" wrapText="1"/>
    </xf>
    <xf numFmtId="0" fontId="8" fillId="5" borderId="74" xfId="0" applyFont="1" applyFill="1" applyBorder="1" applyAlignment="1">
      <alignment horizontal="center" vertical="center"/>
    </xf>
    <xf numFmtId="0" fontId="4" fillId="0" borderId="74" xfId="0" applyFont="1" applyBorder="1" applyAlignment="1">
      <alignment vertical="center"/>
    </xf>
    <xf numFmtId="176" fontId="4" fillId="0" borderId="74" xfId="0" applyNumberFormat="1" applyFont="1" applyBorder="1" applyAlignment="1">
      <alignment vertical="center"/>
    </xf>
    <xf numFmtId="0" fontId="4" fillId="5" borderId="74" xfId="0" applyFont="1" applyFill="1" applyBorder="1" applyAlignment="1">
      <alignment horizontal="right" vertical="center"/>
    </xf>
    <xf numFmtId="169" fontId="4" fillId="0" borderId="74" xfId="0" applyNumberFormat="1" applyFont="1" applyBorder="1" applyAlignment="1">
      <alignment horizontal="right" vertical="center"/>
    </xf>
    <xf numFmtId="169" fontId="4" fillId="5" borderId="74" xfId="0" applyNumberFormat="1" applyFont="1" applyFill="1" applyBorder="1" applyAlignment="1">
      <alignment horizontal="right" vertical="center"/>
    </xf>
    <xf numFmtId="176" fontId="4" fillId="0" borderId="74" xfId="0" applyNumberFormat="1" applyFont="1" applyBorder="1" applyAlignment="1">
      <alignment horizontal="center" vertical="center" wrapText="1"/>
    </xf>
    <xf numFmtId="176" fontId="15" fillId="22" borderId="85" xfId="0" applyNumberFormat="1" applyFont="1" applyFill="1" applyBorder="1" applyAlignment="1">
      <alignment horizontal="center" vertical="center" wrapText="1"/>
    </xf>
    <xf numFmtId="0" fontId="5" fillId="0" borderId="123" xfId="0" applyFont="1" applyBorder="1" applyAlignment="1">
      <alignment vertical="center" wrapText="1"/>
    </xf>
    <xf numFmtId="0" fontId="17" fillId="0" borderId="123" xfId="0" applyFont="1" applyBorder="1" applyAlignment="1">
      <alignment horizontal="left" vertical="center" wrapText="1"/>
    </xf>
    <xf numFmtId="0" fontId="6" fillId="5" borderId="74" xfId="0" applyFont="1" applyFill="1" applyBorder="1" applyAlignment="1">
      <alignment horizontal="center" vertical="center"/>
    </xf>
    <xf numFmtId="0" fontId="67" fillId="0" borderId="74" xfId="0" applyFont="1" applyBorder="1" applyAlignment="1">
      <alignment horizontal="center" vertical="center"/>
    </xf>
    <xf numFmtId="0" fontId="6" fillId="14" borderId="74" xfId="0" applyFont="1" applyFill="1" applyBorder="1" applyAlignment="1">
      <alignment horizontal="center" vertical="center"/>
    </xf>
    <xf numFmtId="166" fontId="4" fillId="0" borderId="74" xfId="0" applyNumberFormat="1" applyFont="1" applyBorder="1" applyAlignment="1">
      <alignment horizontal="center" vertical="center" wrapText="1"/>
    </xf>
    <xf numFmtId="10" fontId="0" fillId="0" borderId="0" xfId="2" applyNumberFormat="1" applyFont="1"/>
    <xf numFmtId="10" fontId="0" fillId="0" borderId="0" xfId="0" applyNumberFormat="1"/>
    <xf numFmtId="176" fontId="5" fillId="0" borderId="0" xfId="0" applyNumberFormat="1" applyFont="1" applyAlignment="1">
      <alignment vertical="top" wrapText="1"/>
    </xf>
    <xf numFmtId="0" fontId="6" fillId="5" borderId="74" xfId="0" applyFont="1" applyFill="1" applyBorder="1" applyAlignment="1">
      <alignment horizontal="left" vertical="center" wrapText="1"/>
    </xf>
    <xf numFmtId="0" fontId="4" fillId="0" borderId="0" xfId="0" applyFont="1" applyAlignment="1">
      <alignment horizontal="center"/>
    </xf>
    <xf numFmtId="0" fontId="5" fillId="0" borderId="83" xfId="0" applyFont="1" applyBorder="1" applyAlignment="1">
      <alignment vertical="center" wrapText="1"/>
    </xf>
    <xf numFmtId="0" fontId="17" fillId="0" borderId="83" xfId="0" applyFont="1" applyBorder="1" applyAlignment="1">
      <alignment horizontal="left" vertical="center" wrapText="1"/>
    </xf>
    <xf numFmtId="0" fontId="4" fillId="0" borderId="83" xfId="0" applyFont="1" applyBorder="1" applyAlignment="1">
      <alignment horizontal="left" vertical="center" wrapText="1"/>
    </xf>
    <xf numFmtId="0" fontId="73" fillId="0" borderId="0" xfId="0" applyFont="1" applyAlignment="1">
      <alignment horizontal="left" vertical="top"/>
    </xf>
    <xf numFmtId="0" fontId="81" fillId="0" borderId="0" xfId="0" applyFont="1" applyAlignment="1">
      <alignment vertical="top"/>
    </xf>
    <xf numFmtId="0" fontId="4" fillId="5" borderId="74" xfId="0" applyFont="1" applyFill="1" applyBorder="1" applyAlignment="1">
      <alignment horizontal="left" vertical="center" wrapText="1"/>
    </xf>
    <xf numFmtId="0" fontId="6" fillId="5" borderId="74" xfId="0" applyFont="1" applyFill="1" applyBorder="1" applyAlignment="1">
      <alignment horizontal="left" vertical="center" wrapText="1"/>
    </xf>
    <xf numFmtId="0" fontId="27" fillId="22" borderId="85" xfId="0" applyFont="1" applyFill="1" applyBorder="1" applyAlignment="1">
      <alignment horizontal="center" vertical="center"/>
    </xf>
    <xf numFmtId="0" fontId="27" fillId="22" borderId="87" xfId="0" applyFont="1" applyFill="1" applyBorder="1" applyAlignment="1">
      <alignment horizontal="center" vertical="center" wrapText="1"/>
    </xf>
    <xf numFmtId="0" fontId="27" fillId="22" borderId="87" xfId="0" applyFont="1" applyFill="1" applyBorder="1" applyAlignment="1">
      <alignment horizontal="center" vertical="center"/>
    </xf>
    <xf numFmtId="0" fontId="27" fillId="22" borderId="78" xfId="0" applyFont="1" applyFill="1" applyBorder="1" applyAlignment="1">
      <alignment horizontal="left" vertical="center"/>
    </xf>
    <xf numFmtId="166" fontId="6" fillId="14" borderId="74" xfId="0" applyNumberFormat="1" applyFont="1" applyFill="1" applyBorder="1" applyAlignment="1">
      <alignment horizontal="center" vertical="center" wrapText="1"/>
    </xf>
    <xf numFmtId="166" fontId="4" fillId="5" borderId="74" xfId="0" applyNumberFormat="1" applyFont="1" applyFill="1" applyBorder="1" applyAlignment="1">
      <alignment horizontal="right" vertical="center" wrapText="1"/>
    </xf>
    <xf numFmtId="166" fontId="4" fillId="0" borderId="74" xfId="0" applyNumberFormat="1" applyFont="1" applyBorder="1" applyAlignment="1">
      <alignment horizontal="right" vertical="center" wrapText="1"/>
    </xf>
    <xf numFmtId="9" fontId="67" fillId="0" borderId="74" xfId="2" applyFont="1" applyBorder="1" applyAlignment="1">
      <alignment horizontal="center" vertical="center" wrapText="1"/>
    </xf>
    <xf numFmtId="10" fontId="4" fillId="20" borderId="74" xfId="2" applyNumberFormat="1" applyFont="1" applyFill="1" applyBorder="1" applyAlignment="1">
      <alignment horizontal="right" vertical="center" wrapText="1"/>
    </xf>
    <xf numFmtId="10" fontId="6" fillId="3" borderId="74" xfId="2" applyNumberFormat="1" applyFont="1" applyFill="1" applyBorder="1" applyAlignment="1">
      <alignment horizontal="right" vertical="center" wrapText="1"/>
    </xf>
    <xf numFmtId="10" fontId="6" fillId="20" borderId="74" xfId="2" applyNumberFormat="1" applyFont="1" applyFill="1" applyBorder="1" applyAlignment="1">
      <alignment horizontal="right" vertical="center" wrapText="1"/>
    </xf>
    <xf numFmtId="10" fontId="4" fillId="21" borderId="74" xfId="2" applyNumberFormat="1" applyFont="1" applyFill="1" applyBorder="1" applyAlignment="1">
      <alignment horizontal="right" vertical="center" wrapText="1"/>
    </xf>
    <xf numFmtId="10" fontId="6" fillId="21" borderId="74" xfId="2" applyNumberFormat="1" applyFont="1" applyFill="1" applyBorder="1" applyAlignment="1">
      <alignment horizontal="right" vertical="center" wrapText="1"/>
    </xf>
    <xf numFmtId="0" fontId="71" fillId="0" borderId="0" xfId="0" applyFont="1" applyAlignment="1">
      <alignment horizontal="justify" vertical="center"/>
    </xf>
    <xf numFmtId="0" fontId="4" fillId="0" borderId="74" xfId="0" applyFont="1" applyBorder="1" applyAlignment="1">
      <alignment horizontal="center" vertical="center" wrapText="1"/>
    </xf>
    <xf numFmtId="182" fontId="4" fillId="0" borderId="74" xfId="0" applyNumberFormat="1" applyFont="1" applyBorder="1" applyAlignment="1">
      <alignment vertical="center" wrapText="1"/>
    </xf>
    <xf numFmtId="10" fontId="4" fillId="0" borderId="74" xfId="0" applyNumberFormat="1" applyFont="1" applyBorder="1" applyAlignment="1">
      <alignment horizontal="left" vertical="center" wrapText="1"/>
    </xf>
    <xf numFmtId="0" fontId="7" fillId="0" borderId="0" xfId="0" applyFont="1" applyAlignment="1">
      <alignment horizontal="left" vertical="center"/>
    </xf>
    <xf numFmtId="0" fontId="15" fillId="22" borderId="87" xfId="0" applyFont="1" applyFill="1" applyBorder="1" applyAlignment="1">
      <alignment horizontal="center" vertical="center" wrapText="1"/>
    </xf>
    <xf numFmtId="0" fontId="4" fillId="5" borderId="74" xfId="0" applyFont="1" applyFill="1" applyBorder="1" applyAlignment="1">
      <alignment horizontal="center" vertical="center" wrapText="1"/>
    </xf>
    <xf numFmtId="166" fontId="4" fillId="0" borderId="74" xfId="0" applyNumberFormat="1" applyFont="1" applyBorder="1" applyAlignment="1">
      <alignment horizontal="center" vertical="center" wrapText="1"/>
    </xf>
    <xf numFmtId="0" fontId="69" fillId="0" borderId="0" xfId="0" applyFont="1" applyAlignment="1">
      <alignment horizontal="left" vertical="top"/>
    </xf>
    <xf numFmtId="0" fontId="6" fillId="14" borderId="74" xfId="0" applyFont="1" applyFill="1" applyBorder="1" applyAlignment="1">
      <alignment horizontal="left" vertical="center" wrapText="1"/>
    </xf>
    <xf numFmtId="0" fontId="4" fillId="5" borderId="74" xfId="0" applyFont="1" applyFill="1" applyBorder="1" applyAlignment="1">
      <alignment horizontal="left" vertical="center"/>
    </xf>
    <xf numFmtId="0" fontId="4" fillId="5" borderId="74" xfId="0" applyFont="1" applyFill="1" applyBorder="1" applyAlignment="1">
      <alignment horizontal="center" vertical="center"/>
    </xf>
    <xf numFmtId="0" fontId="4" fillId="0" borderId="0" xfId="0" applyFont="1" applyAlignment="1">
      <alignment horizontal="center"/>
    </xf>
    <xf numFmtId="0" fontId="6" fillId="14" borderId="74" xfId="0" applyFont="1" applyFill="1" applyBorder="1" applyAlignment="1">
      <alignment horizontal="center" vertical="center" wrapText="1"/>
    </xf>
    <xf numFmtId="166" fontId="6" fillId="14" borderId="74" xfId="0" applyNumberFormat="1" applyFont="1" applyFill="1" applyBorder="1" applyAlignment="1">
      <alignment horizontal="center" vertical="center" wrapText="1"/>
    </xf>
    <xf numFmtId="0" fontId="73" fillId="0" borderId="0" xfId="0" applyFont="1" applyAlignment="1">
      <alignment horizontal="center" vertical="center"/>
    </xf>
    <xf numFmtId="15" fontId="71" fillId="0" borderId="0" xfId="0" applyNumberFormat="1" applyFont="1" applyAlignment="1">
      <alignment horizontal="justify" vertical="center"/>
    </xf>
    <xf numFmtId="0" fontId="6" fillId="14" borderId="74" xfId="2" applyNumberFormat="1" applyFont="1" applyFill="1" applyBorder="1" applyAlignment="1">
      <alignment horizontal="center" vertical="center" wrapText="1"/>
    </xf>
    <xf numFmtId="0" fontId="6" fillId="14" borderId="78" xfId="2" applyNumberFormat="1" applyFont="1" applyFill="1" applyBorder="1" applyAlignment="1">
      <alignment horizontal="center" vertical="center" wrapText="1"/>
    </xf>
    <xf numFmtId="0" fontId="14" fillId="23" borderId="96" xfId="0" applyFont="1" applyFill="1" applyBorder="1" applyAlignment="1">
      <alignment horizontal="center" vertical="center" wrapText="1"/>
    </xf>
    <xf numFmtId="0" fontId="27" fillId="22" borderId="130" xfId="0" applyFont="1" applyFill="1" applyBorder="1" applyAlignment="1">
      <alignment horizontal="center" vertical="center" wrapText="1"/>
    </xf>
    <xf numFmtId="9" fontId="4" fillId="0" borderId="74" xfId="2" applyFont="1" applyBorder="1" applyAlignment="1">
      <alignment horizontal="left" vertical="center" wrapText="1"/>
    </xf>
    <xf numFmtId="0" fontId="6" fillId="14" borderId="74" xfId="0" applyFont="1" applyFill="1" applyBorder="1" applyAlignment="1">
      <alignment horizontal="left" vertical="center" wrapText="1"/>
    </xf>
    <xf numFmtId="0" fontId="6" fillId="14" borderId="74" xfId="0" applyFont="1" applyFill="1" applyBorder="1" applyAlignment="1">
      <alignment horizontal="center" vertical="center" wrapText="1"/>
    </xf>
    <xf numFmtId="0" fontId="4" fillId="0" borderId="0" xfId="0" applyFont="1" applyFill="1" applyAlignment="1">
      <alignment vertical="center"/>
    </xf>
    <xf numFmtId="169" fontId="6" fillId="0" borderId="74" xfId="2" applyNumberFormat="1" applyFont="1" applyBorder="1" applyAlignment="1">
      <alignment horizontal="center" vertical="center" wrapText="1"/>
    </xf>
    <xf numFmtId="0" fontId="6" fillId="14" borderId="74" xfId="0" applyFont="1" applyFill="1" applyBorder="1" applyAlignment="1">
      <alignment vertical="center"/>
    </xf>
    <xf numFmtId="0" fontId="70" fillId="14" borderId="74" xfId="0" applyFont="1" applyFill="1" applyBorder="1" applyAlignment="1">
      <alignment horizontal="right" vertical="center" wrapText="1"/>
    </xf>
    <xf numFmtId="166" fontId="70" fillId="14" borderId="74" xfId="0" applyNumberFormat="1" applyFont="1" applyFill="1" applyBorder="1" applyAlignment="1">
      <alignment horizontal="center" vertical="center" wrapText="1"/>
    </xf>
    <xf numFmtId="169" fontId="70" fillId="14" borderId="74" xfId="2" applyNumberFormat="1" applyFont="1" applyFill="1" applyBorder="1" applyAlignment="1">
      <alignment horizontal="right" vertical="center" wrapText="1"/>
    </xf>
    <xf numFmtId="169" fontId="70" fillId="14" borderId="74" xfId="2" applyNumberFormat="1" applyFont="1" applyFill="1" applyBorder="1" applyAlignment="1">
      <alignment horizontal="center" vertical="center" wrapText="1"/>
    </xf>
    <xf numFmtId="0" fontId="70" fillId="0" borderId="74" xfId="0" applyFont="1" applyBorder="1" applyAlignment="1">
      <alignment horizontal="right" vertical="center" wrapText="1"/>
    </xf>
    <xf numFmtId="169" fontId="70" fillId="0" borderId="74" xfId="2" applyNumberFormat="1" applyFont="1" applyBorder="1" applyAlignment="1">
      <alignment horizontal="center" vertical="center" wrapText="1"/>
    </xf>
    <xf numFmtId="0" fontId="70" fillId="14" borderId="74" xfId="0" applyFont="1" applyFill="1" applyBorder="1" applyAlignment="1">
      <alignment horizontal="left" vertical="center" wrapText="1"/>
    </xf>
    <xf numFmtId="3" fontId="70" fillId="14" borderId="74" xfId="0" applyNumberFormat="1" applyFont="1" applyFill="1" applyBorder="1" applyAlignment="1">
      <alignment horizontal="center" vertical="center" wrapText="1"/>
    </xf>
    <xf numFmtId="169" fontId="70" fillId="14" borderId="74" xfId="0" applyNumberFormat="1" applyFont="1" applyFill="1" applyBorder="1" applyAlignment="1">
      <alignment horizontal="center" vertical="center" wrapText="1"/>
    </xf>
    <xf numFmtId="0" fontId="118" fillId="0" borderId="74" xfId="0" applyFont="1" applyBorder="1" applyAlignment="1">
      <alignment horizontal="right" vertical="center" wrapText="1"/>
    </xf>
    <xf numFmtId="0" fontId="118" fillId="0" borderId="74" xfId="0" applyFont="1" applyBorder="1" applyAlignment="1">
      <alignment horizontal="center" vertical="center" wrapText="1"/>
    </xf>
    <xf numFmtId="169" fontId="70" fillId="33" borderId="74" xfId="2" applyNumberFormat="1" applyFont="1" applyFill="1" applyBorder="1" applyAlignment="1">
      <alignment horizontal="right" vertical="center" wrapText="1"/>
    </xf>
    <xf numFmtId="169" fontId="70" fillId="33" borderId="74" xfId="2" applyNumberFormat="1" applyFont="1" applyFill="1" applyBorder="1" applyAlignment="1">
      <alignment horizontal="center" vertical="center" wrapText="1"/>
    </xf>
    <xf numFmtId="0" fontId="119" fillId="5" borderId="74" xfId="0" applyFont="1" applyFill="1" applyBorder="1" applyAlignment="1">
      <alignment horizontal="center" vertical="center" wrapText="1"/>
    </xf>
    <xf numFmtId="169" fontId="118" fillId="5" borderId="74" xfId="2" applyNumberFormat="1" applyFont="1" applyFill="1" applyBorder="1" applyAlignment="1">
      <alignment horizontal="center" vertical="center" wrapText="1"/>
    </xf>
    <xf numFmtId="0" fontId="70" fillId="14" borderId="74" xfId="0" applyFont="1" applyFill="1" applyBorder="1" applyAlignment="1">
      <alignment horizontal="center" vertical="center" wrapText="1"/>
    </xf>
    <xf numFmtId="0" fontId="70" fillId="3" borderId="37" xfId="0" applyFont="1" applyFill="1" applyBorder="1" applyAlignment="1">
      <alignment horizontal="right" vertical="center" wrapText="1"/>
    </xf>
    <xf numFmtId="170" fontId="118" fillId="0" borderId="37" xfId="0" applyNumberFormat="1" applyFont="1" applyBorder="1" applyAlignment="1">
      <alignment horizontal="center" vertical="center" wrapText="1"/>
    </xf>
    <xf numFmtId="170" fontId="67" fillId="0" borderId="37" xfId="0" applyNumberFormat="1" applyFont="1" applyBorder="1" applyAlignment="1">
      <alignment horizontal="center" vertical="center" wrapText="1"/>
    </xf>
    <xf numFmtId="169" fontId="67" fillId="0" borderId="37" xfId="0" applyNumberFormat="1" applyFont="1" applyBorder="1" applyAlignment="1">
      <alignment horizontal="center" vertical="center" wrapText="1"/>
    </xf>
    <xf numFmtId="1" fontId="67" fillId="0" borderId="37" xfId="0" applyNumberFormat="1" applyFont="1" applyBorder="1" applyAlignment="1">
      <alignment horizontal="center" vertical="center" wrapText="1"/>
    </xf>
    <xf numFmtId="9" fontId="67" fillId="0" borderId="37" xfId="0" applyNumberFormat="1" applyFont="1" applyBorder="1" applyAlignment="1">
      <alignment horizontal="center" vertical="center" wrapText="1"/>
    </xf>
    <xf numFmtId="0" fontId="17" fillId="0" borderId="37" xfId="0" applyFont="1" applyBorder="1" applyAlignment="1">
      <alignment horizontal="center" vertical="center" wrapText="1"/>
    </xf>
    <xf numFmtId="9" fontId="118" fillId="0" borderId="37" xfId="2" applyFont="1" applyBorder="1" applyAlignment="1">
      <alignment horizontal="center" vertical="center" wrapText="1"/>
    </xf>
    <xf numFmtId="9" fontId="4" fillId="0" borderId="74" xfId="2" applyFont="1" applyBorder="1" applyAlignment="1">
      <alignment horizontal="center" vertical="center" wrapText="1"/>
    </xf>
    <xf numFmtId="9" fontId="118" fillId="0" borderId="74" xfId="2" applyFont="1" applyBorder="1" applyAlignment="1">
      <alignment horizontal="center" vertical="center" wrapText="1"/>
    </xf>
    <xf numFmtId="169" fontId="118" fillId="0" borderId="37" xfId="0" applyNumberFormat="1" applyFont="1" applyBorder="1" applyAlignment="1">
      <alignment horizontal="center" vertical="center" wrapText="1"/>
    </xf>
    <xf numFmtId="0" fontId="27" fillId="22" borderId="132" xfId="0" applyFont="1" applyFill="1" applyBorder="1" applyAlignment="1">
      <alignment horizontal="center" vertical="center" wrapText="1"/>
    </xf>
    <xf numFmtId="0" fontId="15" fillId="22" borderId="69" xfId="0" applyFont="1" applyFill="1" applyBorder="1" applyAlignment="1">
      <alignment horizontal="center" vertical="center" wrapText="1"/>
    </xf>
    <xf numFmtId="0" fontId="27" fillId="22" borderId="134" xfId="0" applyFont="1" applyFill="1" applyBorder="1" applyAlignment="1">
      <alignment horizontal="center" vertical="center" wrapText="1"/>
    </xf>
    <xf numFmtId="0" fontId="70" fillId="14" borderId="37" xfId="0" applyFont="1" applyFill="1" applyBorder="1" applyAlignment="1">
      <alignment horizontal="right" vertical="center" wrapText="1"/>
    </xf>
    <xf numFmtId="9" fontId="118" fillId="0" borderId="37" xfId="0" applyNumberFormat="1" applyFont="1" applyBorder="1" applyAlignment="1">
      <alignment horizontal="center" vertical="center" wrapText="1"/>
    </xf>
    <xf numFmtId="169" fontId="6" fillId="0" borderId="81" xfId="2" applyNumberFormat="1" applyFont="1" applyFill="1" applyBorder="1" applyAlignment="1">
      <alignment horizontal="center" vertical="center" wrapText="1"/>
    </xf>
    <xf numFmtId="1" fontId="76" fillId="0" borderId="74" xfId="0" applyNumberFormat="1" applyFont="1" applyFill="1" applyBorder="1" applyAlignment="1">
      <alignment horizontal="center" vertical="center" wrapText="1"/>
    </xf>
    <xf numFmtId="0" fontId="6" fillId="0" borderId="74" xfId="0" applyFont="1" applyFill="1" applyBorder="1" applyAlignment="1">
      <alignment vertical="center" wrapText="1"/>
    </xf>
    <xf numFmtId="0" fontId="4" fillId="0" borderId="74" xfId="0" applyFont="1" applyFill="1" applyBorder="1" applyAlignment="1">
      <alignment vertical="center" wrapText="1"/>
    </xf>
    <xf numFmtId="169" fontId="4" fillId="0" borderId="74" xfId="2" applyNumberFormat="1" applyFont="1" applyFill="1" applyBorder="1" applyAlignment="1">
      <alignment horizontal="center" vertical="center" wrapText="1"/>
    </xf>
    <xf numFmtId="1" fontId="67" fillId="0" borderId="74" xfId="0" applyNumberFormat="1" applyFont="1" applyFill="1" applyBorder="1" applyAlignment="1">
      <alignment horizontal="center" vertical="center" wrapText="1"/>
    </xf>
    <xf numFmtId="0" fontId="98" fillId="0" borderId="0" xfId="0" applyFont="1" applyAlignment="1">
      <alignment vertical="center"/>
    </xf>
    <xf numFmtId="1" fontId="4" fillId="0" borderId="74" xfId="0" applyNumberFormat="1" applyFont="1" applyFill="1" applyBorder="1" applyAlignment="1">
      <alignment horizontal="center" vertical="center" wrapText="1"/>
    </xf>
    <xf numFmtId="170" fontId="67" fillId="0" borderId="74" xfId="0" applyNumberFormat="1" applyFont="1" applyFill="1" applyBorder="1" applyAlignment="1">
      <alignment horizontal="center" vertical="center" wrapText="1"/>
    </xf>
    <xf numFmtId="170" fontId="4" fillId="0" borderId="74" xfId="0" applyNumberFormat="1" applyFont="1" applyFill="1" applyBorder="1" applyAlignment="1">
      <alignment horizontal="center" vertical="center" wrapText="1"/>
    </xf>
    <xf numFmtId="44" fontId="4" fillId="14" borderId="74" xfId="0" applyNumberFormat="1" applyFont="1" applyFill="1" applyBorder="1" applyAlignment="1">
      <alignment horizontal="center" vertical="center"/>
    </xf>
    <xf numFmtId="180" fontId="4" fillId="5" borderId="74" xfId="0" applyNumberFormat="1" applyFont="1" applyFill="1" applyBorder="1" applyAlignment="1">
      <alignment horizontal="center" vertical="center" wrapText="1"/>
    </xf>
    <xf numFmtId="180" fontId="4" fillId="0" borderId="74" xfId="0" applyNumberFormat="1" applyFont="1" applyBorder="1" applyAlignment="1">
      <alignment horizontal="center" vertical="center" wrapText="1"/>
    </xf>
    <xf numFmtId="183" fontId="4" fillId="0" borderId="74" xfId="1" applyNumberFormat="1" applyFont="1" applyBorder="1" applyAlignment="1">
      <alignment horizontal="right" vertical="center" wrapText="1" indent="1"/>
    </xf>
    <xf numFmtId="180" fontId="4" fillId="0" borderId="74" xfId="0" applyNumberFormat="1" applyFont="1" applyFill="1" applyBorder="1" applyAlignment="1">
      <alignment horizontal="center" vertical="center" wrapText="1"/>
    </xf>
    <xf numFmtId="180" fontId="4" fillId="0" borderId="74" xfId="1" applyNumberFormat="1" applyFont="1" applyFill="1" applyBorder="1" applyAlignment="1">
      <alignment horizontal="center" vertical="center" wrapText="1"/>
    </xf>
    <xf numFmtId="180" fontId="4" fillId="0" borderId="74" xfId="1" applyNumberFormat="1" applyFont="1" applyBorder="1" applyAlignment="1">
      <alignment horizontal="center" vertical="center" wrapText="1"/>
    </xf>
    <xf numFmtId="180" fontId="6" fillId="14" borderId="74" xfId="0" applyNumberFormat="1" applyFont="1" applyFill="1" applyBorder="1" applyAlignment="1">
      <alignment horizontal="center" vertical="center" wrapText="1"/>
    </xf>
    <xf numFmtId="180" fontId="4" fillId="0" borderId="74" xfId="0" applyNumberFormat="1" applyFont="1" applyBorder="1" applyAlignment="1">
      <alignment horizontal="center" vertical="center"/>
    </xf>
    <xf numFmtId="180" fontId="70" fillId="14" borderId="74" xfId="0" applyNumberFormat="1" applyFont="1" applyFill="1" applyBorder="1" applyAlignment="1">
      <alignment horizontal="center" vertical="center"/>
    </xf>
    <xf numFmtId="180" fontId="4" fillId="5" borderId="74" xfId="1" applyNumberFormat="1" applyFont="1" applyFill="1" applyBorder="1" applyAlignment="1">
      <alignment horizontal="center" vertical="center" wrapText="1"/>
    </xf>
    <xf numFmtId="180" fontId="100" fillId="0" borderId="74" xfId="0" applyNumberFormat="1" applyFont="1" applyBorder="1" applyAlignment="1">
      <alignment horizontal="center" vertical="center" wrapText="1"/>
    </xf>
    <xf numFmtId="180" fontId="4" fillId="0" borderId="74" xfId="2" applyNumberFormat="1" applyFont="1" applyBorder="1" applyAlignment="1">
      <alignment horizontal="center" vertical="center" wrapText="1"/>
    </xf>
    <xf numFmtId="0" fontId="8" fillId="0" borderId="0" xfId="0" applyFont="1" applyAlignment="1">
      <alignment horizontal="left"/>
    </xf>
    <xf numFmtId="0" fontId="18" fillId="0" borderId="0" xfId="0" applyFont="1" applyAlignment="1">
      <alignment horizontal="center" vertical="center"/>
    </xf>
    <xf numFmtId="0" fontId="18" fillId="0" borderId="0" xfId="0" applyFont="1" applyAlignment="1">
      <alignment horizontal="left" vertical="center"/>
    </xf>
    <xf numFmtId="0" fontId="8" fillId="0" borderId="0" xfId="0" applyFont="1" applyAlignment="1">
      <alignment horizontal="justify" vertical="center" wrapText="1"/>
    </xf>
    <xf numFmtId="0" fontId="31" fillId="0" borderId="0" xfId="0" applyFont="1" applyAlignment="1">
      <alignment vertical="top" wrapText="1"/>
    </xf>
    <xf numFmtId="0" fontId="15" fillId="22" borderId="53" xfId="0" applyFont="1" applyFill="1" applyBorder="1" applyAlignment="1">
      <alignment horizontal="right" vertical="center" wrapText="1"/>
    </xf>
    <xf numFmtId="0" fontId="15" fillId="22" borderId="73" xfId="0" applyFont="1" applyFill="1" applyBorder="1" applyAlignment="1">
      <alignment horizontal="center" vertical="center" wrapText="1"/>
    </xf>
    <xf numFmtId="44" fontId="4" fillId="5" borderId="74" xfId="0" applyNumberFormat="1" applyFont="1" applyFill="1" applyBorder="1" applyAlignment="1">
      <alignment horizontal="center" vertical="center" wrapText="1"/>
    </xf>
    <xf numFmtId="44" fontId="70" fillId="14" borderId="74" xfId="0" applyNumberFormat="1" applyFont="1" applyFill="1" applyBorder="1" applyAlignment="1">
      <alignment horizontal="center" vertical="center" wrapText="1"/>
    </xf>
    <xf numFmtId="44" fontId="70" fillId="33" borderId="74" xfId="0" applyNumberFormat="1" applyFont="1" applyFill="1" applyBorder="1" applyAlignment="1">
      <alignment horizontal="center" vertical="center" wrapText="1"/>
    </xf>
    <xf numFmtId="44" fontId="4" fillId="0" borderId="74" xfId="0" applyNumberFormat="1" applyFont="1" applyBorder="1" applyAlignment="1">
      <alignment horizontal="center" vertical="center" wrapText="1"/>
    </xf>
    <xf numFmtId="166" fontId="4" fillId="0" borderId="74" xfId="0" applyNumberFormat="1"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5" fillId="22" borderId="87" xfId="0" applyFont="1" applyFill="1" applyBorder="1" applyAlignment="1">
      <alignment horizontal="center" vertical="center" wrapText="1"/>
    </xf>
    <xf numFmtId="0" fontId="15" fillId="22" borderId="85" xfId="0" applyFont="1" applyFill="1" applyBorder="1" applyAlignment="1">
      <alignment horizontal="center" vertical="center" wrapText="1"/>
    </xf>
    <xf numFmtId="0" fontId="14" fillId="22" borderId="78" xfId="0" applyFont="1" applyFill="1" applyBorder="1" applyAlignment="1">
      <alignment horizontal="left" vertical="center" wrapText="1"/>
    </xf>
    <xf numFmtId="0" fontId="27" fillId="22" borderId="87" xfId="0" applyFont="1" applyFill="1" applyBorder="1" applyAlignment="1">
      <alignment horizontal="center" vertical="center" wrapText="1"/>
    </xf>
    <xf numFmtId="0" fontId="4" fillId="0" borderId="0" xfId="0" applyFont="1" applyAlignment="1">
      <alignment horizontal="left" vertical="center" wrapText="1"/>
    </xf>
    <xf numFmtId="0" fontId="18" fillId="0" borderId="0" xfId="0" applyFont="1" applyAlignment="1">
      <alignment horizontal="left" vertical="center" wrapText="1"/>
    </xf>
    <xf numFmtId="0" fontId="27" fillId="22" borderId="77" xfId="0" applyFont="1" applyFill="1" applyBorder="1" applyAlignment="1">
      <alignment horizontal="center" vertical="center" wrapText="1"/>
    </xf>
    <xf numFmtId="184" fontId="4" fillId="0" borderId="74" xfId="1" applyNumberFormat="1" applyFont="1" applyBorder="1" applyAlignment="1">
      <alignment horizontal="center" vertical="center" wrapText="1"/>
    </xf>
    <xf numFmtId="184" fontId="4" fillId="0" borderId="74" xfId="0" applyNumberFormat="1" applyFont="1" applyBorder="1" applyAlignment="1">
      <alignment horizontal="center" vertical="center" wrapText="1"/>
    </xf>
    <xf numFmtId="184" fontId="6" fillId="14" borderId="74" xfId="0" applyNumberFormat="1" applyFont="1" applyFill="1" applyBorder="1" applyAlignment="1">
      <alignment horizontal="center" vertical="center" wrapText="1"/>
    </xf>
    <xf numFmtId="0" fontId="7" fillId="0" borderId="0" xfId="0" applyFont="1" applyAlignment="1">
      <alignment horizontal="left" vertical="center"/>
    </xf>
    <xf numFmtId="166" fontId="4" fillId="0" borderId="74" xfId="0" applyNumberFormat="1" applyFont="1" applyBorder="1" applyAlignment="1">
      <alignment horizontal="center" vertical="center" wrapText="1"/>
    </xf>
    <xf numFmtId="0" fontId="69" fillId="0" borderId="0" xfId="0" applyFont="1" applyAlignment="1">
      <alignment horizontal="left" vertical="top"/>
    </xf>
    <xf numFmtId="0" fontId="15" fillId="22" borderId="87" xfId="0" applyFont="1" applyFill="1" applyBorder="1" applyAlignment="1">
      <alignment horizontal="center" vertical="center" wrapText="1"/>
    </xf>
    <xf numFmtId="0" fontId="4" fillId="5" borderId="74" xfId="0" applyFont="1" applyFill="1" applyBorder="1" applyAlignment="1">
      <alignment horizontal="left" vertical="center"/>
    </xf>
    <xf numFmtId="0" fontId="4" fillId="5" borderId="74" xfId="0" applyFont="1" applyFill="1" applyBorder="1" applyAlignment="1">
      <alignment horizontal="center" vertical="center"/>
    </xf>
    <xf numFmtId="0" fontId="4" fillId="0" borderId="0" xfId="0" applyFont="1" applyAlignment="1">
      <alignment horizontal="center"/>
    </xf>
    <xf numFmtId="0" fontId="6" fillId="14" borderId="74" xfId="0" applyFont="1" applyFill="1" applyBorder="1" applyAlignment="1">
      <alignment horizontal="center" vertical="center" wrapText="1"/>
    </xf>
    <xf numFmtId="166" fontId="6" fillId="14" borderId="74" xfId="0" applyNumberFormat="1" applyFont="1" applyFill="1" applyBorder="1" applyAlignment="1">
      <alignment horizontal="center" vertical="center" wrapText="1"/>
    </xf>
    <xf numFmtId="0" fontId="73" fillId="0" borderId="0" xfId="0" applyFont="1" applyAlignment="1">
      <alignment horizontal="center" vertical="center"/>
    </xf>
    <xf numFmtId="0" fontId="27" fillId="22" borderId="97" xfId="0" applyFont="1" applyFill="1" applyBorder="1" applyAlignment="1">
      <alignment vertical="center"/>
    </xf>
    <xf numFmtId="0" fontId="27" fillId="22" borderId="98" xfId="0" applyFont="1" applyFill="1" applyBorder="1" applyAlignment="1">
      <alignment horizontal="center" vertical="center"/>
    </xf>
    <xf numFmtId="0" fontId="14" fillId="22" borderId="80" xfId="0" applyFont="1" applyFill="1" applyBorder="1" applyAlignment="1">
      <alignment vertical="center" wrapText="1"/>
    </xf>
    <xf numFmtId="0" fontId="15" fillId="22" borderId="137" xfId="0" applyFont="1" applyFill="1" applyBorder="1" applyAlignment="1">
      <alignment vertical="center" wrapText="1"/>
    </xf>
    <xf numFmtId="169" fontId="27" fillId="22" borderId="86" xfId="2" applyNumberFormat="1" applyFont="1" applyFill="1" applyBorder="1" applyAlignment="1">
      <alignment horizontal="center" vertical="center" wrapText="1"/>
    </xf>
    <xf numFmtId="169" fontId="27" fillId="22" borderId="89" xfId="2" applyNumberFormat="1" applyFont="1" applyFill="1" applyBorder="1" applyAlignment="1">
      <alignment horizontal="center" vertical="center" wrapText="1"/>
    </xf>
    <xf numFmtId="0" fontId="27" fillId="22" borderId="102" xfId="0" applyFont="1" applyFill="1" applyBorder="1" applyAlignment="1">
      <alignment vertical="center" wrapText="1"/>
    </xf>
    <xf numFmtId="170" fontId="27" fillId="22" borderId="135" xfId="0" applyNumberFormat="1" applyFont="1" applyFill="1" applyBorder="1" applyAlignment="1">
      <alignment horizontal="center" vertical="center" wrapText="1"/>
    </xf>
    <xf numFmtId="170" fontId="27" fillId="22" borderId="101" xfId="0" applyNumberFormat="1" applyFont="1" applyFill="1" applyBorder="1" applyAlignment="1">
      <alignment horizontal="center" vertical="center" wrapText="1"/>
    </xf>
    <xf numFmtId="0" fontId="27" fillId="22" borderId="92" xfId="0" applyFont="1" applyFill="1" applyBorder="1" applyAlignment="1">
      <alignment horizontal="center" vertical="center" wrapText="1"/>
    </xf>
    <xf numFmtId="0" fontId="31" fillId="0" borderId="0" xfId="0" applyFont="1" applyAlignment="1">
      <alignment vertical="center" wrapText="1"/>
    </xf>
    <xf numFmtId="0" fontId="69" fillId="0" borderId="0" xfId="0" applyFont="1" applyAlignment="1">
      <alignment vertical="center"/>
    </xf>
    <xf numFmtId="0" fontId="102" fillId="25" borderId="0" xfId="0" applyFont="1" applyFill="1" applyBorder="1" applyAlignment="1">
      <alignment horizontal="center" vertical="center"/>
    </xf>
    <xf numFmtId="0" fontId="17" fillId="22" borderId="0" xfId="0" applyFont="1" applyFill="1" applyBorder="1" applyAlignment="1">
      <alignment horizontal="left" vertical="center" wrapText="1"/>
    </xf>
    <xf numFmtId="0" fontId="5" fillId="0" borderId="0" xfId="0" applyFont="1" applyBorder="1" applyAlignment="1">
      <alignment vertical="center" wrapText="1"/>
    </xf>
    <xf numFmtId="0" fontId="17" fillId="0" borderId="0" xfId="0" applyFont="1" applyBorder="1" applyAlignment="1">
      <alignment horizontal="left" vertical="center" wrapText="1"/>
    </xf>
    <xf numFmtId="0" fontId="27" fillId="22" borderId="0" xfId="0" applyFont="1" applyFill="1" applyBorder="1" applyAlignment="1">
      <alignment vertical="center" wrapText="1"/>
    </xf>
    <xf numFmtId="0" fontId="4" fillId="0" borderId="0" xfId="0" applyFont="1" applyBorder="1" applyAlignment="1">
      <alignment horizontal="left" vertical="center" wrapText="1"/>
    </xf>
    <xf numFmtId="0" fontId="27" fillId="22" borderId="0" xfId="0" applyFont="1" applyFill="1" applyBorder="1" applyAlignment="1">
      <alignment vertical="center"/>
    </xf>
    <xf numFmtId="0" fontId="4" fillId="0" borderId="0" xfId="0" applyFont="1" applyBorder="1" applyAlignment="1">
      <alignment wrapText="1"/>
    </xf>
    <xf numFmtId="0" fontId="4" fillId="0" borderId="0" xfId="0" applyFont="1" applyAlignment="1">
      <alignment wrapText="1"/>
    </xf>
    <xf numFmtId="0" fontId="8" fillId="0" borderId="0" xfId="0" applyFont="1" applyAlignment="1">
      <alignment horizontal="left"/>
    </xf>
    <xf numFmtId="0" fontId="69" fillId="0" borderId="0" xfId="0" applyFont="1" applyAlignment="1">
      <alignment horizontal="left" vertical="top"/>
    </xf>
    <xf numFmtId="0" fontId="4" fillId="0" borderId="0" xfId="0" applyFont="1" applyAlignment="1">
      <alignment horizontal="center"/>
    </xf>
    <xf numFmtId="0" fontId="70" fillId="14" borderId="74" xfId="0" applyFont="1" applyFill="1" applyBorder="1" applyAlignment="1">
      <alignment horizontal="right" vertical="center" wrapText="1"/>
    </xf>
    <xf numFmtId="0" fontId="7" fillId="0" borderId="0" xfId="0" applyFont="1" applyAlignment="1">
      <alignment horizontal="left" vertical="center"/>
    </xf>
    <xf numFmtId="166" fontId="4" fillId="0" borderId="74" xfId="0" applyNumberFormat="1" applyFont="1" applyBorder="1" applyAlignment="1">
      <alignment horizontal="center" vertical="center" wrapText="1"/>
    </xf>
    <xf numFmtId="0" fontId="69" fillId="0" borderId="0" xfId="0" applyFont="1" applyAlignment="1">
      <alignment horizontal="left" vertical="top"/>
    </xf>
    <xf numFmtId="0" fontId="15" fillId="22" borderId="87" xfId="0" applyFont="1" applyFill="1" applyBorder="1" applyAlignment="1">
      <alignment horizontal="center" vertical="center" wrapText="1"/>
    </xf>
    <xf numFmtId="0" fontId="4" fillId="5" borderId="74" xfId="0" applyFont="1" applyFill="1" applyBorder="1" applyAlignment="1">
      <alignment horizontal="left" vertical="center"/>
    </xf>
    <xf numFmtId="0" fontId="4" fillId="5" borderId="74" xfId="0" applyFont="1" applyFill="1" applyBorder="1" applyAlignment="1">
      <alignment horizontal="center" vertical="center"/>
    </xf>
    <xf numFmtId="0" fontId="4" fillId="0" borderId="0" xfId="0" applyFont="1" applyAlignment="1">
      <alignment horizontal="center"/>
    </xf>
    <xf numFmtId="0" fontId="6" fillId="14" borderId="74" xfId="0" applyFont="1" applyFill="1" applyBorder="1" applyAlignment="1">
      <alignment horizontal="center" vertical="center" wrapText="1"/>
    </xf>
    <xf numFmtId="166" fontId="6" fillId="14" borderId="74" xfId="0" applyNumberFormat="1" applyFont="1" applyFill="1" applyBorder="1" applyAlignment="1">
      <alignment horizontal="center" vertical="center" wrapText="1"/>
    </xf>
    <xf numFmtId="0" fontId="73" fillId="0" borderId="0" xfId="0" applyFont="1" applyAlignment="1">
      <alignment horizontal="center" vertical="center"/>
    </xf>
    <xf numFmtId="0" fontId="8" fillId="0" borderId="0" xfId="0" applyFont="1" applyAlignment="1">
      <alignment horizontal="left"/>
    </xf>
    <xf numFmtId="0" fontId="69" fillId="0" borderId="0" xfId="0" applyFont="1" applyAlignment="1">
      <alignment vertical="center"/>
    </xf>
    <xf numFmtId="0" fontId="4" fillId="0" borderId="0" xfId="0" applyFont="1" applyAlignment="1">
      <alignment wrapText="1"/>
    </xf>
    <xf numFmtId="0" fontId="8" fillId="0" borderId="0" xfId="0" applyFont="1" applyAlignment="1">
      <alignment horizontal="left"/>
    </xf>
    <xf numFmtId="0" fontId="42" fillId="3" borderId="74" xfId="0" applyFont="1" applyFill="1" applyBorder="1" applyAlignment="1">
      <alignment horizontal="center" vertical="center" wrapText="1"/>
    </xf>
    <xf numFmtId="0" fontId="42" fillId="6" borderId="74" xfId="0" applyFont="1" applyFill="1" applyBorder="1" applyAlignment="1">
      <alignment horizontal="center" vertical="center" wrapText="1"/>
    </xf>
    <xf numFmtId="0" fontId="0" fillId="5" borderId="37" xfId="0" applyFill="1" applyBorder="1"/>
    <xf numFmtId="9" fontId="0" fillId="0" borderId="37" xfId="2" applyFont="1" applyBorder="1"/>
    <xf numFmtId="169" fontId="0" fillId="0" borderId="37" xfId="0" applyNumberFormat="1" applyBorder="1"/>
    <xf numFmtId="166" fontId="0" fillId="0" borderId="37" xfId="1" applyFont="1" applyBorder="1"/>
    <xf numFmtId="166" fontId="0" fillId="0" borderId="37" xfId="0" applyNumberFormat="1" applyBorder="1"/>
    <xf numFmtId="169" fontId="0" fillId="0" borderId="37" xfId="2" applyNumberFormat="1" applyFont="1" applyBorder="1" applyAlignment="1">
      <alignment wrapText="1"/>
    </xf>
    <xf numFmtId="169" fontId="0" fillId="0" borderId="37" xfId="2" applyNumberFormat="1" applyFont="1" applyBorder="1"/>
    <xf numFmtId="0" fontId="0" fillId="0" borderId="0" xfId="1" applyNumberFormat="1" applyFont="1"/>
    <xf numFmtId="169" fontId="0" fillId="0" borderId="0" xfId="2" applyNumberFormat="1" applyFont="1"/>
    <xf numFmtId="169" fontId="0" fillId="0" borderId="0" xfId="0" applyNumberFormat="1"/>
    <xf numFmtId="0" fontId="75" fillId="0" borderId="0" xfId="0" applyFont="1" applyFill="1" applyBorder="1" applyAlignment="1">
      <alignment vertical="center"/>
    </xf>
    <xf numFmtId="0" fontId="0" fillId="0" borderId="0" xfId="0" applyFill="1" applyBorder="1"/>
    <xf numFmtId="182" fontId="4" fillId="0" borderId="37" xfId="0" applyNumberFormat="1" applyFont="1" applyBorder="1" applyAlignment="1">
      <alignment vertical="center" wrapText="1"/>
    </xf>
    <xf numFmtId="182" fontId="4" fillId="0" borderId="0" xfId="0" applyNumberFormat="1" applyFont="1" applyFill="1" applyBorder="1" applyAlignment="1">
      <alignment vertical="center" wrapText="1"/>
    </xf>
    <xf numFmtId="185" fontId="0" fillId="0" borderId="0" xfId="1" applyNumberFormat="1" applyFont="1" applyFill="1" applyBorder="1"/>
    <xf numFmtId="166" fontId="0" fillId="34" borderId="58" xfId="1" applyFont="1" applyFill="1" applyBorder="1"/>
    <xf numFmtId="166" fontId="0" fillId="34" borderId="59" xfId="1" applyFont="1" applyFill="1" applyBorder="1"/>
    <xf numFmtId="44" fontId="0" fillId="0" borderId="60" xfId="0" applyNumberFormat="1" applyBorder="1"/>
    <xf numFmtId="44" fontId="0" fillId="0" borderId="144" xfId="0" applyNumberFormat="1" applyBorder="1"/>
    <xf numFmtId="0" fontId="0" fillId="0" borderId="145" xfId="0" applyBorder="1"/>
    <xf numFmtId="166" fontId="0" fillId="0" borderId="144" xfId="1" applyFont="1" applyFill="1" applyBorder="1"/>
    <xf numFmtId="0" fontId="120" fillId="0" borderId="0" xfId="0" applyFont="1"/>
    <xf numFmtId="0" fontId="0" fillId="27" borderId="0" xfId="0" applyFill="1"/>
    <xf numFmtId="10" fontId="0" fillId="27" borderId="0" xfId="2" applyNumberFormat="1" applyFont="1" applyFill="1"/>
    <xf numFmtId="169" fontId="81" fillId="0" borderId="0" xfId="0" applyNumberFormat="1" applyFont="1"/>
    <xf numFmtId="0" fontId="122" fillId="5" borderId="0" xfId="0" applyFont="1" applyFill="1"/>
    <xf numFmtId="0" fontId="6" fillId="14" borderId="74" xfId="0" applyFont="1" applyFill="1" applyBorder="1" applyAlignment="1">
      <alignment horizontal="left" vertical="center" wrapText="1"/>
    </xf>
    <xf numFmtId="0" fontId="0" fillId="0" borderId="37" xfId="0" applyNumberFormat="1" applyBorder="1"/>
    <xf numFmtId="0" fontId="8" fillId="0" borderId="0" xfId="0" applyFont="1" applyAlignment="1">
      <alignment horizontal="left"/>
    </xf>
    <xf numFmtId="0" fontId="27" fillId="16" borderId="0" xfId="0" applyFont="1" applyFill="1" applyAlignment="1">
      <alignment horizontal="left" vertical="center"/>
    </xf>
    <xf numFmtId="44" fontId="51" fillId="0" borderId="25" xfId="9" applyFont="1" applyBorder="1" applyAlignment="1">
      <alignment horizontal="center" vertical="center"/>
    </xf>
    <xf numFmtId="44" fontId="51" fillId="0" borderId="30" xfId="9" applyFont="1" applyBorder="1" applyAlignment="1">
      <alignment horizontal="center" vertical="center"/>
    </xf>
    <xf numFmtId="44" fontId="51" fillId="0" borderId="0" xfId="9" applyFont="1" applyAlignment="1">
      <alignment horizontal="center" vertical="center"/>
    </xf>
    <xf numFmtId="44" fontId="51" fillId="0" borderId="31" xfId="9" applyFont="1" applyBorder="1" applyAlignment="1">
      <alignment horizontal="center" vertical="center"/>
    </xf>
    <xf numFmtId="44" fontId="51" fillId="0" borderId="32" xfId="9" applyFont="1" applyBorder="1" applyAlignment="1">
      <alignment horizontal="center" vertical="center"/>
    </xf>
    <xf numFmtId="0" fontId="50" fillId="0" borderId="0" xfId="10" applyFont="1" applyAlignment="1">
      <alignment horizontal="center"/>
    </xf>
    <xf numFmtId="0" fontId="51" fillId="0" borderId="0" xfId="10" applyFont="1"/>
    <xf numFmtId="0" fontId="51" fillId="8" borderId="25" xfId="10" applyFont="1" applyFill="1" applyBorder="1" applyAlignment="1">
      <alignment horizontal="center"/>
    </xf>
    <xf numFmtId="0" fontId="51" fillId="8" borderId="26" xfId="10" applyFont="1" applyFill="1" applyBorder="1" applyAlignment="1">
      <alignment horizontal="center"/>
    </xf>
    <xf numFmtId="0" fontId="51" fillId="8" borderId="30" xfId="10" applyFont="1" applyFill="1" applyBorder="1" applyAlignment="1">
      <alignment horizontal="center"/>
    </xf>
    <xf numFmtId="0" fontId="51" fillId="0" borderId="0" xfId="10" applyFont="1" applyAlignment="1">
      <alignment horizontal="center"/>
    </xf>
    <xf numFmtId="0" fontId="57" fillId="0" borderId="0" xfId="10" applyFont="1" applyAlignment="1">
      <alignment horizontal="center"/>
    </xf>
    <xf numFmtId="0" fontId="9" fillId="0" borderId="61" xfId="6" applyBorder="1" applyAlignment="1">
      <alignment horizontal="center" vertical="center"/>
    </xf>
    <xf numFmtId="0" fontId="9" fillId="0" borderId="44" xfId="6" applyBorder="1" applyAlignment="1">
      <alignment horizontal="center" vertical="center"/>
    </xf>
    <xf numFmtId="0" fontId="9" fillId="0" borderId="62" xfId="6" applyBorder="1" applyAlignment="1">
      <alignment horizontal="center" vertical="center"/>
    </xf>
    <xf numFmtId="0" fontId="9" fillId="0" borderId="38" xfId="6" applyBorder="1" applyAlignment="1">
      <alignment horizontal="center" vertical="center"/>
    </xf>
    <xf numFmtId="0" fontId="9" fillId="0" borderId="0" xfId="6" applyBorder="1" applyAlignment="1">
      <alignment horizontal="center" vertical="center"/>
    </xf>
    <xf numFmtId="0" fontId="9" fillId="0" borderId="41" xfId="6" applyBorder="1" applyAlignment="1">
      <alignment horizontal="center" vertical="center"/>
    </xf>
    <xf numFmtId="0" fontId="9" fillId="0" borderId="39" xfId="6" applyBorder="1" applyAlignment="1">
      <alignment horizontal="center" vertical="center"/>
    </xf>
    <xf numFmtId="0" fontId="9" fillId="0" borderId="40" xfId="6" applyBorder="1" applyAlignment="1">
      <alignment horizontal="center" vertical="center"/>
    </xf>
    <xf numFmtId="0" fontId="9" fillId="0" borderId="42" xfId="6" applyBorder="1" applyAlignment="1">
      <alignment horizontal="center" vertical="center"/>
    </xf>
    <xf numFmtId="49" fontId="46" fillId="0" borderId="0" xfId="0" applyNumberFormat="1" applyFont="1" applyAlignment="1">
      <alignment horizontal="left"/>
    </xf>
    <xf numFmtId="0" fontId="45" fillId="0" borderId="0" xfId="0" applyFont="1" applyAlignment="1">
      <alignment horizontal="left" wrapText="1"/>
    </xf>
    <xf numFmtId="0" fontId="8" fillId="0" borderId="0" xfId="0" applyFont="1" applyAlignment="1">
      <alignment horizontal="left"/>
    </xf>
    <xf numFmtId="0" fontId="4" fillId="0" borderId="0" xfId="0" applyFont="1" applyAlignment="1">
      <alignment horizontal="left"/>
    </xf>
    <xf numFmtId="0" fontId="69"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justify" vertical="top" wrapText="1"/>
    </xf>
    <xf numFmtId="0" fontId="5" fillId="0" borderId="0" xfId="0" applyFont="1" applyAlignment="1">
      <alignment horizontal="justify" vertical="top" wrapText="1"/>
    </xf>
    <xf numFmtId="0" fontId="11" fillId="0" borderId="0" xfId="0" applyFont="1" applyAlignment="1">
      <alignment horizontal="justify" vertical="top" wrapText="1"/>
    </xf>
    <xf numFmtId="0" fontId="4" fillId="0" borderId="0" xfId="0" applyFont="1" applyAlignment="1">
      <alignment horizontal="justify" vertical="top" wrapText="1"/>
    </xf>
    <xf numFmtId="0" fontId="8" fillId="0" borderId="0" xfId="0" applyFont="1" applyAlignment="1">
      <alignment horizontal="left" vertical="top" wrapText="1"/>
    </xf>
    <xf numFmtId="0" fontId="18" fillId="0" borderId="0" xfId="0" applyFont="1" applyAlignment="1">
      <alignment horizontal="left" vertical="top" wrapText="1"/>
    </xf>
    <xf numFmtId="0" fontId="31" fillId="0" borderId="0" xfId="0" applyFont="1" applyAlignment="1">
      <alignment horizontal="left" vertical="top" wrapText="1"/>
    </xf>
    <xf numFmtId="0" fontId="77" fillId="0" borderId="0" xfId="0" applyFont="1" applyAlignment="1">
      <alignment horizontal="left" vertical="center" wrapText="1"/>
    </xf>
    <xf numFmtId="0" fontId="31" fillId="0" borderId="0" xfId="0" applyFont="1" applyAlignment="1">
      <alignment horizontal="left" vertical="center" wrapText="1"/>
    </xf>
    <xf numFmtId="0" fontId="8" fillId="27" borderId="0" xfId="0" applyFont="1" applyFill="1" applyAlignment="1">
      <alignment horizontal="left" vertical="top" wrapText="1"/>
    </xf>
    <xf numFmtId="0" fontId="14" fillId="32" borderId="88" xfId="0" applyFont="1" applyFill="1" applyBorder="1" applyAlignment="1">
      <alignment horizontal="center" vertical="center" wrapText="1"/>
    </xf>
    <xf numFmtId="0" fontId="14" fillId="25" borderId="88" xfId="0" applyFont="1" applyFill="1" applyBorder="1" applyAlignment="1">
      <alignment horizontal="center" vertical="center" wrapText="1"/>
    </xf>
    <xf numFmtId="0" fontId="14" fillId="32" borderId="129" xfId="0" applyFont="1" applyFill="1" applyBorder="1" applyAlignment="1">
      <alignment horizontal="center" vertical="center" wrapText="1"/>
    </xf>
    <xf numFmtId="0" fontId="14" fillId="25" borderId="129" xfId="0" applyFont="1" applyFill="1" applyBorder="1" applyAlignment="1">
      <alignment horizontal="center" vertical="center" wrapText="1"/>
    </xf>
    <xf numFmtId="0" fontId="14" fillId="25" borderId="95" xfId="0" applyFont="1" applyFill="1" applyBorder="1" applyAlignment="1">
      <alignment horizontal="center" vertical="center" wrapText="1"/>
    </xf>
    <xf numFmtId="0" fontId="8" fillId="0" borderId="0" xfId="0" applyFont="1" applyAlignment="1">
      <alignment horizontal="left" vertical="center" wrapText="1"/>
    </xf>
    <xf numFmtId="0" fontId="116" fillId="0" borderId="0" xfId="0" applyFont="1" applyAlignment="1">
      <alignment horizontal="left" vertical="center" wrapText="1"/>
    </xf>
    <xf numFmtId="0" fontId="69" fillId="0" borderId="0" xfId="0" applyFont="1" applyAlignment="1">
      <alignment horizontal="left"/>
    </xf>
    <xf numFmtId="0" fontId="0" fillId="0" borderId="0" xfId="0" applyFont="1" applyBorder="1" applyAlignment="1">
      <alignment horizontal="left" vertical="center" wrapText="1"/>
    </xf>
    <xf numFmtId="0" fontId="18" fillId="0" borderId="0" xfId="0" applyFont="1" applyAlignment="1">
      <alignment horizontal="center" vertical="center"/>
    </xf>
    <xf numFmtId="0" fontId="8" fillId="0" borderId="0" xfId="0" applyFont="1" applyAlignment="1">
      <alignment horizontal="left" vertical="center"/>
    </xf>
    <xf numFmtId="0" fontId="18" fillId="0" borderId="0" xfId="0" applyFont="1" applyAlignment="1">
      <alignment horizontal="left" vertical="center"/>
    </xf>
    <xf numFmtId="0" fontId="4" fillId="5" borderId="74" xfId="0" applyFont="1" applyFill="1" applyBorder="1" applyAlignment="1">
      <alignment horizontal="left" vertical="center" wrapText="1"/>
    </xf>
    <xf numFmtId="166" fontId="4" fillId="0" borderId="74" xfId="0" applyNumberFormat="1" applyFont="1" applyBorder="1" applyAlignment="1">
      <alignment horizontal="center" vertical="center" wrapText="1"/>
    </xf>
    <xf numFmtId="0" fontId="95" fillId="0" borderId="0" xfId="0" applyFont="1" applyAlignment="1">
      <alignment horizontal="left" vertical="center" wrapText="1"/>
    </xf>
    <xf numFmtId="0" fontId="38" fillId="0" borderId="0" xfId="0" applyFont="1" applyAlignment="1">
      <alignment horizontal="left" vertical="center" wrapText="1"/>
    </xf>
    <xf numFmtId="0" fontId="69" fillId="0" borderId="0" xfId="0" applyFont="1" applyAlignment="1">
      <alignment horizontal="left" vertical="top"/>
    </xf>
    <xf numFmtId="0" fontId="14" fillId="22" borderId="74" xfId="0" applyFont="1" applyFill="1" applyBorder="1" applyAlignment="1">
      <alignment horizontal="left" vertical="center" wrapText="1"/>
    </xf>
    <xf numFmtId="0" fontId="14" fillId="22" borderId="78" xfId="0" applyFont="1" applyFill="1" applyBorder="1" applyAlignment="1">
      <alignment horizontal="left" vertical="center" wrapText="1"/>
    </xf>
    <xf numFmtId="0" fontId="6" fillId="5" borderId="74" xfId="0" applyFont="1" applyFill="1" applyBorder="1" applyAlignment="1">
      <alignment horizontal="left" vertical="center" wrapText="1"/>
    </xf>
    <xf numFmtId="0" fontId="6" fillId="14" borderId="74" xfId="0" applyFont="1" applyFill="1" applyBorder="1" applyAlignment="1">
      <alignment horizontal="left" vertical="center" wrapText="1"/>
    </xf>
    <xf numFmtId="0" fontId="14" fillId="22" borderId="93" xfId="0" applyFont="1" applyFill="1" applyBorder="1" applyAlignment="1">
      <alignment horizontal="left" vertical="center" wrapText="1"/>
    </xf>
    <xf numFmtId="0" fontId="14" fillId="22" borderId="94" xfId="0" applyFont="1" applyFill="1" applyBorder="1" applyAlignment="1">
      <alignment horizontal="left" vertical="center" wrapText="1"/>
    </xf>
    <xf numFmtId="0" fontId="14" fillId="22" borderId="80" xfId="0" applyFont="1" applyFill="1" applyBorder="1" applyAlignment="1">
      <alignment horizontal="left" vertical="center" wrapText="1"/>
    </xf>
    <xf numFmtId="0" fontId="14" fillId="22" borderId="81" xfId="0" applyFont="1" applyFill="1" applyBorder="1" applyAlignment="1">
      <alignment horizontal="left" vertical="center" wrapText="1"/>
    </xf>
    <xf numFmtId="0" fontId="15" fillId="22" borderId="87" xfId="0" applyFont="1" applyFill="1" applyBorder="1" applyAlignment="1">
      <alignment horizontal="center" vertical="center" wrapText="1"/>
    </xf>
    <xf numFmtId="0" fontId="4" fillId="14" borderId="74" xfId="0" applyFont="1" applyFill="1" applyBorder="1" applyAlignment="1">
      <alignment horizontal="center" vertical="center" wrapText="1"/>
    </xf>
    <xf numFmtId="0" fontId="15" fillId="22" borderId="85" xfId="0" applyFont="1" applyFill="1" applyBorder="1" applyAlignment="1">
      <alignment horizontal="center" vertical="center" wrapText="1"/>
    </xf>
    <xf numFmtId="0" fontId="14" fillId="22" borderId="146" xfId="0" applyFont="1" applyFill="1" applyBorder="1" applyAlignment="1">
      <alignment horizontal="center" vertical="center" wrapText="1"/>
    </xf>
    <xf numFmtId="0" fontId="14" fillId="22" borderId="74" xfId="0" applyFont="1" applyFill="1" applyBorder="1" applyAlignment="1">
      <alignment horizontal="center" vertical="center" wrapText="1"/>
    </xf>
    <xf numFmtId="0" fontId="14" fillId="22" borderId="91" xfId="0" applyFont="1" applyFill="1" applyBorder="1" applyAlignment="1">
      <alignment horizontal="center" vertical="center" wrapText="1"/>
    </xf>
    <xf numFmtId="0" fontId="14" fillId="22" borderId="85" xfId="0" applyFont="1" applyFill="1" applyBorder="1" applyAlignment="1">
      <alignment horizontal="center" vertical="center" wrapText="1"/>
    </xf>
    <xf numFmtId="0" fontId="67" fillId="0" borderId="83" xfId="0" applyFont="1" applyBorder="1" applyAlignment="1">
      <alignment horizontal="center" vertical="top" wrapText="1"/>
    </xf>
    <xf numFmtId="0" fontId="5" fillId="0" borderId="0" xfId="0" applyFont="1" applyAlignment="1">
      <alignment horizontal="center" vertical="top" wrapText="1"/>
    </xf>
    <xf numFmtId="0" fontId="81" fillId="0" borderId="0" xfId="0" applyFont="1" applyAlignment="1">
      <alignment horizontal="center"/>
    </xf>
    <xf numFmtId="0" fontId="0" fillId="0" borderId="37" xfId="0" applyBorder="1" applyAlignment="1">
      <alignment horizontal="center"/>
    </xf>
    <xf numFmtId="0" fontId="120" fillId="0" borderId="63" xfId="0" applyFont="1" applyBorder="1" applyAlignment="1">
      <alignment horizontal="center" wrapText="1"/>
    </xf>
    <xf numFmtId="0" fontId="120" fillId="0" borderId="64" xfId="0" applyFont="1" applyBorder="1" applyAlignment="1">
      <alignment horizontal="center" wrapText="1"/>
    </xf>
    <xf numFmtId="0" fontId="120" fillId="0" borderId="51" xfId="0" applyFont="1" applyBorder="1" applyAlignment="1">
      <alignment horizontal="center" wrapText="1"/>
    </xf>
    <xf numFmtId="0" fontId="120" fillId="0" borderId="65" xfId="0" applyFont="1" applyBorder="1" applyAlignment="1">
      <alignment horizontal="center" wrapText="1"/>
    </xf>
    <xf numFmtId="0" fontId="120" fillId="0" borderId="53" xfId="0" applyFont="1" applyBorder="1" applyAlignment="1">
      <alignment horizontal="center" wrapText="1"/>
    </xf>
    <xf numFmtId="0" fontId="120" fillId="0" borderId="69" xfId="0" applyFont="1" applyBorder="1" applyAlignment="1">
      <alignment horizontal="center" wrapText="1"/>
    </xf>
    <xf numFmtId="0" fontId="0" fillId="0" borderId="37" xfId="0" applyBorder="1" applyAlignment="1">
      <alignment horizontal="center" wrapText="1"/>
    </xf>
    <xf numFmtId="0" fontId="0" fillId="27" borderId="0" xfId="0" applyFill="1" applyAlignment="1">
      <alignment horizontal="center"/>
    </xf>
    <xf numFmtId="0" fontId="21" fillId="0" borderId="0" xfId="0" applyFont="1" applyAlignment="1">
      <alignment horizontal="justify" vertical="top" wrapText="1"/>
    </xf>
    <xf numFmtId="0" fontId="21" fillId="0" borderId="0" xfId="0" applyFont="1" applyAlignment="1">
      <alignment horizontal="justify" vertical="center" wrapText="1"/>
    </xf>
    <xf numFmtId="0" fontId="18" fillId="0" borderId="0" xfId="0" applyFont="1" applyAlignment="1">
      <alignment horizontal="justify" vertical="top" wrapText="1"/>
    </xf>
    <xf numFmtId="0" fontId="31" fillId="0" borderId="0" xfId="0" applyFont="1" applyAlignment="1">
      <alignment horizontal="justify" vertical="top" wrapText="1"/>
    </xf>
    <xf numFmtId="0" fontId="27" fillId="22" borderId="138" xfId="0" applyFont="1" applyFill="1" applyBorder="1" applyAlignment="1">
      <alignment horizontal="left" vertical="center"/>
    </xf>
    <xf numFmtId="0" fontId="27" fillId="22" borderId="137" xfId="0" applyFont="1" applyFill="1" applyBorder="1" applyAlignment="1">
      <alignment horizontal="left" vertical="center"/>
    </xf>
    <xf numFmtId="0" fontId="27" fillId="22" borderId="85" xfId="0" applyFont="1" applyFill="1" applyBorder="1" applyAlignment="1">
      <alignment horizontal="center" vertical="center"/>
    </xf>
    <xf numFmtId="0" fontId="27" fillId="22" borderId="78" xfId="0" applyFont="1" applyFill="1" applyBorder="1" applyAlignment="1">
      <alignment horizontal="center" vertical="center"/>
    </xf>
    <xf numFmtId="0" fontId="48" fillId="3" borderId="74" xfId="0" applyFont="1" applyFill="1" applyBorder="1" applyAlignment="1">
      <alignment horizontal="left"/>
    </xf>
    <xf numFmtId="0" fontId="48" fillId="0" borderId="74" xfId="0" applyFont="1" applyBorder="1" applyAlignment="1">
      <alignment horizontal="center"/>
    </xf>
    <xf numFmtId="180" fontId="48" fillId="0" borderId="74" xfId="0" applyNumberFormat="1" applyFont="1" applyBorder="1" applyAlignment="1">
      <alignment horizontal="center"/>
    </xf>
    <xf numFmtId="0" fontId="27" fillId="22" borderId="85" xfId="0" applyFont="1" applyFill="1" applyBorder="1" applyAlignment="1">
      <alignment horizontal="center" vertical="center" wrapText="1"/>
    </xf>
    <xf numFmtId="0" fontId="27" fillId="22" borderId="74" xfId="0" applyFont="1" applyFill="1" applyBorder="1" applyAlignment="1">
      <alignment horizontal="center" vertical="center" wrapText="1"/>
    </xf>
    <xf numFmtId="176" fontId="4" fillId="5" borderId="74" xfId="0" applyNumberFormat="1" applyFont="1" applyFill="1" applyBorder="1" applyAlignment="1">
      <alignment horizontal="center" vertical="center"/>
    </xf>
    <xf numFmtId="176" fontId="48" fillId="0" borderId="74" xfId="0" applyNumberFormat="1" applyFont="1" applyBorder="1" applyAlignment="1">
      <alignment horizontal="center"/>
    </xf>
    <xf numFmtId="0" fontId="115" fillId="0" borderId="0" xfId="0" applyFont="1" applyAlignment="1">
      <alignment horizontal="left" vertical="center"/>
    </xf>
    <xf numFmtId="0" fontId="15" fillId="22" borderId="136" xfId="0" applyFont="1" applyFill="1" applyBorder="1" applyAlignment="1">
      <alignment horizontal="center" vertical="center" wrapText="1"/>
    </xf>
    <xf numFmtId="0" fontId="15" fillId="22" borderId="128" xfId="0" applyFont="1" applyFill="1" applyBorder="1" applyAlignment="1">
      <alignment horizontal="center" vertical="center" wrapText="1"/>
    </xf>
    <xf numFmtId="0" fontId="15" fillId="22" borderId="82" xfId="0" applyFont="1" applyFill="1" applyBorder="1" applyAlignment="1">
      <alignment horizontal="center" vertical="center" wrapText="1"/>
    </xf>
    <xf numFmtId="0" fontId="15" fillId="23" borderId="101" xfId="0" applyFont="1" applyFill="1" applyBorder="1" applyAlignment="1">
      <alignment horizontal="center" vertical="center" wrapText="1"/>
    </xf>
    <xf numFmtId="0" fontId="15" fillId="23" borderId="103" xfId="0" applyFont="1" applyFill="1" applyBorder="1" applyAlignment="1">
      <alignment horizontal="center" vertical="center" wrapText="1"/>
    </xf>
    <xf numFmtId="0" fontId="15" fillId="23" borderId="102" xfId="0" applyFont="1" applyFill="1" applyBorder="1" applyAlignment="1">
      <alignment horizontal="center" vertical="center" wrapText="1"/>
    </xf>
    <xf numFmtId="0" fontId="15" fillId="22" borderId="81" xfId="0" applyFont="1" applyFill="1" applyBorder="1" applyAlignment="1">
      <alignment horizontal="center" vertical="center" wrapText="1"/>
    </xf>
    <xf numFmtId="0" fontId="15" fillId="22" borderId="76" xfId="0" applyFont="1" applyFill="1" applyBorder="1" applyAlignment="1">
      <alignment horizontal="center" vertical="center" wrapText="1"/>
    </xf>
    <xf numFmtId="0" fontId="8" fillId="0" borderId="0" xfId="0" applyFont="1" applyAlignment="1">
      <alignment horizontal="justify" vertical="center" wrapText="1"/>
    </xf>
    <xf numFmtId="169" fontId="4" fillId="5" borderId="74" xfId="0" applyNumberFormat="1" applyFont="1" applyFill="1" applyBorder="1" applyAlignment="1">
      <alignment horizontal="right" vertical="center"/>
    </xf>
    <xf numFmtId="180" fontId="6" fillId="14" borderId="74" xfId="0" applyNumberFormat="1" applyFont="1" applyFill="1" applyBorder="1" applyAlignment="1">
      <alignment horizontal="center"/>
    </xf>
    <xf numFmtId="180" fontId="4" fillId="5" borderId="74" xfId="0" applyNumberFormat="1" applyFont="1" applyFill="1" applyBorder="1" applyAlignment="1">
      <alignment horizontal="center" vertical="center"/>
    </xf>
    <xf numFmtId="44" fontId="4" fillId="14" borderId="74" xfId="0" applyNumberFormat="1" applyFont="1" applyFill="1" applyBorder="1" applyAlignment="1">
      <alignment horizontal="center" vertical="center"/>
    </xf>
    <xf numFmtId="0" fontId="27" fillId="22" borderId="87" xfId="0" applyFont="1" applyFill="1" applyBorder="1" applyAlignment="1">
      <alignment horizontal="center" vertical="center" wrapText="1"/>
    </xf>
    <xf numFmtId="0" fontId="6" fillId="14" borderId="74" xfId="0" applyFont="1" applyFill="1" applyBorder="1" applyAlignment="1">
      <alignment horizontal="right" vertical="center"/>
    </xf>
    <xf numFmtId="0" fontId="4" fillId="5" borderId="74" xfId="0" applyFont="1" applyFill="1" applyBorder="1" applyAlignment="1">
      <alignment horizontal="left" vertical="center"/>
    </xf>
    <xf numFmtId="0" fontId="4" fillId="5" borderId="74" xfId="0" applyFont="1" applyFill="1" applyBorder="1" applyAlignment="1">
      <alignment horizontal="center" vertical="center"/>
    </xf>
    <xf numFmtId="0" fontId="6" fillId="14" borderId="74" xfId="0" applyFont="1" applyFill="1" applyBorder="1" applyAlignment="1">
      <alignment horizontal="right"/>
    </xf>
    <xf numFmtId="0" fontId="6" fillId="5" borderId="74" xfId="0" applyFont="1" applyFill="1" applyBorder="1" applyAlignment="1">
      <alignment horizontal="right"/>
    </xf>
    <xf numFmtId="0" fontId="27" fillId="22" borderId="91" xfId="0" applyFont="1" applyFill="1" applyBorder="1" applyAlignment="1">
      <alignment horizontal="center" vertical="center" wrapText="1"/>
    </xf>
    <xf numFmtId="169" fontId="6" fillId="14" borderId="74" xfId="0" applyNumberFormat="1" applyFont="1" applyFill="1" applyBorder="1" applyAlignment="1">
      <alignment horizontal="center" vertical="center" wrapText="1"/>
    </xf>
    <xf numFmtId="0" fontId="6" fillId="14" borderId="78" xfId="0" applyFont="1" applyFill="1" applyBorder="1" applyAlignment="1">
      <alignment horizontal="right" vertical="center" wrapText="1"/>
    </xf>
    <xf numFmtId="0" fontId="6" fillId="14" borderId="123" xfId="0" applyFont="1" applyFill="1" applyBorder="1" applyAlignment="1">
      <alignment horizontal="right" vertical="center" wrapText="1"/>
    </xf>
    <xf numFmtId="0" fontId="6" fillId="14" borderId="77" xfId="0" applyFont="1" applyFill="1" applyBorder="1" applyAlignment="1">
      <alignment horizontal="right" vertical="center" wrapText="1"/>
    </xf>
    <xf numFmtId="0" fontId="28" fillId="22" borderId="80" xfId="0" applyFont="1" applyFill="1" applyBorder="1" applyAlignment="1">
      <alignment horizontal="left"/>
    </xf>
    <xf numFmtId="0" fontId="27" fillId="32" borderId="101" xfId="0" applyFont="1" applyFill="1" applyBorder="1" applyAlignment="1">
      <alignment horizontal="center" vertical="center" wrapText="1"/>
    </xf>
    <xf numFmtId="0" fontId="27" fillId="32" borderId="103" xfId="0" applyFont="1" applyFill="1" applyBorder="1" applyAlignment="1">
      <alignment horizontal="center" vertical="center" wrapText="1"/>
    </xf>
    <xf numFmtId="0" fontId="27" fillId="32" borderId="102" xfId="0" applyFont="1" applyFill="1" applyBorder="1" applyAlignment="1">
      <alignment horizontal="center" vertical="center" wrapText="1"/>
    </xf>
    <xf numFmtId="0" fontId="18" fillId="0" borderId="0" xfId="11" applyFont="1" applyAlignment="1">
      <alignment horizontal="center"/>
    </xf>
    <xf numFmtId="0" fontId="9" fillId="0" borderId="0" xfId="11" applyFont="1" applyAlignment="1">
      <alignment horizontal="center"/>
    </xf>
    <xf numFmtId="0" fontId="84" fillId="0" borderId="0" xfId="0" applyFont="1" applyAlignment="1">
      <alignment horizontal="right"/>
    </xf>
    <xf numFmtId="0" fontId="15" fillId="22" borderId="77" xfId="0" applyFont="1" applyFill="1" applyBorder="1" applyAlignment="1">
      <alignment horizontal="center" vertical="center" wrapText="1"/>
    </xf>
    <xf numFmtId="169" fontId="6" fillId="0" borderId="80" xfId="0" applyNumberFormat="1" applyFont="1" applyFill="1" applyBorder="1" applyAlignment="1">
      <alignment horizontal="center" vertical="center" wrapText="1"/>
    </xf>
    <xf numFmtId="169" fontId="6" fillId="0" borderId="81" xfId="0" applyNumberFormat="1" applyFont="1" applyFill="1" applyBorder="1" applyAlignment="1">
      <alignment horizontal="center" vertical="center" wrapText="1"/>
    </xf>
    <xf numFmtId="0" fontId="28" fillId="0" borderId="0" xfId="0" applyFont="1" applyAlignment="1">
      <alignment horizontal="left"/>
    </xf>
    <xf numFmtId="0" fontId="27" fillId="0" borderId="0" xfId="0" applyFont="1" applyAlignment="1">
      <alignment horizontal="left"/>
    </xf>
    <xf numFmtId="174" fontId="6" fillId="14" borderId="74" xfId="0" applyNumberFormat="1" applyFont="1" applyFill="1" applyBorder="1" applyAlignment="1">
      <alignment horizontal="center" vertical="center" wrapText="1"/>
    </xf>
    <xf numFmtId="169" fontId="4" fillId="0" borderId="74" xfId="0" applyNumberFormat="1" applyFont="1" applyBorder="1" applyAlignment="1">
      <alignment horizontal="center" vertical="center"/>
    </xf>
    <xf numFmtId="169" fontId="4" fillId="0" borderId="74" xfId="0" applyNumberFormat="1" applyFont="1" applyBorder="1" applyAlignment="1">
      <alignment horizontal="right" vertical="center"/>
    </xf>
    <xf numFmtId="0" fontId="4" fillId="0" borderId="0" xfId="0" applyFont="1" applyAlignment="1">
      <alignment horizontal="left" vertical="center" wrapText="1"/>
    </xf>
    <xf numFmtId="0" fontId="28" fillId="22" borderId="139" xfId="0" applyFont="1" applyFill="1" applyBorder="1" applyAlignment="1">
      <alignment horizontal="left"/>
    </xf>
    <xf numFmtId="0" fontId="28" fillId="22" borderId="140" xfId="0" applyFont="1" applyFill="1" applyBorder="1" applyAlignment="1">
      <alignment horizontal="left"/>
    </xf>
    <xf numFmtId="0" fontId="27" fillId="22" borderId="87" xfId="0" applyFont="1" applyFill="1" applyBorder="1" applyAlignment="1">
      <alignment horizontal="center" vertical="center"/>
    </xf>
    <xf numFmtId="180" fontId="4" fillId="0" borderId="74" xfId="0" applyNumberFormat="1" applyFont="1" applyBorder="1" applyAlignment="1">
      <alignment horizontal="center" vertical="center"/>
    </xf>
    <xf numFmtId="0" fontId="27" fillId="22" borderId="98" xfId="0" applyFont="1" applyFill="1" applyBorder="1" applyAlignment="1">
      <alignment horizontal="left" vertical="center"/>
    </xf>
    <xf numFmtId="0" fontId="27" fillId="22" borderId="91" xfId="0" applyFont="1" applyFill="1" applyBorder="1" applyAlignment="1">
      <alignment horizontal="center" vertical="center"/>
    </xf>
    <xf numFmtId="0" fontId="4" fillId="0" borderId="74" xfId="0" applyFont="1" applyBorder="1" applyAlignment="1">
      <alignment horizontal="center" vertical="center"/>
    </xf>
    <xf numFmtId="176" fontId="4" fillId="0" borderId="74" xfId="0" applyNumberFormat="1" applyFont="1" applyBorder="1" applyAlignment="1">
      <alignment horizontal="center" vertical="center"/>
    </xf>
    <xf numFmtId="0" fontId="15" fillId="23" borderId="135" xfId="0" applyFont="1" applyFill="1" applyBorder="1" applyAlignment="1">
      <alignment horizontal="center" vertical="center" wrapText="1"/>
    </xf>
    <xf numFmtId="0" fontId="27" fillId="32" borderId="135" xfId="0" applyFont="1" applyFill="1" applyBorder="1" applyAlignment="1">
      <alignment horizontal="center" vertical="center" wrapText="1"/>
    </xf>
    <xf numFmtId="0" fontId="15" fillId="22" borderId="141" xfId="0" applyFont="1" applyFill="1" applyBorder="1" applyAlignment="1">
      <alignment horizontal="center" vertical="center" wrapText="1"/>
    </xf>
    <xf numFmtId="0" fontId="15" fillId="22" borderId="142" xfId="0" applyFont="1" applyFill="1" applyBorder="1" applyAlignment="1">
      <alignment horizontal="center" vertical="center" wrapText="1"/>
    </xf>
    <xf numFmtId="0" fontId="15" fillId="22" borderId="143" xfId="0" applyFont="1" applyFill="1" applyBorder="1" applyAlignment="1">
      <alignment horizontal="center" vertical="center" wrapText="1"/>
    </xf>
    <xf numFmtId="0" fontId="15" fillId="22" borderId="96" xfId="0" applyFont="1" applyFill="1" applyBorder="1" applyAlignment="1">
      <alignment horizontal="center" vertical="center" wrapText="1"/>
    </xf>
    <xf numFmtId="0" fontId="15" fillId="22" borderId="90" xfId="0" applyFont="1" applyFill="1" applyBorder="1" applyAlignment="1">
      <alignment horizontal="center" vertical="center" wrapText="1"/>
    </xf>
    <xf numFmtId="0" fontId="48" fillId="0" borderId="0" xfId="0" applyFont="1" applyAlignment="1">
      <alignment horizontal="center"/>
    </xf>
    <xf numFmtId="0" fontId="4" fillId="0" borderId="0" xfId="0" applyFont="1" applyAlignment="1">
      <alignment horizontal="center"/>
    </xf>
    <xf numFmtId="0" fontId="27" fillId="0" borderId="0" xfId="0" applyFont="1" applyAlignment="1">
      <alignment horizontal="left" vertical="center"/>
    </xf>
    <xf numFmtId="0" fontId="6" fillId="14" borderId="74" xfId="0" applyFont="1" applyFill="1" applyBorder="1" applyAlignment="1">
      <alignment horizontal="center" vertical="center" wrapText="1"/>
    </xf>
    <xf numFmtId="10" fontId="6" fillId="14" borderId="74" xfId="0" applyNumberFormat="1" applyFont="1" applyFill="1" applyBorder="1" applyAlignment="1">
      <alignment horizontal="center" vertical="center" wrapText="1"/>
    </xf>
    <xf numFmtId="0" fontId="18" fillId="0" borderId="0" xfId="0" applyFont="1" applyAlignment="1">
      <alignment horizontal="justify" vertical="center" wrapText="1"/>
    </xf>
    <xf numFmtId="44" fontId="4" fillId="14" borderId="77" xfId="0" applyNumberFormat="1" applyFont="1" applyFill="1" applyBorder="1" applyAlignment="1">
      <alignment horizontal="center"/>
    </xf>
    <xf numFmtId="44" fontId="4" fillId="14" borderId="74" xfId="0" applyNumberFormat="1" applyFont="1" applyFill="1" applyBorder="1" applyAlignment="1">
      <alignment horizontal="center"/>
    </xf>
    <xf numFmtId="0" fontId="6" fillId="14" borderId="74" xfId="0" applyFont="1" applyFill="1" applyBorder="1" applyAlignment="1">
      <alignment horizontal="right" vertical="center" wrapText="1"/>
    </xf>
    <xf numFmtId="180" fontId="6" fillId="14" borderId="74" xfId="0" applyNumberFormat="1" applyFont="1" applyFill="1" applyBorder="1" applyAlignment="1">
      <alignment horizontal="center" vertical="center"/>
    </xf>
    <xf numFmtId="169" fontId="4" fillId="0" borderId="77" xfId="0" applyNumberFormat="1" applyFont="1" applyBorder="1" applyAlignment="1">
      <alignment horizontal="right"/>
    </xf>
    <xf numFmtId="169" fontId="4" fillId="0" borderId="74" xfId="0" applyNumberFormat="1" applyFont="1" applyBorder="1" applyAlignment="1">
      <alignment horizontal="right"/>
    </xf>
    <xf numFmtId="0" fontId="27" fillId="22" borderId="78" xfId="0" applyFont="1" applyFill="1" applyBorder="1" applyAlignment="1">
      <alignment horizontal="center" vertical="center" wrapText="1"/>
    </xf>
    <xf numFmtId="0" fontId="27" fillId="22" borderId="74" xfId="0" applyFont="1" applyFill="1" applyBorder="1" applyAlignment="1">
      <alignment horizontal="center" vertical="center"/>
    </xf>
    <xf numFmtId="0" fontId="17" fillId="0" borderId="36" xfId="0" applyFont="1" applyBorder="1" applyAlignment="1">
      <alignment horizontal="center" vertical="center"/>
    </xf>
    <xf numFmtId="0" fontId="17" fillId="0" borderId="35" xfId="0" applyFont="1" applyBorder="1" applyAlignment="1">
      <alignment horizontal="center" vertical="center"/>
    </xf>
    <xf numFmtId="0" fontId="70" fillId="14" borderId="74" xfId="0" applyFont="1" applyFill="1" applyBorder="1" applyAlignment="1">
      <alignment horizontal="right" vertical="center"/>
    </xf>
    <xf numFmtId="0" fontId="28" fillId="22" borderId="80" xfId="0" applyFont="1" applyFill="1" applyBorder="1" applyAlignment="1">
      <alignment horizontal="left" vertical="center"/>
    </xf>
    <xf numFmtId="0" fontId="69" fillId="0" borderId="0" xfId="0" applyFont="1" applyAlignment="1">
      <alignment horizontal="center" vertical="center"/>
    </xf>
    <xf numFmtId="169" fontId="67" fillId="0" borderId="74" xfId="0" applyNumberFormat="1" applyFont="1" applyBorder="1" applyAlignment="1">
      <alignment horizontal="center" vertical="center"/>
    </xf>
    <xf numFmtId="0" fontId="42" fillId="0" borderId="0" xfId="0" applyFont="1" applyAlignment="1">
      <alignment horizontal="left" vertical="center" wrapText="1"/>
    </xf>
    <xf numFmtId="169" fontId="4" fillId="5" borderId="74" xfId="0" applyNumberFormat="1" applyFont="1" applyFill="1" applyBorder="1" applyAlignment="1">
      <alignment horizontal="center" vertical="center"/>
    </xf>
    <xf numFmtId="0" fontId="40" fillId="0" borderId="17" xfId="0" applyFont="1" applyBorder="1" applyAlignment="1">
      <alignment horizontal="left" vertical="center" wrapText="1"/>
    </xf>
    <xf numFmtId="170" fontId="23" fillId="0" borderId="74" xfId="1" applyNumberFormat="1" applyFont="1" applyBorder="1" applyAlignment="1">
      <alignment horizontal="center" vertical="center" wrapText="1"/>
    </xf>
    <xf numFmtId="0" fontId="27" fillId="22" borderId="91" xfId="0" applyFont="1" applyFill="1" applyBorder="1" applyAlignment="1">
      <alignment horizontal="left" vertical="center" wrapText="1"/>
    </xf>
    <xf numFmtId="0" fontId="27" fillId="22" borderId="101" xfId="0" applyFont="1" applyFill="1" applyBorder="1" applyAlignment="1">
      <alignment horizontal="center" vertical="center" wrapText="1"/>
    </xf>
    <xf numFmtId="0" fontId="27" fillId="22" borderId="103" xfId="0" applyFont="1" applyFill="1" applyBorder="1" applyAlignment="1">
      <alignment horizontal="center" vertical="center" wrapText="1"/>
    </xf>
    <xf numFmtId="0" fontId="27" fillId="22" borderId="80" xfId="0" applyFont="1" applyFill="1" applyBorder="1" applyAlignment="1">
      <alignment horizontal="center" vertical="center" wrapText="1"/>
    </xf>
    <xf numFmtId="0" fontId="27" fillId="22" borderId="81" xfId="0" applyFont="1" applyFill="1" applyBorder="1" applyAlignment="1">
      <alignment horizontal="center" vertical="center" wrapText="1"/>
    </xf>
    <xf numFmtId="0" fontId="27" fillId="22" borderId="74" xfId="3" applyFont="1" applyFill="1" applyBorder="1" applyAlignment="1">
      <alignment horizontal="center" vertical="center" wrapText="1"/>
    </xf>
    <xf numFmtId="3" fontId="23" fillId="0" borderId="74" xfId="0" applyNumberFormat="1" applyFont="1" applyBorder="1" applyAlignment="1">
      <alignment horizontal="center" vertical="center" wrapText="1"/>
    </xf>
    <xf numFmtId="0" fontId="18" fillId="0" borderId="0" xfId="0" applyFont="1" applyAlignment="1">
      <alignment horizontal="left" vertical="center" wrapText="1"/>
    </xf>
    <xf numFmtId="0" fontId="15" fillId="22" borderId="74" xfId="0" applyFont="1" applyFill="1" applyBorder="1" applyAlignment="1">
      <alignment horizontal="left" vertical="center" wrapText="1"/>
    </xf>
    <xf numFmtId="0" fontId="15" fillId="22" borderId="74" xfId="0" applyFont="1" applyFill="1" applyBorder="1" applyAlignment="1">
      <alignment horizontal="center" vertical="center" wrapText="1"/>
    </xf>
    <xf numFmtId="168" fontId="70" fillId="0" borderId="74" xfId="1" applyNumberFormat="1" applyFont="1" applyBorder="1" applyAlignment="1">
      <alignment horizontal="center" vertical="center" wrapText="1"/>
    </xf>
    <xf numFmtId="0" fontId="71" fillId="0" borderId="17" xfId="0" applyFont="1" applyBorder="1" applyAlignment="1">
      <alignment horizontal="left" vertical="center" wrapText="1"/>
    </xf>
    <xf numFmtId="3" fontId="70" fillId="0" borderId="74" xfId="0" applyNumberFormat="1" applyFont="1" applyBorder="1" applyAlignment="1">
      <alignment horizontal="center" vertical="center" wrapText="1"/>
    </xf>
    <xf numFmtId="0" fontId="27" fillId="22" borderId="102" xfId="0" applyFont="1" applyFill="1" applyBorder="1" applyAlignment="1">
      <alignment horizontal="center" vertical="center" wrapText="1"/>
    </xf>
    <xf numFmtId="0" fontId="27" fillId="22" borderId="79" xfId="0" applyFont="1" applyFill="1" applyBorder="1" applyAlignment="1">
      <alignment horizontal="center" vertical="center" wrapText="1"/>
    </xf>
    <xf numFmtId="0" fontId="27" fillId="22" borderId="91" xfId="0" applyFont="1" applyFill="1" applyBorder="1" applyAlignment="1">
      <alignment horizontal="right" vertical="center" wrapText="1"/>
    </xf>
    <xf numFmtId="0" fontId="15" fillId="22" borderId="91" xfId="0" applyFont="1" applyFill="1" applyBorder="1" applyAlignment="1">
      <alignment horizontal="right" vertical="center" wrapText="1"/>
    </xf>
    <xf numFmtId="0" fontId="15" fillId="22" borderId="79" xfId="0" applyFont="1" applyFill="1" applyBorder="1" applyAlignment="1">
      <alignment horizontal="center" vertical="center" wrapText="1"/>
    </xf>
    <xf numFmtId="0" fontId="15" fillId="22" borderId="80" xfId="0" applyFont="1" applyFill="1" applyBorder="1" applyAlignment="1">
      <alignment horizontal="center" vertical="center" wrapText="1"/>
    </xf>
    <xf numFmtId="0" fontId="27" fillId="22" borderId="77" xfId="0" applyFont="1" applyFill="1" applyBorder="1" applyAlignment="1">
      <alignment horizontal="center" vertical="center" wrapText="1"/>
    </xf>
    <xf numFmtId="0" fontId="15" fillId="22" borderId="91" xfId="0" applyFont="1" applyFill="1" applyBorder="1" applyAlignment="1">
      <alignment horizontal="left" vertical="center" wrapText="1"/>
    </xf>
    <xf numFmtId="0" fontId="15" fillId="22" borderId="91" xfId="0" applyFont="1" applyFill="1" applyBorder="1" applyAlignment="1">
      <alignment horizontal="left" vertical="center"/>
    </xf>
    <xf numFmtId="0" fontId="15" fillId="22" borderId="101" xfId="0" applyFont="1" applyFill="1" applyBorder="1" applyAlignment="1">
      <alignment horizontal="center" vertical="center" wrapText="1"/>
    </xf>
    <xf numFmtId="0" fontId="15" fillId="22" borderId="103" xfId="0" applyFont="1" applyFill="1" applyBorder="1" applyAlignment="1">
      <alignment horizontal="center" vertical="center" wrapText="1"/>
    </xf>
    <xf numFmtId="0" fontId="14" fillId="22" borderId="103" xfId="0" applyFont="1" applyFill="1" applyBorder="1" applyAlignment="1">
      <alignment horizontal="center" vertical="center" wrapText="1"/>
    </xf>
    <xf numFmtId="0" fontId="28" fillId="22" borderId="103" xfId="0" applyFont="1" applyFill="1" applyBorder="1" applyAlignment="1">
      <alignment horizontal="center" vertical="center" wrapText="1"/>
    </xf>
    <xf numFmtId="0" fontId="70" fillId="14" borderId="74" xfId="0" applyFont="1" applyFill="1" applyBorder="1" applyAlignment="1">
      <alignment horizontal="right" vertical="center" wrapText="1"/>
    </xf>
    <xf numFmtId="0" fontId="67" fillId="14" borderId="74" xfId="0" applyFont="1" applyFill="1" applyBorder="1" applyAlignment="1">
      <alignment horizontal="center" vertical="center"/>
    </xf>
    <xf numFmtId="169" fontId="4" fillId="0" borderId="74" xfId="2" applyNumberFormat="1" applyFont="1" applyBorder="1" applyAlignment="1">
      <alignment horizontal="center" vertical="center"/>
    </xf>
    <xf numFmtId="0" fontId="69" fillId="0" borderId="0" xfId="0" applyFont="1" applyBorder="1" applyAlignment="1">
      <alignment horizontal="left" vertical="top"/>
    </xf>
    <xf numFmtId="0" fontId="15" fillId="22" borderId="78" xfId="0" applyFont="1" applyFill="1" applyBorder="1" applyAlignment="1">
      <alignment horizontal="left" vertical="center" wrapText="1"/>
    </xf>
    <xf numFmtId="0" fontId="31" fillId="0" borderId="0" xfId="0" applyFont="1" applyAlignment="1">
      <alignment horizontal="justify" vertical="center" wrapText="1"/>
    </xf>
    <xf numFmtId="0" fontId="18" fillId="0" borderId="0" xfId="0" applyFont="1" applyBorder="1" applyAlignment="1">
      <alignment vertical="center" wrapText="1"/>
    </xf>
    <xf numFmtId="0" fontId="14" fillId="22" borderId="92" xfId="0" applyFont="1" applyFill="1" applyBorder="1" applyAlignment="1">
      <alignment horizontal="center" vertical="center" wrapText="1"/>
    </xf>
    <xf numFmtId="0" fontId="14" fillId="22" borderId="77" xfId="0" applyFont="1" applyFill="1" applyBorder="1" applyAlignment="1">
      <alignment horizontal="center" vertical="center" wrapText="1"/>
    </xf>
    <xf numFmtId="0" fontId="28" fillId="22" borderId="74" xfId="0" applyFont="1" applyFill="1" applyBorder="1" applyAlignment="1">
      <alignment horizontal="center" vertical="center" wrapText="1"/>
    </xf>
    <xf numFmtId="0" fontId="28" fillId="22" borderId="78" xfId="0" applyFont="1" applyFill="1" applyBorder="1" applyAlignment="1">
      <alignment horizontal="center" vertical="center" wrapText="1"/>
    </xf>
    <xf numFmtId="0" fontId="28" fillId="22" borderId="123" xfId="0" applyFont="1" applyFill="1" applyBorder="1" applyAlignment="1">
      <alignment horizontal="center" vertical="center" wrapText="1"/>
    </xf>
    <xf numFmtId="0" fontId="28" fillId="22" borderId="77" xfId="0" applyFont="1" applyFill="1" applyBorder="1" applyAlignment="1">
      <alignment horizontal="center" vertical="center" wrapText="1"/>
    </xf>
    <xf numFmtId="0" fontId="14" fillId="22" borderId="78" xfId="0" applyFont="1" applyFill="1" applyBorder="1" applyAlignment="1">
      <alignment horizontal="center" vertical="center" wrapText="1"/>
    </xf>
    <xf numFmtId="0" fontId="67" fillId="27" borderId="83" xfId="0" applyFont="1" applyFill="1" applyBorder="1" applyAlignment="1">
      <alignment horizontal="center" vertical="top" wrapText="1"/>
    </xf>
    <xf numFmtId="0" fontId="4" fillId="0" borderId="74" xfId="0" applyFont="1" applyBorder="1" applyAlignment="1">
      <alignment horizontal="center" vertical="center" wrapText="1"/>
    </xf>
    <xf numFmtId="0" fontId="6" fillId="0" borderId="74" xfId="0" applyFont="1" applyBorder="1" applyAlignment="1">
      <alignment horizontal="center" vertical="center" wrapText="1"/>
    </xf>
    <xf numFmtId="0" fontId="16" fillId="0" borderId="74" xfId="0" applyFont="1" applyBorder="1" applyAlignment="1">
      <alignment horizontal="center" vertical="center" wrapText="1"/>
    </xf>
    <xf numFmtId="0" fontId="81" fillId="0" borderId="0" xfId="0" applyFont="1" applyAlignment="1">
      <alignment horizontal="left" vertical="top" wrapText="1"/>
    </xf>
    <xf numFmtId="0" fontId="13" fillId="0" borderId="0" xfId="0" applyFont="1" applyBorder="1" applyAlignment="1">
      <alignment vertical="center" wrapText="1"/>
    </xf>
    <xf numFmtId="0" fontId="15" fillId="22" borderId="131" xfId="0" applyFont="1" applyFill="1" applyBorder="1" applyAlignment="1">
      <alignment horizontal="center" vertical="center" wrapText="1"/>
    </xf>
    <xf numFmtId="0" fontId="15" fillId="22" borderId="133" xfId="0" applyFont="1" applyFill="1" applyBorder="1" applyAlignment="1">
      <alignment horizontal="center" vertical="center" wrapText="1"/>
    </xf>
    <xf numFmtId="0" fontId="27" fillId="22" borderId="131" xfId="0" applyFont="1" applyFill="1" applyBorder="1" applyAlignment="1">
      <alignment horizontal="center" vertical="center" wrapText="1"/>
    </xf>
    <xf numFmtId="0" fontId="27" fillId="22" borderId="133" xfId="0" applyFont="1" applyFill="1" applyBorder="1" applyAlignment="1">
      <alignment horizontal="center" vertical="center" wrapText="1"/>
    </xf>
    <xf numFmtId="9" fontId="70" fillId="14" borderId="78" xfId="2" applyFont="1" applyFill="1" applyBorder="1" applyAlignment="1">
      <alignment horizontal="center" vertical="center" wrapText="1"/>
    </xf>
    <xf numFmtId="9" fontId="70" fillId="14" borderId="77" xfId="2" applyFont="1" applyFill="1" applyBorder="1" applyAlignment="1">
      <alignment horizontal="center" vertical="center" wrapText="1"/>
    </xf>
    <xf numFmtId="0" fontId="70" fillId="14" borderId="78" xfId="1" applyNumberFormat="1" applyFont="1" applyFill="1" applyBorder="1" applyAlignment="1">
      <alignment horizontal="center" vertical="center" wrapText="1"/>
    </xf>
    <xf numFmtId="166" fontId="70" fillId="14" borderId="77" xfId="1" applyFont="1" applyFill="1" applyBorder="1" applyAlignment="1">
      <alignment horizontal="center" vertical="center" wrapText="1"/>
    </xf>
    <xf numFmtId="169" fontId="6" fillId="14" borderId="74" xfId="2" applyNumberFormat="1" applyFont="1" applyFill="1" applyBorder="1" applyAlignment="1">
      <alignment horizontal="right" vertical="center" wrapText="1"/>
    </xf>
    <xf numFmtId="169" fontId="6" fillId="4" borderId="74" xfId="2" applyNumberFormat="1" applyFont="1" applyFill="1" applyBorder="1" applyAlignment="1">
      <alignment horizontal="right" vertical="center" wrapText="1"/>
    </xf>
    <xf numFmtId="0" fontId="6" fillId="4" borderId="74" xfId="0" applyFont="1" applyFill="1" applyBorder="1" applyAlignment="1">
      <alignment horizontal="center" vertical="center" wrapText="1"/>
    </xf>
    <xf numFmtId="166" fontId="6" fillId="4" borderId="74" xfId="0" applyNumberFormat="1" applyFont="1" applyFill="1" applyBorder="1" applyAlignment="1">
      <alignment horizontal="center" vertical="center" wrapText="1"/>
    </xf>
    <xf numFmtId="0" fontId="6" fillId="4" borderId="122" xfId="0" applyFont="1" applyFill="1" applyBorder="1" applyAlignment="1">
      <alignment horizontal="right" vertical="center" wrapText="1"/>
    </xf>
    <xf numFmtId="0" fontId="6" fillId="4" borderId="80" xfId="0" applyFont="1" applyFill="1" applyBorder="1" applyAlignment="1">
      <alignment horizontal="right" vertical="center" wrapText="1"/>
    </xf>
    <xf numFmtId="0" fontId="15" fillId="32" borderId="103" xfId="0" applyFont="1" applyFill="1" applyBorder="1" applyAlignment="1">
      <alignment horizontal="center" vertical="center" wrapText="1"/>
    </xf>
    <xf numFmtId="0" fontId="15" fillId="32" borderId="102" xfId="0" applyFont="1" applyFill="1" applyBorder="1" applyAlignment="1">
      <alignment horizontal="center" vertical="center" wrapText="1"/>
    </xf>
    <xf numFmtId="0" fontId="15" fillId="26" borderId="101" xfId="0" applyFont="1" applyFill="1" applyBorder="1" applyAlignment="1">
      <alignment horizontal="center" vertical="center" wrapText="1"/>
    </xf>
    <xf numFmtId="0" fontId="15" fillId="26" borderId="103" xfId="0" applyFont="1" applyFill="1" applyBorder="1" applyAlignment="1">
      <alignment horizontal="center" vertical="center" wrapText="1"/>
    </xf>
    <xf numFmtId="0" fontId="15" fillId="26" borderId="102" xfId="0" applyFont="1" applyFill="1" applyBorder="1" applyAlignment="1">
      <alignment horizontal="center" vertical="center" wrapText="1"/>
    </xf>
    <xf numFmtId="0" fontId="15" fillId="32" borderId="101" xfId="0" applyFont="1" applyFill="1" applyBorder="1" applyAlignment="1">
      <alignment horizontal="center" vertical="center" wrapText="1"/>
    </xf>
    <xf numFmtId="166" fontId="6" fillId="14" borderId="74" xfId="0" applyNumberFormat="1" applyFont="1" applyFill="1" applyBorder="1" applyAlignment="1">
      <alignment horizontal="center" vertical="center" wrapText="1"/>
    </xf>
    <xf numFmtId="167" fontId="69" fillId="0" borderId="0" xfId="0" applyNumberFormat="1" applyFont="1" applyAlignment="1">
      <alignment horizontal="left" vertical="center"/>
    </xf>
    <xf numFmtId="167" fontId="69" fillId="0" borderId="0" xfId="0" applyNumberFormat="1" applyFont="1" applyAlignment="1">
      <alignment horizontal="center" vertical="center"/>
    </xf>
    <xf numFmtId="0" fontId="15" fillId="32" borderId="107" xfId="0" applyFont="1" applyFill="1" applyBorder="1" applyAlignment="1">
      <alignment horizontal="center" vertical="center" wrapText="1"/>
    </xf>
    <xf numFmtId="0" fontId="15" fillId="22" borderId="107" xfId="0" applyFont="1" applyFill="1" applyBorder="1" applyAlignment="1">
      <alignment horizontal="center" vertical="center" wrapText="1"/>
    </xf>
    <xf numFmtId="10" fontId="6" fillId="4" borderId="74" xfId="2" applyNumberFormat="1" applyFont="1" applyFill="1" applyBorder="1" applyAlignment="1">
      <alignment horizontal="right" vertical="center" wrapText="1"/>
    </xf>
    <xf numFmtId="10" fontId="6" fillId="14" borderId="74" xfId="2" applyNumberFormat="1" applyFont="1" applyFill="1" applyBorder="1" applyAlignment="1">
      <alignment horizontal="right" vertical="center" wrapText="1"/>
    </xf>
    <xf numFmtId="0" fontId="69" fillId="0" borderId="0" xfId="0" applyFont="1" applyAlignment="1">
      <alignment vertical="center"/>
    </xf>
    <xf numFmtId="0" fontId="15" fillId="23" borderId="74" xfId="0" applyFont="1" applyFill="1" applyBorder="1" applyAlignment="1">
      <alignment horizontal="center" vertical="center" wrapText="1"/>
    </xf>
    <xf numFmtId="0" fontId="15" fillId="32" borderId="74" xfId="0" applyFont="1" applyFill="1" applyBorder="1" applyAlignment="1">
      <alignment horizontal="center" vertical="center" wrapText="1"/>
    </xf>
    <xf numFmtId="0" fontId="73" fillId="0" borderId="0" xfId="0" applyFont="1" applyAlignment="1">
      <alignment horizontal="left" vertical="center"/>
    </xf>
    <xf numFmtId="0" fontId="73" fillId="0" borderId="0" xfId="0" applyFont="1" applyAlignment="1">
      <alignment horizontal="center" vertical="center"/>
    </xf>
    <xf numFmtId="0" fontId="102" fillId="25" borderId="76" xfId="0" applyFont="1" applyFill="1" applyBorder="1" applyAlignment="1">
      <alignment horizontal="center" vertical="center"/>
    </xf>
    <xf numFmtId="0" fontId="102" fillId="25" borderId="83" xfId="0" applyFont="1" applyFill="1" applyBorder="1" applyAlignment="1">
      <alignment horizontal="center" vertical="center"/>
    </xf>
    <xf numFmtId="0" fontId="89" fillId="14" borderId="70" xfId="0" applyFont="1" applyFill="1" applyBorder="1" applyAlignment="1">
      <alignment horizontal="center"/>
    </xf>
    <xf numFmtId="0" fontId="89" fillId="14" borderId="48" xfId="0" applyFont="1" applyFill="1" applyBorder="1" applyAlignment="1">
      <alignment horizontal="center"/>
    </xf>
    <xf numFmtId="0" fontId="89" fillId="14" borderId="49" xfId="0" applyFont="1" applyFill="1" applyBorder="1" applyAlignment="1">
      <alignment horizontal="center"/>
    </xf>
    <xf numFmtId="0" fontId="87" fillId="0" borderId="0" xfId="0" applyFont="1" applyAlignment="1">
      <alignment wrapText="1"/>
    </xf>
    <xf numFmtId="0" fontId="75" fillId="0" borderId="70" xfId="0" applyFont="1" applyBorder="1" applyAlignment="1">
      <alignment horizontal="center"/>
    </xf>
    <xf numFmtId="0" fontId="75" fillId="0" borderId="48" xfId="0" applyFont="1" applyBorder="1" applyAlignment="1">
      <alignment horizontal="center"/>
    </xf>
    <xf numFmtId="0" fontId="75" fillId="0" borderId="49" xfId="0" applyFont="1" applyBorder="1" applyAlignment="1">
      <alignment horizontal="center"/>
    </xf>
    <xf numFmtId="0" fontId="0" fillId="0" borderId="63" xfId="0" applyBorder="1" applyAlignment="1">
      <alignment horizontal="center"/>
    </xf>
    <xf numFmtId="0" fontId="0" fillId="0" borderId="71" xfId="0" applyBorder="1" applyAlignment="1">
      <alignment horizontal="center"/>
    </xf>
    <xf numFmtId="0" fontId="0" fillId="0" borderId="64" xfId="0" applyBorder="1" applyAlignment="1">
      <alignment horizontal="center"/>
    </xf>
    <xf numFmtId="179" fontId="0" fillId="0" borderId="63" xfId="1" applyNumberFormat="1" applyFont="1" applyBorder="1" applyAlignment="1">
      <alignment horizontal="center"/>
    </xf>
    <xf numFmtId="179" fontId="0" fillId="0" borderId="71" xfId="1" applyNumberFormat="1" applyFont="1" applyBorder="1" applyAlignment="1">
      <alignment horizontal="center"/>
    </xf>
    <xf numFmtId="179" fontId="0" fillId="0" borderId="64" xfId="1" applyNumberFormat="1" applyFont="1" applyBorder="1" applyAlignment="1">
      <alignment horizontal="center"/>
    </xf>
    <xf numFmtId="179" fontId="0" fillId="0" borderId="63" xfId="0" applyNumberFormat="1" applyBorder="1" applyAlignment="1">
      <alignment horizontal="center"/>
    </xf>
    <xf numFmtId="179" fontId="0" fillId="0" borderId="71" xfId="0" applyNumberFormat="1" applyBorder="1" applyAlignment="1">
      <alignment horizontal="center"/>
    </xf>
    <xf numFmtId="179" fontId="0" fillId="0" borderId="64" xfId="0" applyNumberFormat="1" applyBorder="1" applyAlignment="1">
      <alignment horizontal="center"/>
    </xf>
    <xf numFmtId="0" fontId="88" fillId="14" borderId="70" xfId="0" applyFont="1" applyFill="1" applyBorder="1" applyAlignment="1">
      <alignment horizontal="center" vertical="center"/>
    </xf>
    <xf numFmtId="0" fontId="88" fillId="14" borderId="48" xfId="0" applyFont="1" applyFill="1" applyBorder="1" applyAlignment="1">
      <alignment horizontal="center" vertical="center"/>
    </xf>
    <xf numFmtId="0" fontId="88" fillId="14" borderId="49" xfId="0" applyFont="1" applyFill="1" applyBorder="1" applyAlignment="1">
      <alignment horizontal="center" vertical="center"/>
    </xf>
    <xf numFmtId="15" fontId="26" fillId="0" borderId="63" xfId="0" applyNumberFormat="1" applyFont="1" applyBorder="1" applyAlignment="1">
      <alignment horizontal="center"/>
    </xf>
    <xf numFmtId="0" fontId="26" fillId="0" borderId="71" xfId="0" applyFont="1" applyBorder="1" applyAlignment="1">
      <alignment horizontal="center"/>
    </xf>
    <xf numFmtId="0" fontId="26" fillId="0" borderId="64" xfId="0" applyFont="1" applyBorder="1" applyAlignment="1">
      <alignment horizontal="center"/>
    </xf>
    <xf numFmtId="15" fontId="26" fillId="0" borderId="51" xfId="0" applyNumberFormat="1" applyFont="1" applyBorder="1" applyAlignment="1">
      <alignment horizontal="center"/>
    </xf>
    <xf numFmtId="0" fontId="26" fillId="0" borderId="0" xfId="0" applyFont="1" applyBorder="1" applyAlignment="1">
      <alignment horizontal="center"/>
    </xf>
    <xf numFmtId="0" fontId="26" fillId="0" borderId="65" xfId="0" applyFont="1" applyBorder="1" applyAlignment="1">
      <alignment horizontal="center"/>
    </xf>
    <xf numFmtId="15" fontId="26" fillId="0" borderId="53" xfId="0" applyNumberFormat="1" applyFont="1" applyBorder="1" applyAlignment="1">
      <alignment horizontal="center"/>
    </xf>
    <xf numFmtId="0" fontId="26" fillId="0" borderId="54" xfId="0" applyFont="1" applyBorder="1" applyAlignment="1">
      <alignment horizontal="center"/>
    </xf>
    <xf numFmtId="0" fontId="26" fillId="0" borderId="69" xfId="0" applyFont="1"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69" xfId="0" applyBorder="1" applyAlignment="1">
      <alignment horizontal="center"/>
    </xf>
    <xf numFmtId="170" fontId="0" fillId="0" borderId="53" xfId="1" applyNumberFormat="1" applyFont="1" applyBorder="1" applyAlignment="1">
      <alignment horizontal="center"/>
    </xf>
    <xf numFmtId="170" fontId="0" fillId="0" borderId="54" xfId="1" applyNumberFormat="1" applyFont="1" applyBorder="1" applyAlignment="1">
      <alignment horizontal="center"/>
    </xf>
    <xf numFmtId="170" fontId="0" fillId="0" borderId="69" xfId="1" applyNumberFormat="1" applyFont="1" applyBorder="1" applyAlignment="1">
      <alignment horizontal="center"/>
    </xf>
    <xf numFmtId="170" fontId="0" fillId="0" borderId="53" xfId="0" applyNumberFormat="1" applyBorder="1" applyAlignment="1">
      <alignment horizontal="center"/>
    </xf>
    <xf numFmtId="170" fontId="0" fillId="0" borderId="54" xfId="0" applyNumberFormat="1" applyBorder="1" applyAlignment="1">
      <alignment horizontal="center"/>
    </xf>
    <xf numFmtId="170" fontId="0" fillId="0" borderId="69" xfId="0" applyNumberFormat="1" applyBorder="1" applyAlignment="1">
      <alignment horizontal="center"/>
    </xf>
    <xf numFmtId="0" fontId="87" fillId="0" borderId="0" xfId="0" applyFont="1"/>
    <xf numFmtId="0" fontId="87" fillId="0" borderId="0" xfId="0" quotePrefix="1" applyFont="1"/>
    <xf numFmtId="0" fontId="90" fillId="0" borderId="0" xfId="0" applyFont="1" applyAlignment="1">
      <alignment horizontal="center"/>
    </xf>
    <xf numFmtId="0" fontId="87" fillId="0" borderId="0" xfId="0" applyFont="1" applyAlignment="1">
      <alignment horizontal="center" wrapText="1"/>
    </xf>
    <xf numFmtId="0" fontId="26" fillId="0" borderId="63" xfId="0" applyFont="1" applyBorder="1" applyAlignment="1">
      <alignment horizontal="center"/>
    </xf>
    <xf numFmtId="0" fontId="26" fillId="0" borderId="51" xfId="0" applyFont="1" applyBorder="1" applyAlignment="1">
      <alignment horizontal="center"/>
    </xf>
    <xf numFmtId="0" fontId="26" fillId="0" borderId="53" xfId="0" applyFont="1" applyBorder="1" applyAlignment="1">
      <alignment horizontal="center"/>
    </xf>
    <xf numFmtId="0" fontId="0" fillId="0" borderId="70"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179" fontId="0" fillId="0" borderId="70" xfId="1" applyNumberFormat="1" applyFont="1" applyBorder="1" applyAlignment="1">
      <alignment horizontal="center"/>
    </xf>
    <xf numFmtId="179" fontId="0" fillId="0" borderId="48" xfId="1" applyNumberFormat="1" applyFont="1" applyBorder="1" applyAlignment="1">
      <alignment horizontal="center"/>
    </xf>
    <xf numFmtId="179" fontId="0" fillId="0" borderId="49" xfId="1" applyNumberFormat="1" applyFont="1" applyBorder="1" applyAlignment="1">
      <alignment horizontal="center"/>
    </xf>
    <xf numFmtId="179" fontId="0" fillId="0" borderId="70" xfId="0" applyNumberFormat="1" applyBorder="1" applyAlignment="1">
      <alignment horizontal="center"/>
    </xf>
    <xf numFmtId="179" fontId="0" fillId="0" borderId="48" xfId="0" applyNumberFormat="1" applyBorder="1" applyAlignment="1">
      <alignment horizontal="center"/>
    </xf>
    <xf numFmtId="179" fontId="0" fillId="0" borderId="49" xfId="0" applyNumberFormat="1" applyBorder="1" applyAlignment="1">
      <alignment horizontal="center"/>
    </xf>
    <xf numFmtId="0" fontId="118" fillId="0" borderId="0" xfId="0" applyFont="1" applyFill="1" applyBorder="1" applyAlignment="1">
      <alignment horizontal="left" vertical="center" wrapText="1"/>
    </xf>
    <xf numFmtId="0" fontId="27" fillId="0" borderId="0" xfId="0" applyFont="1" applyFill="1" applyBorder="1" applyAlignment="1">
      <alignment horizontal="left" vertical="center" wrapText="1"/>
    </xf>
    <xf numFmtId="0" fontId="4" fillId="5" borderId="0" xfId="0" applyFont="1" applyFill="1" applyBorder="1" applyAlignment="1">
      <alignment vertical="center" wrapText="1"/>
    </xf>
    <xf numFmtId="0" fontId="4" fillId="5" borderId="0" xfId="0" applyFont="1" applyFill="1" applyBorder="1" applyAlignment="1">
      <alignment horizontal="left" vertical="center" wrapText="1"/>
    </xf>
    <xf numFmtId="0" fontId="4" fillId="0" borderId="0" xfId="0" applyFont="1" applyAlignment="1">
      <alignment wrapText="1"/>
    </xf>
    <xf numFmtId="0" fontId="118" fillId="0" borderId="0" xfId="0" applyFont="1" applyFill="1" applyBorder="1" applyAlignment="1">
      <alignment vertical="center"/>
    </xf>
    <xf numFmtId="0" fontId="27" fillId="0" borderId="0" xfId="0" applyFont="1" applyFill="1" applyBorder="1" applyAlignment="1">
      <alignment vertical="center"/>
    </xf>
    <xf numFmtId="0" fontId="118" fillId="5" borderId="0" xfId="0" applyFont="1" applyFill="1" applyBorder="1" applyAlignment="1">
      <alignment vertical="center" wrapText="1"/>
    </xf>
    <xf numFmtId="0" fontId="27" fillId="22" borderId="0" xfId="0" applyFont="1" applyFill="1" applyBorder="1" applyAlignment="1">
      <alignment vertical="center" wrapText="1"/>
    </xf>
    <xf numFmtId="0" fontId="118" fillId="0" borderId="0" xfId="0" applyFont="1" applyFill="1" applyBorder="1" applyAlignment="1">
      <alignment vertical="center" wrapText="1"/>
    </xf>
    <xf numFmtId="0" fontId="27" fillId="0" borderId="0" xfId="0" applyFont="1" applyFill="1" applyBorder="1" applyAlignment="1">
      <alignment vertical="center" wrapText="1"/>
    </xf>
    <xf numFmtId="0" fontId="67" fillId="0" borderId="0" xfId="0" applyFont="1" applyAlignment="1">
      <alignment horizontal="left" vertical="center" wrapText="1"/>
    </xf>
    <xf numFmtId="0" fontId="4" fillId="0" borderId="0" xfId="0" applyFont="1" applyAlignment="1">
      <alignment horizontal="left" vertical="center"/>
    </xf>
    <xf numFmtId="0" fontId="27" fillId="22" borderId="74" xfId="0" applyFont="1" applyFill="1" applyBorder="1" applyAlignment="1">
      <alignment horizontal="left" vertical="center" wrapText="1"/>
    </xf>
    <xf numFmtId="0" fontId="27" fillId="22" borderId="78" xfId="0" applyFont="1" applyFill="1" applyBorder="1" applyAlignment="1">
      <alignment horizontal="left" vertical="center" wrapText="1"/>
    </xf>
    <xf numFmtId="0" fontId="7" fillId="0" borderId="0" xfId="0" applyFont="1" applyAlignment="1">
      <alignment horizontal="left" vertical="center" wrapText="1"/>
    </xf>
    <xf numFmtId="0" fontId="27" fillId="9" borderId="23" xfId="0" applyFont="1" applyFill="1" applyBorder="1" applyAlignment="1">
      <alignment horizontal="left" vertical="center" wrapText="1"/>
    </xf>
    <xf numFmtId="0" fontId="27" fillId="9" borderId="24" xfId="0" applyFont="1" applyFill="1" applyBorder="1" applyAlignment="1">
      <alignment horizontal="left" vertical="center" wrapText="1"/>
    </xf>
    <xf numFmtId="0" fontId="35" fillId="0" borderId="11" xfId="0" applyFont="1" applyBorder="1" applyAlignment="1">
      <alignment vertical="center" wrapText="1"/>
    </xf>
    <xf numFmtId="0" fontId="35" fillId="0" borderId="12" xfId="0" applyFont="1" applyBorder="1" applyAlignment="1">
      <alignment vertical="center" wrapText="1"/>
    </xf>
    <xf numFmtId="0" fontId="35" fillId="0" borderId="13" xfId="0" applyFont="1" applyBorder="1" applyAlignment="1">
      <alignment vertical="center" wrapText="1"/>
    </xf>
    <xf numFmtId="0" fontId="17" fillId="0" borderId="22" xfId="0" applyFont="1" applyBorder="1" applyAlignment="1">
      <alignment vertical="center"/>
    </xf>
    <xf numFmtId="0" fontId="17" fillId="0" borderId="21" xfId="0" applyFont="1" applyBorder="1" applyAlignment="1">
      <alignment vertical="center"/>
    </xf>
    <xf numFmtId="0" fontId="8" fillId="0" borderId="0" xfId="0" applyFont="1" applyAlignment="1">
      <alignment horizontal="left" vertical="top"/>
    </xf>
    <xf numFmtId="0" fontId="4" fillId="0" borderId="0" xfId="0" applyFont="1" applyAlignment="1">
      <alignment horizontal="left" vertical="top"/>
    </xf>
  </cellXfs>
  <cellStyles count="16">
    <cellStyle name="Comma" xfId="15" builtinId="3"/>
    <cellStyle name="Currency" xfId="1" builtinId="4"/>
    <cellStyle name="Currency 2" xfId="9" xr:uid="{00000000-0005-0000-0000-000002000000}"/>
    <cellStyle name="Currency 2 2" xfId="13" xr:uid="{00000000-0005-0000-0000-000003000000}"/>
    <cellStyle name="Currency 3" xfId="14" xr:uid="{00000000-0005-0000-0000-000004000000}"/>
    <cellStyle name="Hyperlink" xfId="3" builtinId="8"/>
    <cellStyle name="Hyperlink 2" xfId="4" xr:uid="{00000000-0005-0000-0000-000006000000}"/>
    <cellStyle name="longue date" xfId="5" xr:uid="{00000000-0005-0000-0000-000007000000}"/>
    <cellStyle name="Normal" xfId="0" builtinId="0"/>
    <cellStyle name="Normal 2" xfId="6" xr:uid="{00000000-0005-0000-0000-000009000000}"/>
    <cellStyle name="Normal 3" xfId="10" xr:uid="{00000000-0005-0000-0000-00000A000000}"/>
    <cellStyle name="Normal 3 2" xfId="11" xr:uid="{00000000-0005-0000-0000-00000B000000}"/>
    <cellStyle name="Normal 8" xfId="12" xr:uid="{00000000-0005-0000-0000-00000C000000}"/>
    <cellStyle name="Percent" xfId="2" builtinId="5"/>
    <cellStyle name="Percent 2" xfId="7" xr:uid="{00000000-0005-0000-0000-00000E000000}"/>
    <cellStyle name="Percent 3" xfId="8" xr:uid="{00000000-0005-0000-0000-00000F00000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rgb="FFFF0000"/>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left style="thin">
          <color theme="1"/>
        </left>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rgb="FFFF0000"/>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dxf>
    <dxf>
      <font>
        <b val="0"/>
        <i val="0"/>
        <strike val="0"/>
        <condense val="0"/>
        <extend val="0"/>
        <outline val="0"/>
        <shadow val="0"/>
        <u val="none"/>
        <vertAlign val="baseline"/>
        <sz val="9"/>
        <color rgb="FFFF0000"/>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rgb="FFFF0000"/>
        <name val="Arial"/>
        <scheme val="none"/>
      </font>
      <fill>
        <patternFill patternType="none">
          <fgColor indexed="64"/>
          <bgColor indexed="65"/>
        </patternFill>
      </fill>
      <alignment horizontal="center" vertical="center" textRotation="0" wrapText="1" indent="0" justifyLastLine="0" shrinkToFit="0" readingOrder="0"/>
    </dxf>
    <dxf>
      <border>
        <bottom style="thin">
          <color theme="1"/>
        </bottom>
      </border>
    </dxf>
    <dxf>
      <font>
        <b/>
        <i val="0"/>
        <strike val="0"/>
        <condense val="0"/>
        <extend val="0"/>
        <outline val="0"/>
        <shadow val="0"/>
        <u val="none"/>
        <vertAlign val="baseline"/>
        <sz val="9"/>
        <color rgb="FFFFFFFF"/>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1"/>
        </left>
        <right style="thin">
          <color theme="1"/>
        </right>
        <top/>
        <bottom/>
        <vertical style="thin">
          <color theme="1"/>
        </vertical>
        <horizontal style="thin">
          <color theme="1"/>
        </horizontal>
      </border>
    </dxf>
    <dxf>
      <font>
        <b val="0"/>
        <i val="0"/>
        <strike val="0"/>
        <condense val="0"/>
        <extend val="0"/>
        <outline val="0"/>
        <shadow val="0"/>
        <u val="none"/>
        <vertAlign val="baseline"/>
        <sz val="9"/>
        <color rgb="FFFF0000"/>
        <name val="Arial"/>
        <scheme val="none"/>
      </font>
      <numFmt numFmtId="164" formatCode="_-&quot;$&quot;* #,##0_-;\-&quot;$&quot;* #,##0_-;_-&quot;$&quot;* &quot;-&quot;_-;_-@_-"/>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FF0000"/>
        <name val="Arial"/>
        <scheme val="none"/>
      </font>
      <numFmt numFmtId="164" formatCode="_-&quot;$&quot;* #,##0_-;\-&quot;$&quot;* #,##0_-;_-&quot;$&quot;* &quot;-&quot;_-;_-@_-"/>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9"/>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9"/>
        <color theme="1"/>
        <name val="Arial"/>
        <scheme val="none"/>
      </font>
      <numFmt numFmtId="169"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top style="thin">
          <color theme="1"/>
        </top>
        <bottom style="thin">
          <color theme="1"/>
        </bottom>
      </border>
    </dxf>
    <dxf>
      <font>
        <b/>
        <i val="0"/>
        <strike val="0"/>
        <condense val="0"/>
        <extend val="0"/>
        <outline val="0"/>
        <shadow val="0"/>
        <u val="none"/>
        <vertAlign val="baseline"/>
        <sz val="9"/>
        <color theme="1"/>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9"/>
        <color theme="1"/>
        <name val="Arial"/>
        <scheme val="none"/>
      </font>
      <numFmt numFmtId="169"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9"/>
        <color theme="1"/>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alignment horizontal="left" vertical="center" textRotation="0" wrapText="1" indent="0" justifyLastLine="0" shrinkToFit="0" readingOrder="0"/>
      <border diagonalUp="0" diagonalDown="0" outline="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dxf>
    <dxf>
      <border>
        <bottom style="thin">
          <color theme="1"/>
        </bottom>
      </border>
    </dxf>
    <dxf>
      <font>
        <b/>
        <i val="0"/>
        <strike val="0"/>
        <condense val="0"/>
        <extend val="0"/>
        <outline val="0"/>
        <shadow val="0"/>
        <u val="none"/>
        <vertAlign val="baseline"/>
        <sz val="9"/>
        <color rgb="FFFFFFFF"/>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1"/>
        </left>
        <right style="thin">
          <color theme="1"/>
        </right>
        <top/>
        <bottom/>
        <vertical style="thin">
          <color theme="1"/>
        </vertical>
        <horizontal style="thin">
          <color theme="1"/>
        </horizontal>
      </border>
    </dxf>
    <dxf>
      <font>
        <b/>
        <i val="0"/>
        <strike val="0"/>
        <condense val="0"/>
        <extend val="0"/>
        <outline val="0"/>
        <shadow val="0"/>
        <u val="none"/>
        <vertAlign val="baseline"/>
        <sz val="9"/>
        <color theme="1"/>
        <name val="Arial"/>
        <scheme val="none"/>
      </font>
      <numFmt numFmtId="169"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top style="thin">
          <color theme="1"/>
        </top>
        <bottom style="thin">
          <color theme="1"/>
        </bottom>
      </border>
    </dxf>
    <dxf>
      <font>
        <b/>
        <i val="0"/>
        <strike val="0"/>
        <condense val="0"/>
        <extend val="0"/>
        <outline val="0"/>
        <shadow val="0"/>
        <u val="none"/>
        <vertAlign val="baseline"/>
        <sz val="9"/>
        <color theme="1"/>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9"/>
        <color theme="1"/>
        <name val="Arial"/>
        <scheme val="none"/>
      </font>
      <numFmt numFmtId="169" formatCode="0.0%"/>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9"/>
        <color theme="1"/>
        <name val="Arial"/>
        <scheme val="none"/>
      </font>
      <numFmt numFmtId="164" formatCode="_-&quot;$&quot;* #,##0_-;\-&quot;$&quot;* #,##0_-;_-&quot;$&quot;*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alignment horizontal="center" vertical="center" textRotation="0" wrapText="1" indent="0" justifyLastLine="0" shrinkToFit="0" readingOrder="0"/>
      <border diagonalUp="0" diagonalDown="0" outline="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border diagonalUp="0" diagonalDown="0" outline="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style="thin">
          <color theme="1"/>
        </top>
        <bottom style="thin">
          <color theme="1"/>
        </bottom>
      </border>
    </dxf>
    <dxf>
      <font>
        <strike val="0"/>
        <outline val="0"/>
        <shadow val="0"/>
        <u val="none"/>
        <vertAlign val="baseline"/>
        <sz val="9"/>
        <color theme="1"/>
        <name val="Arial"/>
        <scheme val="none"/>
      </font>
    </dxf>
    <dxf>
      <border>
        <bottom style="thin">
          <color theme="1"/>
        </bottom>
      </border>
    </dxf>
    <dxf>
      <font>
        <b/>
        <i val="0"/>
        <strike val="0"/>
        <condense val="0"/>
        <extend val="0"/>
        <outline val="0"/>
        <shadow val="0"/>
        <u val="none"/>
        <vertAlign val="baseline"/>
        <sz val="9"/>
        <color rgb="FFFFFFFF"/>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1"/>
        </left>
        <right style="thin">
          <color theme="1"/>
        </right>
        <top/>
        <bottom/>
        <vertical style="thin">
          <color theme="1"/>
        </vertical>
        <horizontal style="thin">
          <color theme="1"/>
        </horizontal>
      </border>
    </dxf>
  </dxfs>
  <tableStyles count="0" defaultTableStyle="TableStyleMedium2" defaultPivotStyle="PivotStyleLight16"/>
  <colors>
    <mruColors>
      <color rgb="FF7030A0"/>
      <color rgb="FF4F9237"/>
      <color rgb="FFE1F1D7"/>
      <color rgb="FF4C5B52"/>
      <color rgb="FF49A942"/>
      <color rgb="FF6DB33F"/>
      <color rgb="FFF3F5F3"/>
      <color rgb="FFA5B3AB"/>
      <color rgb="FFC3CDC5"/>
      <color rgb="FF5E6E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8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6.855103547286498E-2"/>
          <c:y val="0.11844181388252137"/>
          <c:w val="0.83463756570796965"/>
          <c:h val="0.78811956602959499"/>
        </c:manualLayout>
      </c:layout>
      <c:barChart>
        <c:barDir val="col"/>
        <c:grouping val="clustered"/>
        <c:varyColors val="0"/>
        <c:ser>
          <c:idx val="0"/>
          <c:order val="0"/>
          <c:tx>
            <c:v>Current</c:v>
          </c:tx>
          <c:spPr>
            <a:solidFill>
              <a:srgbClr val="89A54E"/>
            </a:solidFill>
          </c:spPr>
          <c:invertIfNegative val="0"/>
          <c:cat>
            <c:strRef>
              <c:f>'Pooled Benefits '!$A$12:$A$22</c:f>
              <c:strCache>
                <c:ptCount val="11"/>
                <c:pt idx="0">
                  <c:v>0 - 24</c:v>
                </c:pt>
                <c:pt idx="1">
                  <c:v>25 - 29</c:v>
                </c:pt>
                <c:pt idx="2">
                  <c:v>30 - 34</c:v>
                </c:pt>
                <c:pt idx="3">
                  <c:v>35 - 39</c:v>
                </c:pt>
                <c:pt idx="4">
                  <c:v>40 - 44</c:v>
                </c:pt>
                <c:pt idx="5">
                  <c:v>45 - 49</c:v>
                </c:pt>
                <c:pt idx="6">
                  <c:v>50 - 54</c:v>
                </c:pt>
                <c:pt idx="7">
                  <c:v>55 - 59</c:v>
                </c:pt>
                <c:pt idx="8">
                  <c:v>60 - 64</c:v>
                </c:pt>
                <c:pt idx="9">
                  <c:v>65 - 69</c:v>
                </c:pt>
                <c:pt idx="10">
                  <c:v>70+</c:v>
                </c:pt>
              </c:strCache>
            </c:strRef>
          </c:cat>
          <c:val>
            <c:numRef>
              <c:f>'Pooled Benefits '!$D$29:$D$39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F758-4677-BF73-96A260754C44}"/>
            </c:ext>
          </c:extLst>
        </c:ser>
        <c:ser>
          <c:idx val="1"/>
          <c:order val="1"/>
          <c:tx>
            <c:v>Prior</c:v>
          </c:tx>
          <c:spPr>
            <a:solidFill>
              <a:srgbClr val="B9CD96"/>
            </a:solidFill>
          </c:spPr>
          <c:invertIfNegative val="0"/>
          <c:cat>
            <c:strRef>
              <c:f>'Pooled Benefits '!$A$12:$A$22</c:f>
              <c:strCache>
                <c:ptCount val="11"/>
                <c:pt idx="0">
                  <c:v>0 - 24</c:v>
                </c:pt>
                <c:pt idx="1">
                  <c:v>25 - 29</c:v>
                </c:pt>
                <c:pt idx="2">
                  <c:v>30 - 34</c:v>
                </c:pt>
                <c:pt idx="3">
                  <c:v>35 - 39</c:v>
                </c:pt>
                <c:pt idx="4">
                  <c:v>40 - 44</c:v>
                </c:pt>
                <c:pt idx="5">
                  <c:v>45 - 49</c:v>
                </c:pt>
                <c:pt idx="6">
                  <c:v>50 - 54</c:v>
                </c:pt>
                <c:pt idx="7">
                  <c:v>55 - 59</c:v>
                </c:pt>
                <c:pt idx="8">
                  <c:v>60 - 64</c:v>
                </c:pt>
                <c:pt idx="9">
                  <c:v>65 - 69</c:v>
                </c:pt>
                <c:pt idx="10">
                  <c:v>70+</c:v>
                </c:pt>
              </c:strCache>
            </c:strRef>
          </c:cat>
          <c:val>
            <c:numRef>
              <c:f>'Pooled Benefits '!$E$29:$E$39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F758-4677-BF73-96A260754C44}"/>
            </c:ext>
          </c:extLst>
        </c:ser>
        <c:dLbls>
          <c:showLegendKey val="0"/>
          <c:showVal val="0"/>
          <c:showCatName val="0"/>
          <c:showSerName val="0"/>
          <c:showPercent val="0"/>
          <c:showBubbleSize val="0"/>
        </c:dLbls>
        <c:gapWidth val="150"/>
        <c:axId val="124426368"/>
        <c:axId val="124428720"/>
      </c:barChart>
      <c:catAx>
        <c:axId val="124426368"/>
        <c:scaling>
          <c:orientation val="minMax"/>
        </c:scaling>
        <c:delete val="0"/>
        <c:axPos val="b"/>
        <c:numFmt formatCode="General" sourceLinked="0"/>
        <c:majorTickMark val="out"/>
        <c:minorTickMark val="none"/>
        <c:tickLblPos val="nextTo"/>
        <c:crossAx val="124428720"/>
        <c:crosses val="autoZero"/>
        <c:auto val="1"/>
        <c:lblAlgn val="ctr"/>
        <c:lblOffset val="100"/>
        <c:noMultiLvlLbl val="0"/>
      </c:catAx>
      <c:valAx>
        <c:axId val="124428720"/>
        <c:scaling>
          <c:orientation val="minMax"/>
        </c:scaling>
        <c:delete val="0"/>
        <c:axPos val="l"/>
        <c:majorGridlines/>
        <c:numFmt formatCode="&quot;$&quot;#,##0" sourceLinked="1"/>
        <c:majorTickMark val="out"/>
        <c:minorTickMark val="none"/>
        <c:tickLblPos val="nextTo"/>
        <c:crossAx val="124426368"/>
        <c:crosses val="autoZero"/>
        <c:crossBetween val="between"/>
      </c:valAx>
    </c:plotArea>
    <c:legend>
      <c:legendPos val="r"/>
      <c:overlay val="0"/>
    </c:legend>
    <c:plotVisOnly val="1"/>
    <c:dispBlanksAs val="gap"/>
    <c:showDLblsOverMax val="0"/>
  </c:chart>
  <c:spPr>
    <a:solidFill>
      <a:schemeClr val="bg1"/>
    </a:solidFill>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Prior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899132077516856"/>
          <c:y val="0.16160823846063829"/>
          <c:w val="0.60228927136320354"/>
          <c:h val="0.4334948258856177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0C-4A40-B397-344D548E3F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0C-4A40-B397-344D548E3F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0C-4A40-B397-344D548E3F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0C-4A40-B397-344D548E3F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0C-4A40-B397-344D548E3F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0C-4A40-B397-344D548E3F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0C-4A40-B397-344D548E3FE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0C-4A40-B397-344D548E3FE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0C-4A40-B397-344D548E3FE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0C-4A40-B397-344D548E3FE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0C-4A40-B397-344D548E3FE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70C-4A40-B397-344D548E3FE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w S&amp;S (2)'!$A$8:$A$19</c:f>
              <c:strCache>
                <c:ptCount val="12"/>
                <c:pt idx="0">
                  <c:v>Massage Therapist</c:v>
                </c:pt>
                <c:pt idx="1">
                  <c:v>Chiropractor</c:v>
                </c:pt>
                <c:pt idx="2">
                  <c:v>Physiotherapist</c:v>
                </c:pt>
                <c:pt idx="3">
                  <c:v>Psychologist</c:v>
                </c:pt>
                <c:pt idx="4">
                  <c:v>Acupuncturist</c:v>
                </c:pt>
                <c:pt idx="5">
                  <c:v>Naturopath</c:v>
                </c:pt>
                <c:pt idx="6">
                  <c:v>Dietician</c:v>
                </c:pt>
                <c:pt idx="7">
                  <c:v>Osteopath</c:v>
                </c:pt>
                <c:pt idx="8">
                  <c:v>Podiatrist/Chiropodist</c:v>
                </c:pt>
                <c:pt idx="9">
                  <c:v>Homeopath</c:v>
                </c:pt>
                <c:pt idx="10">
                  <c:v>Speech Therapist </c:v>
                </c:pt>
                <c:pt idx="11">
                  <c:v>Audiologist</c:v>
                </c:pt>
              </c:strCache>
            </c:strRef>
          </c:cat>
          <c:val>
            <c:numRef>
              <c:f>'EHC Breakdown w S&amp;S (2)'!$E$8:$E$19</c:f>
              <c:numCache>
                <c:formatCode>_-"$"* #,##0.00_-;\-"$"* #,##0.00_-;_-"$"* "-"??_-;_-@_-</c:formatCode>
                <c:ptCount val="12"/>
              </c:numCache>
            </c:numRef>
          </c:val>
          <c:extLst>
            <c:ext xmlns:c16="http://schemas.microsoft.com/office/drawing/2014/chart" uri="{C3380CC4-5D6E-409C-BE32-E72D297353CC}">
              <c16:uniqueId val="{00000018-B70C-4A40-B397-344D548E3FE5}"/>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1.5073823736634684E-2"/>
          <c:y val="0.74412914946141295"/>
          <c:w val="0.96132735620436827"/>
          <c:h val="0.250043298727786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oddFooter>&amp;L&amp;"Arial,Bold"&amp;8&amp;K4C5B52Renewal Report.&amp;"Arial,Regular" Insurance services provided through NFP Canada, 
a subsidiary of NFP Corp. (NFP).&amp;R&amp;G</c:oddFoot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Current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8917989097516658"/>
          <c:y val="0.1765073218306728"/>
          <c:w val="0.63051403189985877"/>
          <c:h val="0.5598826785996013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B8-4AA9-886E-AB3CDFD448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B8-4AA9-886E-AB3CDFD448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B8-4AA9-886E-AB3CDFD448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B8-4AA9-886E-AB3CDFD448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B8-4AA9-886E-AB3CDFD4486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B8-4AA9-886E-AB3CDFD4486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'Dental Care History'!$A$8:$A$12</c:f>
              <c:strCache>
                <c:ptCount val="5"/>
                <c:pt idx="0">
                  <c:v>Surgical, Restorative</c:v>
                </c:pt>
                <c:pt idx="1">
                  <c:v>Periodontic, Endodontic</c:v>
                </c:pt>
                <c:pt idx="2">
                  <c:v>Diagnostic, Preventive</c:v>
                </c:pt>
                <c:pt idx="3">
                  <c:v>Major Restorative</c:v>
                </c:pt>
                <c:pt idx="4">
                  <c:v>Orthodontics</c:v>
                </c:pt>
              </c:strCache>
            </c:strRef>
          </c:cat>
          <c:val>
            <c:numRef>
              <c:f>'Dental Care History'!$B$8:$B$12</c:f>
              <c:numCache>
                <c:formatCode>_("$"* #,##0.00_);_("$"* \(#,##0.00\);_("$"* "-"??_);_(@_)</c:formatCode>
                <c:ptCount val="5"/>
              </c:numCache>
            </c:numRef>
          </c:val>
          <c:extLst>
            <c:ext xmlns:c16="http://schemas.microsoft.com/office/drawing/2014/chart" uri="{C3380CC4-5D6E-409C-BE32-E72D297353CC}">
              <c16:uniqueId val="{0000000C-82B8-4AA9-886E-AB3CDFD4486B}"/>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5464082374318597E-2"/>
          <c:y val="0.79836581902671999"/>
          <c:w val="0.95266125580456307"/>
          <c:h val="0.168847295727378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Prior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8127195639006663"/>
          <c:y val="0.18076416677423518"/>
          <c:w val="0.6178704437093292"/>
          <c:h val="0.5706016665949543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A5-49E3-BA72-894E08F2C9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5-49E3-BA72-894E08F2C9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A5-49E3-BA72-894E08F2C9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5-49E3-BA72-894E08F2C9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A5-49E3-BA72-894E08F2C9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A5-49E3-BA72-894E08F2C9B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'Dental Care History'!$A$8:$A$12</c:f>
              <c:strCache>
                <c:ptCount val="5"/>
                <c:pt idx="0">
                  <c:v>Surgical, Restorative</c:v>
                </c:pt>
                <c:pt idx="1">
                  <c:v>Periodontic, Endodontic</c:v>
                </c:pt>
                <c:pt idx="2">
                  <c:v>Diagnostic, Preventive</c:v>
                </c:pt>
                <c:pt idx="3">
                  <c:v>Major Restorative</c:v>
                </c:pt>
                <c:pt idx="4">
                  <c:v>Orthodontics</c:v>
                </c:pt>
              </c:strCache>
            </c:strRef>
          </c:cat>
          <c:val>
            <c:numRef>
              <c:f>'Dental Care History'!$E$8:$E$12</c:f>
              <c:numCache>
                <c:formatCode>_("$"* #,##0.00_);_("$"* \(#,##0.00\);_("$"* "-"??_);_(@_)</c:formatCode>
                <c:ptCount val="5"/>
              </c:numCache>
            </c:numRef>
          </c:val>
          <c:extLst>
            <c:ext xmlns:c16="http://schemas.microsoft.com/office/drawing/2014/chart" uri="{C3380CC4-5D6E-409C-BE32-E72D297353CC}">
              <c16:uniqueId val="{0000000C-6FA5-49E3-BA72-894E08F2C9B3}"/>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3062013697991876E-2"/>
          <c:y val="0.79831565769725943"/>
          <c:w val="0.94148907422075201"/>
          <c:h val="0.18000412550057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v>#REF!</c:v>
          </c:tx>
          <c:spPr>
            <a:ln>
              <a:solidFill>
                <a:srgbClr val="86A44A"/>
              </a:solidFill>
            </a:ln>
          </c:spPr>
          <c:marker>
            <c:symbol val="none"/>
          </c:marker>
          <c:cat>
            <c:strLit>
              <c:ptCount val="5"/>
              <c:pt idx="0">
                <c:v>Single</c:v>
              </c:pt>
              <c:pt idx="1">
                <c:v>Family</c:v>
              </c:pt>
              <c:pt idx="2">
                <c:v>Total Dental</c:v>
              </c:pt>
              <c:pt idx="3">
                <c:v>Sub-total</c:v>
              </c:pt>
              <c:pt idx="4">
                <c:v>Exp. Rated Benefits</c:v>
              </c:pt>
            </c:strLit>
          </c:cat>
          <c:val>
            <c:numLit>
              <c:formatCode>General</c:formatCode>
              <c:ptCount val="5"/>
              <c:pt idx="0">
                <c:v>1</c:v>
              </c:pt>
              <c:pt idx="1">
                <c:v>1</c:v>
              </c:pt>
            </c:numLit>
          </c:val>
          <c:smooth val="0"/>
          <c:extLst>
            <c:ext xmlns:c16="http://schemas.microsoft.com/office/drawing/2014/chart" uri="{C3380CC4-5D6E-409C-BE32-E72D297353CC}">
              <c16:uniqueId val="{00000000-F6D3-4125-BD02-727868455C6E}"/>
            </c:ext>
          </c:extLst>
        </c:ser>
        <c:ser>
          <c:idx val="1"/>
          <c:order val="1"/>
          <c:tx>
            <c:v>#REF!</c:v>
          </c:tx>
          <c:spPr>
            <a:ln>
              <a:solidFill>
                <a:srgbClr val="B5CA92"/>
              </a:solidFill>
            </a:ln>
          </c:spPr>
          <c:marker>
            <c:symbol val="none"/>
          </c:marker>
          <c:cat>
            <c:strLit>
              <c:ptCount val="5"/>
              <c:pt idx="0">
                <c:v>Single</c:v>
              </c:pt>
              <c:pt idx="1">
                <c:v>Family</c:v>
              </c:pt>
              <c:pt idx="2">
                <c:v>Total Dental</c:v>
              </c:pt>
              <c:pt idx="3">
                <c:v>Sub-total</c:v>
              </c:pt>
              <c:pt idx="4">
                <c:v>Exp. Rated Benefits</c:v>
              </c:pt>
            </c:strLit>
          </c:cat>
          <c:val>
            <c:numLit>
              <c:formatCode>General</c:formatCode>
              <c:ptCount val="5"/>
              <c:pt idx="0">
                <c:v>25</c:v>
              </c:pt>
              <c:pt idx="1">
                <c:v>50</c:v>
              </c:pt>
            </c:numLit>
          </c:val>
          <c:smooth val="0"/>
          <c:extLst>
            <c:ext xmlns:c16="http://schemas.microsoft.com/office/drawing/2014/chart" uri="{C3380CC4-5D6E-409C-BE32-E72D297353CC}">
              <c16:uniqueId val="{00000001-F6D3-4125-BD02-727868455C6E}"/>
            </c:ext>
          </c:extLst>
        </c:ser>
        <c:dLbls>
          <c:showLegendKey val="0"/>
          <c:showVal val="0"/>
          <c:showCatName val="0"/>
          <c:showSerName val="0"/>
          <c:showPercent val="0"/>
          <c:showBubbleSize val="0"/>
        </c:dLbls>
        <c:smooth val="0"/>
        <c:axId val="512257928"/>
        <c:axId val="512260672"/>
      </c:lineChart>
      <c:catAx>
        <c:axId val="512257928"/>
        <c:scaling>
          <c:orientation val="minMax"/>
        </c:scaling>
        <c:delete val="0"/>
        <c:axPos val="b"/>
        <c:numFmt formatCode="General" sourceLinked="0"/>
        <c:majorTickMark val="out"/>
        <c:minorTickMark val="none"/>
        <c:tickLblPos val="nextTo"/>
        <c:crossAx val="512260672"/>
        <c:crosses val="autoZero"/>
        <c:auto val="1"/>
        <c:lblAlgn val="ctr"/>
        <c:lblOffset val="100"/>
        <c:noMultiLvlLbl val="0"/>
      </c:catAx>
      <c:valAx>
        <c:axId val="512260672"/>
        <c:scaling>
          <c:orientation val="minMax"/>
        </c:scaling>
        <c:delete val="0"/>
        <c:axPos val="l"/>
        <c:majorGridlines/>
        <c:numFmt formatCode="General" sourceLinked="1"/>
        <c:majorTickMark val="out"/>
        <c:minorTickMark val="none"/>
        <c:tickLblPos val="nextTo"/>
        <c:crossAx val="512257928"/>
        <c:crosses val="autoZero"/>
        <c:crossBetween val="between"/>
      </c:valAx>
    </c:plotArea>
    <c:legend>
      <c:legendPos val="r"/>
      <c:overlay val="0"/>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strRef>
              <c:f>'Trend Review'!$C$21</c:f>
              <c:strCache>
                <c:ptCount val="1"/>
                <c:pt idx="0">
                  <c:v>Annual Paid Premium per Employee</c:v>
                </c:pt>
              </c:strCache>
            </c:strRef>
          </c:tx>
          <c:spPr>
            <a:ln>
              <a:solidFill>
                <a:srgbClr val="89A54E"/>
              </a:solidFill>
            </a:ln>
          </c:spPr>
          <c:marker>
            <c:symbol val="none"/>
          </c:marker>
          <c:cat>
            <c:strLit>
              <c:ptCount val="5"/>
              <c:pt idx="0">
                <c:v>Current Period</c:v>
              </c:pt>
              <c:pt idx="1">
                <c:v>Prior Period</c:v>
              </c:pt>
              <c:pt idx="2">
                <c:v>Period 3</c:v>
              </c:pt>
              <c:pt idx="3">
                <c:v>Period 4</c:v>
              </c:pt>
              <c:pt idx="4">
                <c:v>Period 5</c:v>
              </c:pt>
            </c:strLit>
          </c:cat>
          <c:val>
            <c:numRef>
              <c:f>'Trend Review'!$C$22:$C$26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65B-472A-B81B-38B4C5E219CB}"/>
            </c:ext>
          </c:extLst>
        </c:ser>
        <c:ser>
          <c:idx val="1"/>
          <c:order val="1"/>
          <c:tx>
            <c:strRef>
              <c:f>'Trend Review'!$D$21</c:f>
              <c:strCache>
                <c:ptCount val="1"/>
                <c:pt idx="0">
                  <c:v>Annual Paid Claims per Employee</c:v>
                </c:pt>
              </c:strCache>
            </c:strRef>
          </c:tx>
          <c:spPr>
            <a:ln>
              <a:solidFill>
                <a:srgbClr val="B5CA92"/>
              </a:solidFill>
            </a:ln>
          </c:spPr>
          <c:marker>
            <c:symbol val="none"/>
          </c:marker>
          <c:cat>
            <c:strLit>
              <c:ptCount val="5"/>
              <c:pt idx="0">
                <c:v>Current Period</c:v>
              </c:pt>
              <c:pt idx="1">
                <c:v>Prior Period</c:v>
              </c:pt>
              <c:pt idx="2">
                <c:v>Period 3</c:v>
              </c:pt>
              <c:pt idx="3">
                <c:v>Period 4</c:v>
              </c:pt>
              <c:pt idx="4">
                <c:v>Period 5</c:v>
              </c:pt>
            </c:strLit>
          </c:cat>
          <c:val>
            <c:numRef>
              <c:f>'Trend Review'!$D$22:$D$26</c:f>
              <c:numCache>
                <c:formatCode>"$"#,##0.00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65B-472A-B81B-38B4C5E219CB}"/>
            </c:ext>
          </c:extLst>
        </c:ser>
        <c:dLbls>
          <c:showLegendKey val="0"/>
          <c:showVal val="0"/>
          <c:showCatName val="0"/>
          <c:showSerName val="0"/>
          <c:showPercent val="0"/>
          <c:showBubbleSize val="0"/>
        </c:dLbls>
        <c:smooth val="0"/>
        <c:axId val="512259888"/>
        <c:axId val="512260280"/>
      </c:lineChart>
      <c:catAx>
        <c:axId val="512259888"/>
        <c:scaling>
          <c:orientation val="maxMin"/>
        </c:scaling>
        <c:delete val="0"/>
        <c:axPos val="b"/>
        <c:numFmt formatCode="General" sourceLinked="0"/>
        <c:majorTickMark val="out"/>
        <c:minorTickMark val="none"/>
        <c:tickLblPos val="nextTo"/>
        <c:crossAx val="512260280"/>
        <c:crosses val="autoZero"/>
        <c:auto val="1"/>
        <c:lblAlgn val="ctr"/>
        <c:lblOffset val="100"/>
        <c:noMultiLvlLbl val="0"/>
      </c:catAx>
      <c:valAx>
        <c:axId val="512260280"/>
        <c:scaling>
          <c:orientation val="minMax"/>
        </c:scaling>
        <c:delete val="0"/>
        <c:axPos val="r"/>
        <c:majorGridlines/>
        <c:numFmt formatCode="&quot;$&quot;#,##0.00" sourceLinked="1"/>
        <c:majorTickMark val="out"/>
        <c:minorTickMark val="none"/>
        <c:tickLblPos val="nextTo"/>
        <c:crossAx val="512259888"/>
        <c:crosses val="autoZero"/>
        <c:crossBetween val="between"/>
      </c:valAx>
    </c:plotArea>
    <c:legend>
      <c:legendPos val="r"/>
      <c:overlay val="0"/>
    </c:legend>
    <c:plotVisOnly val="1"/>
    <c:dispBlanksAs val="gap"/>
    <c:showDLblsOverMax val="0"/>
  </c:chart>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4.9501603966170898E-2"/>
          <c:y val="8.7046646329671795E-2"/>
          <c:w val="0.84360644502770488"/>
          <c:h val="0.80562699288107265"/>
        </c:manualLayout>
      </c:layout>
      <c:barChart>
        <c:barDir val="col"/>
        <c:grouping val="clustered"/>
        <c:varyColors val="0"/>
        <c:ser>
          <c:idx val="0"/>
          <c:order val="0"/>
          <c:tx>
            <c:v>Current</c:v>
          </c:tx>
          <c:spPr>
            <a:solidFill>
              <a:srgbClr val="89A54E"/>
            </a:solidFill>
          </c:spPr>
          <c:invertIfNegative val="0"/>
          <c:cat>
            <c:strRef>
              <c:f>'Long Term Disability'!$A$12:$A$21</c:f>
              <c:strCache>
                <c:ptCount val="10"/>
                <c:pt idx="0">
                  <c:v>0 - 24</c:v>
                </c:pt>
                <c:pt idx="1">
                  <c:v>25 - 29</c:v>
                </c:pt>
                <c:pt idx="2">
                  <c:v>30 - 34</c:v>
                </c:pt>
                <c:pt idx="3">
                  <c:v>35 - 39</c:v>
                </c:pt>
                <c:pt idx="4">
                  <c:v>40 - 44</c:v>
                </c:pt>
                <c:pt idx="5">
                  <c:v>45 - 49</c:v>
                </c:pt>
                <c:pt idx="6">
                  <c:v>50 - 54</c:v>
                </c:pt>
                <c:pt idx="7">
                  <c:v>55 - 59</c:v>
                </c:pt>
                <c:pt idx="8">
                  <c:v>60 - 64</c:v>
                </c:pt>
                <c:pt idx="9">
                  <c:v>65 +</c:v>
                </c:pt>
              </c:strCache>
            </c:strRef>
          </c:cat>
          <c:val>
            <c:numRef>
              <c:f>'Long Term Disability'!$D$30:$D$40</c:f>
              <c:numCache>
                <c:formatCode>_-"$"* #,##0_-;\-"$"* #,##0_-;_-"$"* "-"_-;_-@_-</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8B08-40D2-B840-69D878D6EAC4}"/>
            </c:ext>
          </c:extLst>
        </c:ser>
        <c:ser>
          <c:idx val="1"/>
          <c:order val="1"/>
          <c:tx>
            <c:v>Prior</c:v>
          </c:tx>
          <c:spPr>
            <a:solidFill>
              <a:srgbClr val="B9CD96"/>
            </a:solidFill>
          </c:spPr>
          <c:invertIfNegative val="0"/>
          <c:cat>
            <c:strRef>
              <c:f>'Long Term Disability'!$A$12:$A$21</c:f>
              <c:strCache>
                <c:ptCount val="10"/>
                <c:pt idx="0">
                  <c:v>0 - 24</c:v>
                </c:pt>
                <c:pt idx="1">
                  <c:v>25 - 29</c:v>
                </c:pt>
                <c:pt idx="2">
                  <c:v>30 - 34</c:v>
                </c:pt>
                <c:pt idx="3">
                  <c:v>35 - 39</c:v>
                </c:pt>
                <c:pt idx="4">
                  <c:v>40 - 44</c:v>
                </c:pt>
                <c:pt idx="5">
                  <c:v>45 - 49</c:v>
                </c:pt>
                <c:pt idx="6">
                  <c:v>50 - 54</c:v>
                </c:pt>
                <c:pt idx="7">
                  <c:v>55 - 59</c:v>
                </c:pt>
                <c:pt idx="8">
                  <c:v>60 - 64</c:v>
                </c:pt>
                <c:pt idx="9">
                  <c:v>65 +</c:v>
                </c:pt>
              </c:strCache>
            </c:strRef>
          </c:cat>
          <c:val>
            <c:numRef>
              <c:f>'Long Term Disability'!$E$30:$E$40</c:f>
              <c:numCache>
                <c:formatCode>_-"$"* #,##0_-;\-"$"* #,##0_-;_-"$"* "-"_-;_-@_-</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8B08-40D2-B840-69D878D6EAC4}"/>
            </c:ext>
          </c:extLst>
        </c:ser>
        <c:dLbls>
          <c:showLegendKey val="0"/>
          <c:showVal val="0"/>
          <c:showCatName val="0"/>
          <c:showSerName val="0"/>
          <c:showPercent val="0"/>
          <c:showBubbleSize val="0"/>
        </c:dLbls>
        <c:gapWidth val="150"/>
        <c:axId val="124430680"/>
        <c:axId val="473696032"/>
      </c:barChart>
      <c:catAx>
        <c:axId val="124430680"/>
        <c:scaling>
          <c:orientation val="minMax"/>
        </c:scaling>
        <c:delete val="0"/>
        <c:axPos val="b"/>
        <c:numFmt formatCode="General" sourceLinked="0"/>
        <c:majorTickMark val="out"/>
        <c:minorTickMark val="none"/>
        <c:tickLblPos val="nextTo"/>
        <c:crossAx val="473696032"/>
        <c:crosses val="autoZero"/>
        <c:auto val="1"/>
        <c:lblAlgn val="ctr"/>
        <c:lblOffset val="100"/>
        <c:noMultiLvlLbl val="0"/>
      </c:catAx>
      <c:valAx>
        <c:axId val="473696032"/>
        <c:scaling>
          <c:orientation val="minMax"/>
        </c:scaling>
        <c:delete val="0"/>
        <c:axPos val="l"/>
        <c:majorGridlines/>
        <c:numFmt formatCode="_-&quot;$&quot;* #,##0_-;\-&quot;$&quot;* #,##0_-;_-&quot;$&quot;* &quot;-&quot;_-;_-@_-" sourceLinked="1"/>
        <c:majorTickMark val="out"/>
        <c:minorTickMark val="none"/>
        <c:tickLblPos val="nextTo"/>
        <c:crossAx val="124430680"/>
        <c:crosses val="autoZero"/>
        <c:crossBetween val="between"/>
      </c:valAx>
    </c:plotArea>
    <c:legend>
      <c:legendPos val="r"/>
      <c:overlay val="0"/>
    </c:legend>
    <c:plotVisOnly val="1"/>
    <c:dispBlanksAs val="gap"/>
    <c:showDLblsOverMax val="0"/>
  </c:chart>
  <c:spPr>
    <a:solidFill>
      <a:schemeClr val="bg1"/>
    </a:solidFill>
  </c:spPr>
  <c:txPr>
    <a:bodyPr/>
    <a:lstStyle/>
    <a:p>
      <a:pPr>
        <a:defRPr sz="800">
          <a:latin typeface="Arial" panose="020B0604020202020204" pitchFamily="34" charset="0"/>
          <a:cs typeface="Arial" panose="020B0604020202020204" pitchFamily="34" charset="0"/>
        </a:defRPr>
      </a:pPr>
      <a:endParaRPr lang="en-US"/>
    </a:p>
  </c:txPr>
  <c:printSettings>
    <c:headerFooter>
      <c:oddHeader>&amp;L&amp;"Arial,Regular"&amp;9&amp;K4C5B52Page &amp;P&amp;R&amp;"Arial,Regular"&amp;9&amp;K4C5B52NFP Canada</c:oddHeader>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Current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4753504052462649"/>
          <c:y val="0.13428696612319013"/>
          <c:w val="0.59769356955380581"/>
          <c:h val="0.6314009113492352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37-41BB-A4AD-C6F5C5F46E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37-41BB-A4AD-C6F5C5F46E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37-41BB-A4AD-C6F5C5F46E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37-41BB-A4AD-C6F5C5F46E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37-41BB-A4AD-C6F5C5F46E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37-41BB-A4AD-C6F5C5F46EE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Breakdown'!$A$8:$A$13</c:f>
              <c:strCache>
                <c:ptCount val="6"/>
                <c:pt idx="0">
                  <c:v>Drugs</c:v>
                </c:pt>
                <c:pt idx="1">
                  <c:v>Paramedical Practitioners</c:v>
                </c:pt>
                <c:pt idx="2">
                  <c:v>Medical Services &amp; Supplies</c:v>
                </c:pt>
                <c:pt idx="3">
                  <c:v>Vision Care</c:v>
                </c:pt>
                <c:pt idx="4">
                  <c:v>Hospital</c:v>
                </c:pt>
                <c:pt idx="5">
                  <c:v>Out-of-Country</c:v>
                </c:pt>
              </c:strCache>
            </c:strRef>
          </c:cat>
          <c:val>
            <c:numRef>
              <c:f>'EHC Breakdown'!$B$8:$B$13</c:f>
              <c:numCache>
                <c:formatCode>_-"$"* #,##0.00_-;\-"$"* #,##0.00_-;_-"$"* "-"??_-;_-@_-</c:formatCode>
                <c:ptCount val="6"/>
                <c:pt idx="1">
                  <c:v>0</c:v>
                </c:pt>
              </c:numCache>
            </c:numRef>
          </c:val>
          <c:extLst>
            <c:ext xmlns:c16="http://schemas.microsoft.com/office/drawing/2014/chart" uri="{C3380CC4-5D6E-409C-BE32-E72D297353CC}">
              <c16:uniqueId val="{0000000C-5837-41BB-A4AD-C6F5C5F46EE5}"/>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2.7594654116511325E-2"/>
          <c:y val="0.76085415090781117"/>
          <c:w val="0.94864210939149829"/>
          <c:h val="0.21713760553198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Prior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760346672208497"/>
          <c:y val="0.13428696612319013"/>
          <c:w val="0.6691524849716366"/>
          <c:h val="0.6277328707558675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20-418B-804D-CF09D9B245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20-418B-804D-CF09D9B245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20-418B-804D-CF09D9B245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20-418B-804D-CF09D9B245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20-418B-804D-CF09D9B245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20-418B-804D-CF09D9B2454C}"/>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Breakdown'!$A$8:$A$13</c:f>
              <c:strCache>
                <c:ptCount val="6"/>
                <c:pt idx="0">
                  <c:v>Drugs</c:v>
                </c:pt>
                <c:pt idx="1">
                  <c:v>Paramedical Practitioners</c:v>
                </c:pt>
                <c:pt idx="2">
                  <c:v>Medical Services &amp; Supplies</c:v>
                </c:pt>
                <c:pt idx="3">
                  <c:v>Vision Care</c:v>
                </c:pt>
                <c:pt idx="4">
                  <c:v>Hospital</c:v>
                </c:pt>
                <c:pt idx="5">
                  <c:v>Out-of-Country</c:v>
                </c:pt>
              </c:strCache>
            </c:strRef>
          </c:cat>
          <c:val>
            <c:numRef>
              <c:f>'EHC Breakdown'!$E$8:$E$13</c:f>
              <c:numCache>
                <c:formatCode>_-"$"* #,##0.00_-;\-"$"* #,##0.00_-;_-"$"* "-"??_-;_-@_-</c:formatCode>
                <c:ptCount val="6"/>
                <c:pt idx="1">
                  <c:v>0</c:v>
                </c:pt>
              </c:numCache>
            </c:numRef>
          </c:val>
          <c:extLst>
            <c:ext xmlns:c16="http://schemas.microsoft.com/office/drawing/2014/chart" uri="{C3380CC4-5D6E-409C-BE32-E72D297353CC}">
              <c16:uniqueId val="{0000000C-2120-418B-804D-CF09D9B2454C}"/>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Current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4753504052462649"/>
          <c:y val="0.13428696612319013"/>
          <c:w val="0.59769356955380581"/>
          <c:h val="0.6314009113492352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DC-42D5-8A05-F81A88EDA3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DC-42D5-8A05-F81A88EDA3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DC-42D5-8A05-F81A88EDA3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DC-42D5-8A05-F81A88EDA3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C-42D5-8A05-F81A88EDA3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DC-42D5-8A05-F81A88EDA3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CDC-42D5-8A05-F81A88EDA3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CDC-42D5-8A05-F81A88EDA3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CDC-42D5-8A05-F81A88EDA3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CDC-42D5-8A05-F81A88EDA31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CDC-42D5-8A05-F81A88EDA31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CDC-42D5-8A05-F81A88EDA31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(2)'!$A$8:$A$19</c:f>
              <c:strCache>
                <c:ptCount val="12"/>
                <c:pt idx="0">
                  <c:v>Massage Therapist</c:v>
                </c:pt>
                <c:pt idx="1">
                  <c:v>Chiropractor</c:v>
                </c:pt>
                <c:pt idx="2">
                  <c:v>Physiotherapist</c:v>
                </c:pt>
                <c:pt idx="3">
                  <c:v>Psychologist</c:v>
                </c:pt>
                <c:pt idx="4">
                  <c:v>Acupuncturist</c:v>
                </c:pt>
                <c:pt idx="5">
                  <c:v>Naturopath</c:v>
                </c:pt>
                <c:pt idx="6">
                  <c:v>Dietician</c:v>
                </c:pt>
                <c:pt idx="7">
                  <c:v>Osteopath</c:v>
                </c:pt>
                <c:pt idx="8">
                  <c:v>Podiatrist/Chiropodist</c:v>
                </c:pt>
                <c:pt idx="9">
                  <c:v>Homeopath</c:v>
                </c:pt>
                <c:pt idx="10">
                  <c:v>Speech Therapist </c:v>
                </c:pt>
                <c:pt idx="11">
                  <c:v>Audiologist</c:v>
                </c:pt>
              </c:strCache>
            </c:strRef>
          </c:cat>
          <c:val>
            <c:numRef>
              <c:f>'EHC Breakdown (2)'!$B$8:$B$19</c:f>
              <c:numCache>
                <c:formatCode>_-"$"* #,##0.00_-;\-"$"* #,##0.00_-;_-"$"* "-"??_-;_-@_-</c:formatCode>
                <c:ptCount val="12"/>
              </c:numCache>
            </c:numRef>
          </c:val>
          <c:extLst>
            <c:ext xmlns:c16="http://schemas.microsoft.com/office/drawing/2014/chart" uri="{C3380CC4-5D6E-409C-BE32-E72D297353CC}">
              <c16:uniqueId val="{00000018-7CDC-42D5-8A05-F81A88EDA314}"/>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8529422952565724E-2"/>
          <c:y val="0.74985002912770815"/>
          <c:w val="0.96294084978508132"/>
          <c:h val="0.22814172731208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Prior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5760346672208497"/>
          <c:y val="0.13428696612319013"/>
          <c:w val="0.6691524849716366"/>
          <c:h val="0.62773287075586759"/>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73-41F5-8170-14917A53A8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73-41F5-8170-14917A53A8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73-41F5-8170-14917A53A8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73-41F5-8170-14917A53A8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73-41F5-8170-14917A53A8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73-41F5-8170-14917A53A8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473-41F5-8170-14917A53A8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473-41F5-8170-14917A53A8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473-41F5-8170-14917A53A8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473-41F5-8170-14917A53A8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473-41F5-8170-14917A53A8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473-41F5-8170-14917A53A8B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(2)'!$A$8:$A$19</c:f>
              <c:strCache>
                <c:ptCount val="12"/>
                <c:pt idx="0">
                  <c:v>Massage Therapist</c:v>
                </c:pt>
                <c:pt idx="1">
                  <c:v>Chiropractor</c:v>
                </c:pt>
                <c:pt idx="2">
                  <c:v>Physiotherapist</c:v>
                </c:pt>
                <c:pt idx="3">
                  <c:v>Psychologist</c:v>
                </c:pt>
                <c:pt idx="4">
                  <c:v>Acupuncturist</c:v>
                </c:pt>
                <c:pt idx="5">
                  <c:v>Naturopath</c:v>
                </c:pt>
                <c:pt idx="6">
                  <c:v>Dietician</c:v>
                </c:pt>
                <c:pt idx="7">
                  <c:v>Osteopath</c:v>
                </c:pt>
                <c:pt idx="8">
                  <c:v>Podiatrist/Chiropodist</c:v>
                </c:pt>
                <c:pt idx="9">
                  <c:v>Homeopath</c:v>
                </c:pt>
                <c:pt idx="10">
                  <c:v>Speech Therapist </c:v>
                </c:pt>
                <c:pt idx="11">
                  <c:v>Audiologist</c:v>
                </c:pt>
              </c:strCache>
            </c:strRef>
          </c:cat>
          <c:val>
            <c:numRef>
              <c:f>'EHC Breakdown (2)'!$E$8:$E$19</c:f>
              <c:numCache>
                <c:formatCode>_-"$"* #,##0.00_-;\-"$"* #,##0.00_-;_-"$"* "-"??_-;_-@_-</c:formatCode>
                <c:ptCount val="12"/>
              </c:numCache>
            </c:numRef>
          </c:val>
          <c:extLst>
            <c:ext xmlns:c16="http://schemas.microsoft.com/office/drawing/2014/chart" uri="{C3380CC4-5D6E-409C-BE32-E72D297353CC}">
              <c16:uniqueId val="{00000018-4473-41F5-8170-14917A53A8B3}"/>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oddFooter>&amp;L&amp;"Arial,Bold"&amp;8&amp;K4C5B52Renewal Report.&amp;"Arial,Regular" Insurance services provided through NFP Canada, 
a subsidiary of NFP Corp. (NFP).&amp;R&amp;G</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Current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8818794463669544"/>
          <c:y val="0.13023473753650044"/>
          <c:w val="0.59769356955380581"/>
          <c:h val="0.6314009113492352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37-4B0C-BB7A-CE4C57F94D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37-4B0C-BB7A-CE4C57F94D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37-4B0C-BB7A-CE4C57F94D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37-4B0C-BB7A-CE4C57F94D3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37-4B0C-BB7A-CE4C57F94D3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37-4B0C-BB7A-CE4C57F94D39}"/>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 w S&amp;S'!$A$8:$A$13</c:f>
              <c:strCache>
                <c:ptCount val="6"/>
                <c:pt idx="0">
                  <c:v>Drugs</c:v>
                </c:pt>
                <c:pt idx="1">
                  <c:v>Paramedical Practitioners</c:v>
                </c:pt>
                <c:pt idx="2">
                  <c:v>Medical Services &amp; Supplies</c:v>
                </c:pt>
                <c:pt idx="3">
                  <c:v>Vision Care</c:v>
                </c:pt>
                <c:pt idx="4">
                  <c:v>Hospital</c:v>
                </c:pt>
                <c:pt idx="5">
                  <c:v>Out-of-Country</c:v>
                </c:pt>
              </c:strCache>
            </c:strRef>
          </c:cat>
          <c:val>
            <c:numRef>
              <c:f>'EHC Breakdown - w S&amp;S'!$B$8:$B$13</c:f>
              <c:numCache>
                <c:formatCode>_("$"* #,##0.00_);_("$"* \(#,##0.00\);_("$"* "-"??_);_(@_)</c:formatCode>
                <c:ptCount val="6"/>
                <c:pt idx="1">
                  <c:v>0</c:v>
                </c:pt>
                <c:pt idx="2">
                  <c:v>0</c:v>
                </c:pt>
              </c:numCache>
            </c:numRef>
          </c:val>
          <c:extLst>
            <c:ext xmlns:c16="http://schemas.microsoft.com/office/drawing/2014/chart" uri="{C3380CC4-5D6E-409C-BE32-E72D297353CC}">
              <c16:uniqueId val="{0000000C-9437-4B0C-BB7A-CE4C57F94D39}"/>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8.1685008672161608E-2"/>
          <c:y val="0.7382576198319678"/>
          <c:w val="0.86002179552117375"/>
          <c:h val="0.24330920490361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Prior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7719262569656272"/>
          <c:y val="0.20507207689492288"/>
          <c:w val="0.60508855312004917"/>
          <c:h val="0.46427312657041897"/>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AB-4F7E-8E92-F174E273B7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AB-4F7E-8E92-F174E273B7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AB-4F7E-8E92-F174E273B7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AB-4F7E-8E92-F174E273B7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AB-4F7E-8E92-F174E273B7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3AB-4F7E-8E92-F174E273B70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 w S&amp;S'!$A$8:$A$13</c:f>
              <c:strCache>
                <c:ptCount val="6"/>
                <c:pt idx="0">
                  <c:v>Drugs</c:v>
                </c:pt>
                <c:pt idx="1">
                  <c:v>Paramedical Practitioners</c:v>
                </c:pt>
                <c:pt idx="2">
                  <c:v>Medical Services &amp; Supplies</c:v>
                </c:pt>
                <c:pt idx="3">
                  <c:v>Vision Care</c:v>
                </c:pt>
                <c:pt idx="4">
                  <c:v>Hospital</c:v>
                </c:pt>
                <c:pt idx="5">
                  <c:v>Out-of-Country</c:v>
                </c:pt>
              </c:strCache>
            </c:strRef>
          </c:cat>
          <c:val>
            <c:numRef>
              <c:f>'EHC Breakdown - w S&amp;S'!$E$8:$E$13</c:f>
              <c:numCache>
                <c:formatCode>_("$"* #,##0.00_);_("$"* \(#,##0.00\);_("$"* "-"??_);_(@_)</c:formatCode>
                <c:ptCount val="6"/>
                <c:pt idx="1">
                  <c:v>0</c:v>
                </c:pt>
                <c:pt idx="2">
                  <c:v>0</c:v>
                </c:pt>
              </c:numCache>
            </c:numRef>
          </c:val>
          <c:extLst>
            <c:ext xmlns:c16="http://schemas.microsoft.com/office/drawing/2014/chart" uri="{C3380CC4-5D6E-409C-BE32-E72D297353CC}">
              <c16:uniqueId val="{0000000C-E3AB-4F7E-8E92-F174E273B70B}"/>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5.4852634687984757E-2"/>
          <c:y val="0.72724192234591367"/>
          <c:w val="0.89451447074172874"/>
          <c:h val="0.25126994237089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a:solidFill>
                  <a:schemeClr val="tx1"/>
                </a:solidFill>
              </a:rPr>
              <a:t>Current Period</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6768071122029"/>
          <c:y val="0.16450444177060966"/>
          <c:w val="0.58205981912428073"/>
          <c:h val="0.44365078905122596"/>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B-45E2-B0A9-E80595EF85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3B-45E2-B0A9-E80595EF85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3B-45E2-B0A9-E80595EF85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3B-45E2-B0A9-E80595EF85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3B-45E2-B0A9-E80595EF85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3B-45E2-B0A9-E80595EF85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3B-45E2-B0A9-E80595EF85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3B-45E2-B0A9-E80595EF85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83B-45E2-B0A9-E80595EF85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83B-45E2-B0A9-E80595EF85B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83B-45E2-B0A9-E80595EF85B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83B-45E2-B0A9-E80595EF85B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'EHC Breakdown w S&amp;S (2)'!$A$8:$A$19</c:f>
              <c:strCache>
                <c:ptCount val="12"/>
                <c:pt idx="0">
                  <c:v>Massage Therapist</c:v>
                </c:pt>
                <c:pt idx="1">
                  <c:v>Chiropractor</c:v>
                </c:pt>
                <c:pt idx="2">
                  <c:v>Physiotherapist</c:v>
                </c:pt>
                <c:pt idx="3">
                  <c:v>Psychologist</c:v>
                </c:pt>
                <c:pt idx="4">
                  <c:v>Acupuncturist</c:v>
                </c:pt>
                <c:pt idx="5">
                  <c:v>Naturopath</c:v>
                </c:pt>
                <c:pt idx="6">
                  <c:v>Dietician</c:v>
                </c:pt>
                <c:pt idx="7">
                  <c:v>Osteopath</c:v>
                </c:pt>
                <c:pt idx="8">
                  <c:v>Podiatrist/Chiropodist</c:v>
                </c:pt>
                <c:pt idx="9">
                  <c:v>Homeopath</c:v>
                </c:pt>
                <c:pt idx="10">
                  <c:v>Speech Therapist </c:v>
                </c:pt>
                <c:pt idx="11">
                  <c:v>Audiologist</c:v>
                </c:pt>
              </c:strCache>
            </c:strRef>
          </c:cat>
          <c:val>
            <c:numRef>
              <c:f>'EHC Breakdown w S&amp;S (2)'!$B$8:$B$19</c:f>
              <c:numCache>
                <c:formatCode>_-"$"* #,##0.00_-;\-"$"* #,##0.00_-;_-"$"* "-"??_-;_-@_-</c:formatCode>
                <c:ptCount val="12"/>
              </c:numCache>
            </c:numRef>
          </c:val>
          <c:extLst>
            <c:ext xmlns:c16="http://schemas.microsoft.com/office/drawing/2014/chart" uri="{C3380CC4-5D6E-409C-BE32-E72D297353CC}">
              <c16:uniqueId val="{00000018-983B-45E2-B0A9-E80595EF85BB}"/>
            </c:ext>
          </c:extLst>
        </c:ser>
        <c:dLbls>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2.3956601525087915E-2"/>
          <c:y val="0.75300015112763941"/>
          <c:w val="0.95200462059234225"/>
          <c:h val="0.236315035595240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0.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1.JPG"/></Relationships>
</file>

<file path=xl/drawings/_rels/drawing19.xml.rels><?xml version="1.0" encoding="UTF-8" standalone="yes"?>
<Relationships xmlns="http://schemas.openxmlformats.org/package/2006/relationships"><Relationship Id="rId1" Type="http://schemas.openxmlformats.org/officeDocument/2006/relationships/image" Target="../media/image1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vmlDrawing1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4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4.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5.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5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2.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3.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4.vml.rels><?xml version="1.0" encoding="UTF-8" standalone="yes"?>
<Relationships xmlns="http://schemas.openxmlformats.org/package/2006/relationships"><Relationship Id="rId1" Type="http://schemas.openxmlformats.org/officeDocument/2006/relationships/image" Target="../media/image15.jpeg"/></Relationships>
</file>

<file path=xl/drawings/_rels/vmlDrawing65.vml.rels><?xml version="1.0" encoding="UTF-8" standalone="yes"?>
<Relationships xmlns="http://schemas.openxmlformats.org/package/2006/relationships"><Relationship Id="rId1" Type="http://schemas.openxmlformats.org/officeDocument/2006/relationships/image" Target="../media/image15.jpeg"/></Relationships>
</file>

<file path=xl/drawings/_rels/vmlDrawing66.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15.jpe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15.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70.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71.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38100</xdr:colOff>
          <xdr:row>5</xdr:row>
          <xdr:rowOff>25400</xdr:rowOff>
        </xdr:from>
        <xdr:to>
          <xdr:col>15</xdr:col>
          <xdr:colOff>558800</xdr:colOff>
          <xdr:row>6</xdr:row>
          <xdr:rowOff>419100</xdr:rowOff>
        </xdr:to>
        <xdr:sp macro="" textlink="">
          <xdr:nvSpPr>
            <xdr:cNvPr id="9217" name="Button 1"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0" i="0" u="none" strike="noStrike" baseline="0">
                  <a:solidFill>
                    <a:srgbClr val="000000"/>
                  </a:solidFill>
                  <a:latin typeface="Calibri" pitchFamily="2" charset="0"/>
                  <a:cs typeface="Calibri" pitchFamily="2" charset="0"/>
                </a:rPr>
                <a:t>Finalize Revenue Report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38100</xdr:colOff>
      <xdr:row>22</xdr:row>
      <xdr:rowOff>19051</xdr:rowOff>
    </xdr:from>
    <xdr:to>
      <xdr:col>3</xdr:col>
      <xdr:colOff>28575</xdr:colOff>
      <xdr:row>45</xdr:row>
      <xdr:rowOff>123825</xdr:rowOff>
    </xdr:to>
    <xdr:graphicFrame macro="">
      <xdr:nvGraphicFramePr>
        <xdr:cNvPr id="4" name="Chart 3">
          <a:extLst>
            <a:ext uri="{FF2B5EF4-FFF2-40B4-BE49-F238E27FC236}">
              <a16:creationId xmlns:a16="http://schemas.microsoft.com/office/drawing/2014/main" i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22</xdr:row>
      <xdr:rowOff>19050</xdr:rowOff>
    </xdr:from>
    <xdr:to>
      <xdr:col>8</xdr:col>
      <xdr:colOff>638175</xdr:colOff>
      <xdr:row>45</xdr:row>
      <xdr:rowOff>123825</xdr:rowOff>
    </xdr:to>
    <xdr:graphicFrame macro="">
      <xdr:nvGraphicFramePr>
        <xdr:cNvPr id="5" name="Chart 4">
          <a:extLst>
            <a:ext uri="{FF2B5EF4-FFF2-40B4-BE49-F238E27FC236}">
              <a16:creationId xmlns:a16="http://schemas.microsoft.com/office/drawing/2014/main" id="{00000000-0008-0000-1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28575</xdr:colOff>
      <xdr:row>17</xdr:row>
      <xdr:rowOff>161925</xdr:rowOff>
    </xdr:from>
    <xdr:to>
      <xdr:col>3</xdr:col>
      <xdr:colOff>123825</xdr:colOff>
      <xdr:row>34</xdr:row>
      <xdr:rowOff>161925</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17</xdr:row>
      <xdr:rowOff>161926</xdr:rowOff>
    </xdr:from>
    <xdr:to>
      <xdr:col>8</xdr:col>
      <xdr:colOff>647700</xdr:colOff>
      <xdr:row>34</xdr:row>
      <xdr:rowOff>161926</xdr:rowOff>
    </xdr:to>
    <xdr:graphicFrame macro="">
      <xdr:nvGraphicFramePr>
        <xdr:cNvPr id="3" name="Chart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101203</xdr:colOff>
      <xdr:row>27</xdr:row>
      <xdr:rowOff>3571</xdr:rowOff>
    </xdr:from>
    <xdr:to>
      <xdr:col>5</xdr:col>
      <xdr:colOff>773907</xdr:colOff>
      <xdr:row>38</xdr:row>
      <xdr:rowOff>35719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101203</xdr:colOff>
      <xdr:row>27</xdr:row>
      <xdr:rowOff>3571</xdr:rowOff>
    </xdr:from>
    <xdr:to>
      <xdr:col>5</xdr:col>
      <xdr:colOff>990600</xdr:colOff>
      <xdr:row>38</xdr:row>
      <xdr:rowOff>35719</xdr:rowOff>
    </xdr:to>
    <xdr:graphicFrame macro="">
      <xdr:nvGraphicFramePr>
        <xdr:cNvPr id="3" name="Chart 2">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11906</xdr:colOff>
      <xdr:row>1</xdr:row>
      <xdr:rowOff>238125</xdr:rowOff>
    </xdr:from>
    <xdr:to>
      <xdr:col>6</xdr:col>
      <xdr:colOff>511968</xdr:colOff>
      <xdr:row>44</xdr:row>
      <xdr:rowOff>178593</xdr:rowOff>
    </xdr:to>
    <xdr:pic>
      <xdr:nvPicPr>
        <xdr:cNvPr id="2" name="Pictur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06" y="428625"/>
          <a:ext cx="7072312" cy="8203406"/>
        </a:xfrm>
        <a:prstGeom prst="rect">
          <a:avLst/>
        </a:prstGeom>
      </xdr:spPr>
    </xdr:pic>
    <xdr:clientData/>
  </xdr:twoCellAnchor>
  <xdr:twoCellAnchor>
    <xdr:from>
      <xdr:col>2</xdr:col>
      <xdr:colOff>2286000</xdr:colOff>
      <xdr:row>30</xdr:row>
      <xdr:rowOff>154781</xdr:rowOff>
    </xdr:from>
    <xdr:to>
      <xdr:col>6</xdr:col>
      <xdr:colOff>333375</xdr:colOff>
      <xdr:row>35</xdr:row>
      <xdr:rowOff>178593</xdr:rowOff>
    </xdr:to>
    <xdr:sp macro="" textlink="">
      <xdr:nvSpPr>
        <xdr:cNvPr id="3" name="Rectangle 2">
          <a:extLst>
            <a:ext uri="{FF2B5EF4-FFF2-40B4-BE49-F238E27FC236}">
              <a16:creationId xmlns:a16="http://schemas.microsoft.com/office/drawing/2014/main" id="{00000000-0008-0000-3100-000003000000}"/>
            </a:ext>
          </a:extLst>
        </xdr:cNvPr>
        <xdr:cNvSpPr/>
      </xdr:nvSpPr>
      <xdr:spPr>
        <a:xfrm>
          <a:off x="4393406" y="5941219"/>
          <a:ext cx="2512219" cy="9763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523875</xdr:colOff>
      <xdr:row>49</xdr:row>
      <xdr:rowOff>8403</xdr:rowOff>
    </xdr:to>
    <xdr:pic>
      <xdr:nvPicPr>
        <xdr:cNvPr id="3" name="Picture 2">
          <a:extLst>
            <a:ext uri="{FF2B5EF4-FFF2-40B4-BE49-F238E27FC236}">
              <a16:creationId xmlns:a16="http://schemas.microsoft.com/office/drawing/2014/main" id="{00000000-0008-0000-3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96125" cy="94143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202410</xdr:colOff>
      <xdr:row>2</xdr:row>
      <xdr:rowOff>11906</xdr:rowOff>
    </xdr:from>
    <xdr:to>
      <xdr:col>5</xdr:col>
      <xdr:colOff>261939</xdr:colOff>
      <xdr:row>45</xdr:row>
      <xdr:rowOff>71437</xdr:rowOff>
    </xdr:to>
    <xdr:pic>
      <xdr:nvPicPr>
        <xdr:cNvPr id="3" name="Picture 2">
          <a:extLst>
            <a:ext uri="{FF2B5EF4-FFF2-40B4-BE49-F238E27FC236}">
              <a16:creationId xmlns:a16="http://schemas.microsoft.com/office/drawing/2014/main" id="{00000000-0008-0000-3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410" y="464344"/>
          <a:ext cx="6131717" cy="825103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142877</xdr:colOff>
      <xdr:row>1</xdr:row>
      <xdr:rowOff>197198</xdr:rowOff>
    </xdr:from>
    <xdr:to>
      <xdr:col>5</xdr:col>
      <xdr:colOff>71438</xdr:colOff>
      <xdr:row>45</xdr:row>
      <xdr:rowOff>0</xdr:rowOff>
    </xdr:to>
    <xdr:pic>
      <xdr:nvPicPr>
        <xdr:cNvPr id="3" name="Picture 2">
          <a:extLst>
            <a:ext uri="{FF2B5EF4-FFF2-40B4-BE49-F238E27FC236}">
              <a16:creationId xmlns:a16="http://schemas.microsoft.com/office/drawing/2014/main" id="{00000000-0008-0000-3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7" y="387698"/>
          <a:ext cx="6000749" cy="82562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23812</xdr:colOff>
      <xdr:row>1</xdr:row>
      <xdr:rowOff>178594</xdr:rowOff>
    </xdr:from>
    <xdr:to>
      <xdr:col>5</xdr:col>
      <xdr:colOff>285748</xdr:colOff>
      <xdr:row>45</xdr:row>
      <xdr:rowOff>71437</xdr:rowOff>
    </xdr:to>
    <xdr:pic>
      <xdr:nvPicPr>
        <xdr:cNvPr id="3" name="Picture 2">
          <a:extLst>
            <a:ext uri="{FF2B5EF4-FFF2-40B4-BE49-F238E27FC236}">
              <a16:creationId xmlns:a16="http://schemas.microsoft.com/office/drawing/2014/main" id="{00000000-0008-0000-3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31" y="369094"/>
          <a:ext cx="6107905" cy="834628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7938</xdr:colOff>
      <xdr:row>1</xdr:row>
      <xdr:rowOff>71439</xdr:rowOff>
    </xdr:from>
    <xdr:to>
      <xdr:col>5</xdr:col>
      <xdr:colOff>277813</xdr:colOff>
      <xdr:row>45</xdr:row>
      <xdr:rowOff>56675</xdr:rowOff>
    </xdr:to>
    <xdr:pic>
      <xdr:nvPicPr>
        <xdr:cNvPr id="2" name="Pictur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6063" y="254002"/>
          <a:ext cx="6238875" cy="809736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95250</xdr:colOff>
      <xdr:row>1</xdr:row>
      <xdr:rowOff>47625</xdr:rowOff>
    </xdr:from>
    <xdr:to>
      <xdr:col>5</xdr:col>
      <xdr:colOff>233556</xdr:colOff>
      <xdr:row>45</xdr:row>
      <xdr:rowOff>142875</xdr:rowOff>
    </xdr:to>
    <xdr:pic>
      <xdr:nvPicPr>
        <xdr:cNvPr id="4" name="Picture 3">
          <a:extLst>
            <a:ext uri="{FF2B5EF4-FFF2-40B4-BE49-F238E27FC236}">
              <a16:creationId xmlns:a16="http://schemas.microsoft.com/office/drawing/2014/main" id="{00000000-0008-0000-37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30188"/>
          <a:ext cx="6345431" cy="8207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10583</xdr:colOff>
      <xdr:row>0</xdr:row>
      <xdr:rowOff>111104</xdr:rowOff>
    </xdr:from>
    <xdr:to>
      <xdr:col>8</xdr:col>
      <xdr:colOff>687917</xdr:colOff>
      <xdr:row>20</xdr:row>
      <xdr:rowOff>136670</xdr:rowOff>
    </xdr:to>
    <xdr:pic>
      <xdr:nvPicPr>
        <xdr:cNvPr id="16" name="Picture 15">
          <a:extLst>
            <a:ext uri="{FF2B5EF4-FFF2-40B4-BE49-F238E27FC236}">
              <a16:creationId xmlns:a16="http://schemas.microsoft.com/office/drawing/2014/main" id="{00000000-0008-0000-0200-00001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3" y="111104"/>
          <a:ext cx="6773334" cy="3835566"/>
        </a:xfrm>
        <a:prstGeom prst="rect">
          <a:avLst/>
        </a:prstGeom>
      </xdr:spPr>
    </xdr:pic>
    <xdr:clientData/>
  </xdr:twoCellAnchor>
  <xdr:oneCellAnchor>
    <xdr:from>
      <xdr:col>0</xdr:col>
      <xdr:colOff>477834</xdr:colOff>
      <xdr:row>0</xdr:row>
      <xdr:rowOff>74084</xdr:rowOff>
    </xdr:from>
    <xdr:ext cx="3004083" cy="5069416"/>
    <xdr:sp macro="" textlink="'General Information - DNP'!D2">
      <xdr:nvSpPr>
        <xdr:cNvPr id="15" name="TextBox 14">
          <a:extLst>
            <a:ext uri="{FF2B5EF4-FFF2-40B4-BE49-F238E27FC236}">
              <a16:creationId xmlns:a16="http://schemas.microsoft.com/office/drawing/2014/main" id="{00000000-0008-0000-0200-00000F000000}"/>
            </a:ext>
          </a:extLst>
        </xdr:cNvPr>
        <xdr:cNvSpPr txBox="1"/>
      </xdr:nvSpPr>
      <xdr:spPr>
        <a:xfrm>
          <a:off x="477834" y="74084"/>
          <a:ext cx="3004083" cy="5069416"/>
        </a:xfrm>
        <a:prstGeom prst="rect">
          <a:avLst/>
        </a:prstGeom>
        <a:solidFill>
          <a:srgbClr val="FFFFFF">
            <a:alpha val="74118"/>
          </a:srgbClr>
        </a:solidFill>
        <a:effectLst>
          <a:outerShdw blurRad="114300" dist="25400" sx="101000" sy="101000" algn="tl" rotWithShape="0">
            <a:schemeClr val="bg1">
              <a:lumMod val="65000"/>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l"/>
          <a:fld id="{1992A4C1-146C-4767-B1FB-80FA1B1009BC}" type="TxLink">
            <a:rPr lang="en-US" sz="1200" b="0" i="0" u="none" strike="noStrike">
              <a:solidFill>
                <a:schemeClr val="tx1"/>
              </a:solidFill>
              <a:latin typeface="Arial"/>
              <a:cs typeface="Arial"/>
            </a:rPr>
            <a:pPr algn="l"/>
            <a:t>Renewal Report
Effective Month 1, Year
</a:t>
          </a:fld>
          <a:endParaRPr lang="en-US" sz="1100">
            <a:solidFill>
              <a:schemeClr val="tx1"/>
            </a:solidFill>
          </a:endParaRPr>
        </a:p>
      </xdr:txBody>
    </xdr:sp>
    <xdr:clientData/>
  </xdr:oneCellAnchor>
  <xdr:twoCellAnchor>
    <xdr:from>
      <xdr:col>0</xdr:col>
      <xdr:colOff>510111</xdr:colOff>
      <xdr:row>27</xdr:row>
      <xdr:rowOff>126999</xdr:rowOff>
    </xdr:from>
    <xdr:to>
      <xdr:col>4</xdr:col>
      <xdr:colOff>391583</xdr:colOff>
      <xdr:row>28</xdr:row>
      <xdr:rowOff>74082</xdr:rowOff>
    </xdr:to>
    <xdr:sp macro="" textlink="">
      <xdr:nvSpPr>
        <xdr:cNvPr id="17" name="Round Same Side Corner Rectangle 16">
          <a:extLst>
            <a:ext uri="{FF2B5EF4-FFF2-40B4-BE49-F238E27FC236}">
              <a16:creationId xmlns:a16="http://schemas.microsoft.com/office/drawing/2014/main" id="{00000000-0008-0000-0200-000011000000}"/>
            </a:ext>
          </a:extLst>
        </xdr:cNvPr>
        <xdr:cNvSpPr/>
      </xdr:nvSpPr>
      <xdr:spPr>
        <a:xfrm rot="10800000">
          <a:off x="510111" y="5323416"/>
          <a:ext cx="2971805" cy="137583"/>
        </a:xfrm>
        <a:prstGeom prst="round2SameRect">
          <a:avLst/>
        </a:prstGeom>
        <a:solidFill>
          <a:srgbClr val="4F9237"/>
        </a:solidFill>
        <a:ln>
          <a:solidFill>
            <a:srgbClr val="4F923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499002</xdr:colOff>
      <xdr:row>20</xdr:row>
      <xdr:rowOff>116418</xdr:rowOff>
    </xdr:from>
    <xdr:to>
      <xdr:col>4</xdr:col>
      <xdr:colOff>222250</xdr:colOff>
      <xdr:row>23</xdr:row>
      <xdr:rowOff>63501</xdr:rowOff>
    </xdr:to>
    <xdr:sp macro="" textlink="GroupName">
      <xdr:nvSpPr>
        <xdr:cNvPr id="6" name="TextBox 5">
          <a:extLst>
            <a:ext uri="{FF2B5EF4-FFF2-40B4-BE49-F238E27FC236}">
              <a16:creationId xmlns:a16="http://schemas.microsoft.com/office/drawing/2014/main" id="{00000000-0008-0000-0200-000006000000}"/>
            </a:ext>
          </a:extLst>
        </xdr:cNvPr>
        <xdr:cNvSpPr txBox="1"/>
      </xdr:nvSpPr>
      <xdr:spPr>
        <a:xfrm>
          <a:off x="499002" y="3926418"/>
          <a:ext cx="2813581" cy="529166"/>
        </a:xfrm>
        <a:prstGeom prst="rect">
          <a:avLst/>
        </a:prstGeom>
        <a:noFill/>
        <a:effectLst>
          <a:outerShdw blurRad="114300" dist="25400" sx="101000" sy="101000" algn="tl" rotWithShape="0">
            <a:schemeClr val="bg1">
              <a:lumMod val="65000"/>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fld id="{A9D1A630-FC3F-44A6-A9C0-27E4547AF56A}" type="TxLink">
            <a:rPr lang="en-US" sz="1200" b="1" i="0" u="none" strike="noStrike">
              <a:solidFill>
                <a:srgbClr val="4F9237"/>
              </a:solidFill>
              <a:latin typeface="Arial"/>
              <a:ea typeface="+mn-ea"/>
              <a:cs typeface="Arial"/>
            </a:rPr>
            <a:pPr marL="0" indent="0" algn="l"/>
            <a:t>Group Name</a:t>
          </a:fld>
          <a:endParaRPr lang="en-CA" sz="1200" b="0" i="0" u="none" strike="noStrike">
            <a:solidFill>
              <a:srgbClr val="4C5B52"/>
            </a:solidFill>
            <a:latin typeface="Arial"/>
            <a:ea typeface="+mn-ea"/>
            <a:cs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460375</xdr:colOff>
      <xdr:row>1</xdr:row>
      <xdr:rowOff>55561</xdr:rowOff>
    </xdr:from>
    <xdr:to>
      <xdr:col>8</xdr:col>
      <xdr:colOff>611187</xdr:colOff>
      <xdr:row>33</xdr:row>
      <xdr:rowOff>128201</xdr:rowOff>
    </xdr:to>
    <xdr:pic>
      <xdr:nvPicPr>
        <xdr:cNvPr id="3" name="Picture 2">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0" y="238124"/>
          <a:ext cx="7778750" cy="599401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2</xdr:col>
      <xdr:colOff>2286000</xdr:colOff>
      <xdr:row>30</xdr:row>
      <xdr:rowOff>154781</xdr:rowOff>
    </xdr:from>
    <xdr:to>
      <xdr:col>6</xdr:col>
      <xdr:colOff>333375</xdr:colOff>
      <xdr:row>35</xdr:row>
      <xdr:rowOff>178593</xdr:rowOff>
    </xdr:to>
    <xdr:sp macro="" textlink="">
      <xdr:nvSpPr>
        <xdr:cNvPr id="3" name="Rectangle 2">
          <a:extLst>
            <a:ext uri="{FF2B5EF4-FFF2-40B4-BE49-F238E27FC236}">
              <a16:creationId xmlns:a16="http://schemas.microsoft.com/office/drawing/2014/main" id="{00000000-0008-0000-3900-000003000000}"/>
            </a:ext>
          </a:extLst>
        </xdr:cNvPr>
        <xdr:cNvSpPr/>
      </xdr:nvSpPr>
      <xdr:spPr>
        <a:xfrm>
          <a:off x="4337050" y="5755481"/>
          <a:ext cx="2409825" cy="9445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47625</xdr:colOff>
      <xdr:row>0</xdr:row>
      <xdr:rowOff>162004</xdr:rowOff>
    </xdr:from>
    <xdr:to>
      <xdr:col>7</xdr:col>
      <xdr:colOff>426517</xdr:colOff>
      <xdr:row>51</xdr:row>
      <xdr:rowOff>103189</xdr:rowOff>
    </xdr:to>
    <xdr:pic>
      <xdr:nvPicPr>
        <xdr:cNvPr id="4" name="Picture 3">
          <a:extLst>
            <a:ext uri="{FF2B5EF4-FFF2-40B4-BE49-F238E27FC236}">
              <a16:creationId xmlns:a16="http://schemas.microsoft.com/office/drawing/2014/main" id="{00000000-0008-0000-39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7813" y="162004"/>
          <a:ext cx="7205142" cy="93312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533400</xdr:colOff>
      <xdr:row>18</xdr:row>
      <xdr:rowOff>38100</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133975" y="308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533400</xdr:colOff>
      <xdr:row>18</xdr:row>
      <xdr:rowOff>38100</xdr:rowOff>
    </xdr:from>
    <xdr:ext cx="184731"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133975" y="3086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0</xdr:rowOff>
    </xdr:from>
    <xdr:to>
      <xdr:col>2</xdr:col>
      <xdr:colOff>356235</xdr:colOff>
      <xdr:row>28</xdr:row>
      <xdr:rowOff>60960</xdr:rowOff>
    </xdr:to>
    <xdr:sp macro="" textlink="">
      <xdr:nvSpPr>
        <xdr:cNvPr id="5" name="Freeform 4">
          <a:extLst>
            <a:ext uri="{FF2B5EF4-FFF2-40B4-BE49-F238E27FC236}">
              <a16:creationId xmlns:a16="http://schemas.microsoft.com/office/drawing/2014/main" id="{00000000-0008-0000-0500-000005000000}"/>
            </a:ext>
          </a:extLst>
        </xdr:cNvPr>
        <xdr:cNvSpPr>
          <a:spLocks/>
        </xdr:cNvSpPr>
      </xdr:nvSpPr>
      <xdr:spPr bwMode="auto">
        <a:xfrm>
          <a:off x="0" y="3429000"/>
          <a:ext cx="1965960" cy="1965960"/>
        </a:xfrm>
        <a:custGeom>
          <a:avLst/>
          <a:gdLst>
            <a:gd name="T0" fmla="+- 0 1440 1440"/>
            <a:gd name="T1" fmla="*/ T0 w 2966"/>
            <a:gd name="T2" fmla="+- 0 -484 -3450"/>
            <a:gd name="T3" fmla="*/ -484 h 2966"/>
            <a:gd name="T4" fmla="+- 0 4406 1440"/>
            <a:gd name="T5" fmla="*/ T4 w 2966"/>
            <a:gd name="T6" fmla="+- 0 -484 -3450"/>
            <a:gd name="T7" fmla="*/ -484 h 2966"/>
            <a:gd name="T8" fmla="+- 0 4406 1440"/>
            <a:gd name="T9" fmla="*/ T8 w 2966"/>
            <a:gd name="T10" fmla="+- 0 -3450 -3450"/>
            <a:gd name="T11" fmla="*/ -3450 h 2966"/>
            <a:gd name="T12" fmla="+- 0 1440 1440"/>
            <a:gd name="T13" fmla="*/ T12 w 2966"/>
            <a:gd name="T14" fmla="+- 0 -3450 -3450"/>
            <a:gd name="T15" fmla="*/ -3450 h 2966"/>
            <a:gd name="T16" fmla="+- 0 1440 1440"/>
            <a:gd name="T17" fmla="*/ T16 w 2966"/>
            <a:gd name="T18" fmla="+- 0 -484 -3450"/>
            <a:gd name="T19" fmla="*/ -484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chemeClr val="accent1"/>
        </a:solidFill>
        <a:ln>
          <a:noFill/>
        </a:ln>
      </xdr:spPr>
      <xdr:txBody>
        <a:bodyPr rot="0" vert="horz" wrap="square" lIns="91440" tIns="45720" rIns="91440" bIns="45720" anchor="t" anchorCtr="0" upright="1">
          <a:noAutofit/>
        </a:bodyPr>
        <a:lstStyle/>
        <a:p>
          <a:pPr marL="114300" indent="1270" hangingPunct="0">
            <a:lnSpc>
              <a:spcPct val="107000"/>
            </a:lnSpc>
            <a:spcBef>
              <a:spcPts val="360"/>
            </a:spcBef>
            <a:spcAft>
              <a:spcPts val="0"/>
            </a:spcAft>
            <a:tabLst>
              <a:tab pos="1657350" algn="l"/>
            </a:tabLst>
          </a:pPr>
          <a:r>
            <a:rPr lang="en-US" sz="1200" i="1">
              <a:solidFill>
                <a:srgbClr val="FFFFFF"/>
              </a:solidFill>
              <a:effectLst/>
              <a:latin typeface="HelveticaNeue"/>
              <a:ea typeface="HelveticaNeue"/>
              <a:cs typeface="HelveticaNeue"/>
            </a:rPr>
            <a:t> </a:t>
          </a:r>
          <a:endParaRPr lang="en-CA" sz="1200" i="1">
            <a:effectLst/>
            <a:latin typeface="Times New Roman"/>
            <a:ea typeface="Times New Roman"/>
          </a:endParaRPr>
        </a:p>
        <a:p>
          <a:pPr marL="114300" indent="1270" hangingPunct="0">
            <a:lnSpc>
              <a:spcPct val="107000"/>
            </a:lnSpc>
            <a:spcBef>
              <a:spcPts val="360"/>
            </a:spcBef>
            <a:spcAft>
              <a:spcPts val="0"/>
            </a:spcAft>
            <a:tabLst>
              <a:tab pos="1657350" algn="l"/>
            </a:tabLst>
          </a:pPr>
          <a:r>
            <a:rPr lang="en-US" sz="1100" i="0">
              <a:solidFill>
                <a:srgbClr val="FFFFFF"/>
              </a:solidFill>
              <a:effectLst/>
              <a:latin typeface="HelveticaNeue"/>
              <a:ea typeface="HelveticaNeue"/>
              <a:cs typeface="HelveticaNeue"/>
            </a:rPr>
            <a:t>Plan Design &amp; Benchmarking</a:t>
          </a:r>
          <a:r>
            <a:rPr lang="en-US" sz="1100" i="0">
              <a:solidFill>
                <a:srgbClr val="FFFFFF"/>
              </a:solidFill>
              <a:effectLst/>
              <a:latin typeface="HelveticaNeueLT Com 55 Roman"/>
              <a:ea typeface="HelveticaNeueLT Com 55 Roman"/>
              <a:cs typeface="HelveticaNeueLT Com 55 Roman"/>
            </a:rPr>
            <a:t>:</a:t>
          </a:r>
          <a:endParaRPr lang="en-CA" sz="1200" i="1">
            <a:effectLst/>
            <a:latin typeface="Times New Roman"/>
            <a:ea typeface="Times New Roman"/>
          </a:endParaRPr>
        </a:p>
        <a:p>
          <a:pPr marL="114300" marR="19050">
            <a:lnSpc>
              <a:spcPct val="107000"/>
            </a:lnSpc>
            <a:spcBef>
              <a:spcPts val="480"/>
            </a:spcBef>
            <a:spcAft>
              <a:spcPts val="0"/>
            </a:spcAft>
          </a:pPr>
          <a:r>
            <a:rPr lang="en-US" sz="900">
              <a:solidFill>
                <a:srgbClr val="FFFFFF"/>
              </a:solidFill>
              <a:effectLst/>
              <a:latin typeface="HelveticaNeueLT Com 55 Roman"/>
              <a:ea typeface="HelveticaNeueLT Com 55 Roman"/>
              <a:cs typeface="HelveticaNeueLT Com 55 Roman"/>
            </a:rPr>
            <a:t>We partner with you to design a benefit plan that is aligned with your corporate and employee culture and benchmark that plan against your competitors.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3</xdr:col>
      <xdr:colOff>0</xdr:colOff>
      <xdr:row>18</xdr:row>
      <xdr:rowOff>0</xdr:rowOff>
    </xdr:from>
    <xdr:to>
      <xdr:col>6</xdr:col>
      <xdr:colOff>9525</xdr:colOff>
      <xdr:row>27</xdr:row>
      <xdr:rowOff>168910</xdr:rowOff>
    </xdr:to>
    <xdr:sp macro="" textlink="">
      <xdr:nvSpPr>
        <xdr:cNvPr id="6" name="Freeform 5">
          <a:extLst>
            <a:ext uri="{FF2B5EF4-FFF2-40B4-BE49-F238E27FC236}">
              <a16:creationId xmlns:a16="http://schemas.microsoft.com/office/drawing/2014/main" id="{00000000-0008-0000-0500-000006000000}"/>
            </a:ext>
          </a:extLst>
        </xdr:cNvPr>
        <xdr:cNvSpPr>
          <a:spLocks/>
        </xdr:cNvSpPr>
      </xdr:nvSpPr>
      <xdr:spPr bwMode="auto">
        <a:xfrm>
          <a:off x="2286000" y="3429000"/>
          <a:ext cx="1981200" cy="1883410"/>
        </a:xfrm>
        <a:custGeom>
          <a:avLst/>
          <a:gdLst>
            <a:gd name="T0" fmla="+- 0 1440 1440"/>
            <a:gd name="T1" fmla="*/ T0 w 2966"/>
            <a:gd name="T2" fmla="+- 0 -484 -3450"/>
            <a:gd name="T3" fmla="*/ -484 h 2966"/>
            <a:gd name="T4" fmla="+- 0 4406 1440"/>
            <a:gd name="T5" fmla="*/ T4 w 2966"/>
            <a:gd name="T6" fmla="+- 0 -484 -3450"/>
            <a:gd name="T7" fmla="*/ -484 h 2966"/>
            <a:gd name="T8" fmla="+- 0 4406 1440"/>
            <a:gd name="T9" fmla="*/ T8 w 2966"/>
            <a:gd name="T10" fmla="+- 0 -3450 -3450"/>
            <a:gd name="T11" fmla="*/ -3450 h 2966"/>
            <a:gd name="T12" fmla="+- 0 1440 1440"/>
            <a:gd name="T13" fmla="*/ T12 w 2966"/>
            <a:gd name="T14" fmla="+- 0 -3450 -3450"/>
            <a:gd name="T15" fmla="*/ -3450 h 2966"/>
            <a:gd name="T16" fmla="+- 0 1440 1440"/>
            <a:gd name="T17" fmla="*/ T16 w 2966"/>
            <a:gd name="T18" fmla="+- 0 -484 -3450"/>
            <a:gd name="T19" fmla="*/ -484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rgbClr val="8B9B92"/>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pPr marL="114300" indent="1270" hangingPunct="0">
            <a:lnSpc>
              <a:spcPct val="107000"/>
            </a:lnSpc>
            <a:spcBef>
              <a:spcPts val="360"/>
            </a:spcBef>
            <a:spcAft>
              <a:spcPts val="0"/>
            </a:spcAft>
            <a:tabLst>
              <a:tab pos="1657350" algn="l"/>
            </a:tabLst>
          </a:pPr>
          <a:r>
            <a:rPr lang="en-US" sz="1200" i="1">
              <a:solidFill>
                <a:srgbClr val="FFFFFF"/>
              </a:solidFill>
              <a:effectLst/>
              <a:latin typeface="HelveticaNeue"/>
              <a:ea typeface="HelveticaNeue"/>
              <a:cs typeface="HelveticaNeue"/>
            </a:rPr>
            <a:t> </a:t>
          </a:r>
          <a:endParaRPr lang="en-CA" sz="1200" i="1">
            <a:effectLst/>
            <a:latin typeface="Times New Roman"/>
            <a:ea typeface="Times New Roman"/>
          </a:endParaRPr>
        </a:p>
        <a:p>
          <a:pPr marL="114300" indent="1270" hangingPunct="0">
            <a:lnSpc>
              <a:spcPct val="107000"/>
            </a:lnSpc>
            <a:spcBef>
              <a:spcPts val="360"/>
            </a:spcBef>
            <a:spcAft>
              <a:spcPts val="0"/>
            </a:spcAft>
            <a:tabLst>
              <a:tab pos="1657350" algn="l"/>
            </a:tabLst>
          </a:pPr>
          <a:r>
            <a:rPr lang="en-US" sz="1100" i="0">
              <a:solidFill>
                <a:srgbClr val="FFFFFF"/>
              </a:solidFill>
              <a:effectLst/>
              <a:latin typeface="HelveticaNeue"/>
              <a:ea typeface="HelveticaNeue"/>
              <a:cs typeface="HelveticaNeue"/>
            </a:rPr>
            <a:t>Plan Design &amp; Benchmarking</a:t>
          </a:r>
          <a:r>
            <a:rPr lang="en-US" sz="1100" i="0">
              <a:solidFill>
                <a:srgbClr val="FFFFFF"/>
              </a:solidFill>
              <a:effectLst/>
              <a:latin typeface="HelveticaNeueLT Com 55 Roman"/>
              <a:ea typeface="HelveticaNeueLT Com 55 Roman"/>
              <a:cs typeface="HelveticaNeueLT Com 55 Roman"/>
            </a:rPr>
            <a:t>:</a:t>
          </a:r>
          <a:endParaRPr lang="en-CA" sz="1200" i="1">
            <a:effectLst/>
            <a:latin typeface="Times New Roman"/>
            <a:ea typeface="Times New Roman"/>
          </a:endParaRPr>
        </a:p>
        <a:p>
          <a:pPr marL="114300" marR="19050">
            <a:lnSpc>
              <a:spcPct val="107000"/>
            </a:lnSpc>
            <a:spcBef>
              <a:spcPts val="480"/>
            </a:spcBef>
            <a:spcAft>
              <a:spcPts val="0"/>
            </a:spcAft>
          </a:pPr>
          <a:r>
            <a:rPr lang="en-US" sz="900">
              <a:solidFill>
                <a:srgbClr val="FFFFFF"/>
              </a:solidFill>
              <a:effectLst/>
              <a:latin typeface="HelveticaNeueLT Com 55 Roman"/>
              <a:ea typeface="HelveticaNeueLT Com 55 Roman"/>
              <a:cs typeface="HelveticaNeueLT Com 55 Roman"/>
            </a:rPr>
            <a:t>We partner with you to design a benefit plan that is aligned with your corporate and employee culture and benchmark that plan against your competitors.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2</xdr:col>
      <xdr:colOff>609598</xdr:colOff>
      <xdr:row>18</xdr:row>
      <xdr:rowOff>0</xdr:rowOff>
    </xdr:from>
    <xdr:to>
      <xdr:col>6</xdr:col>
      <xdr:colOff>280033</xdr:colOff>
      <xdr:row>28</xdr:row>
      <xdr:rowOff>60960</xdr:rowOff>
    </xdr:to>
    <xdr:sp macro="" textlink="">
      <xdr:nvSpPr>
        <xdr:cNvPr id="9" name="Freeform 8">
          <a:extLst>
            <a:ext uri="{FF2B5EF4-FFF2-40B4-BE49-F238E27FC236}">
              <a16:creationId xmlns:a16="http://schemas.microsoft.com/office/drawing/2014/main" id="{00000000-0008-0000-0500-000009000000}"/>
            </a:ext>
          </a:extLst>
        </xdr:cNvPr>
        <xdr:cNvSpPr>
          <a:spLocks/>
        </xdr:cNvSpPr>
      </xdr:nvSpPr>
      <xdr:spPr bwMode="auto">
        <a:xfrm>
          <a:off x="2219323" y="3429000"/>
          <a:ext cx="1965960" cy="1965960"/>
        </a:xfrm>
        <a:custGeom>
          <a:avLst/>
          <a:gdLst>
            <a:gd name="T0" fmla="+- 0 4643 4643"/>
            <a:gd name="T1" fmla="*/ T0 w 2966"/>
            <a:gd name="T2" fmla="+- 0 -484 -3450"/>
            <a:gd name="T3" fmla="*/ -484 h 2966"/>
            <a:gd name="T4" fmla="+- 0 7609 4643"/>
            <a:gd name="T5" fmla="*/ T4 w 2966"/>
            <a:gd name="T6" fmla="+- 0 -484 -3450"/>
            <a:gd name="T7" fmla="*/ -484 h 2966"/>
            <a:gd name="T8" fmla="+- 0 7609 4643"/>
            <a:gd name="T9" fmla="*/ T8 w 2966"/>
            <a:gd name="T10" fmla="+- 0 -3450 -3450"/>
            <a:gd name="T11" fmla="*/ -3450 h 2966"/>
            <a:gd name="T12" fmla="+- 0 4643 4643"/>
            <a:gd name="T13" fmla="*/ T12 w 2966"/>
            <a:gd name="T14" fmla="+- 0 -3450 -3450"/>
            <a:gd name="T15" fmla="*/ -3450 h 2966"/>
            <a:gd name="T16" fmla="+- 0 4643 4643"/>
            <a:gd name="T17" fmla="*/ T16 w 2966"/>
            <a:gd name="T18" fmla="+- 0 -484 -3450"/>
            <a:gd name="T19" fmla="*/ -484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chemeClr val="accent2"/>
        </a:solidFill>
        <a:ln>
          <a:noFill/>
        </a:ln>
      </xdr:spPr>
      <xdr:txBody>
        <a:bodyPr rot="0" vert="horz" wrap="square" lIns="91440" tIns="45720" rIns="91440" bIns="45720" anchor="t" anchorCtr="0" upright="1">
          <a:noAutofit/>
        </a:bodyPr>
        <a:lstStyle/>
        <a:p>
          <a:pPr marL="114300" hangingPunct="0">
            <a:spcBef>
              <a:spcPts val="360"/>
            </a:spcBef>
            <a:spcAft>
              <a:spcPts val="0"/>
            </a:spcAft>
          </a:pPr>
          <a:r>
            <a:rPr lang="en-US" sz="1200" i="1">
              <a:solidFill>
                <a:srgbClr val="FFFFFF"/>
              </a:solidFill>
              <a:effectLst/>
              <a:latin typeface="HelveticaNeue"/>
              <a:ea typeface="HelveticaNeue"/>
              <a:cs typeface="HelveticaNeue"/>
            </a:rPr>
            <a:t> </a:t>
          </a:r>
          <a:endParaRPr lang="en-CA" sz="1200" i="1">
            <a:effectLst/>
            <a:latin typeface="Times New Roman"/>
            <a:ea typeface="Times New Roman"/>
          </a:endParaRPr>
        </a:p>
        <a:p>
          <a:pPr marL="114300" hangingPunct="0">
            <a:spcBef>
              <a:spcPts val="360"/>
            </a:spcBef>
            <a:spcAft>
              <a:spcPts val="0"/>
            </a:spcAft>
          </a:pPr>
          <a:r>
            <a:rPr lang="en-US" sz="1100" i="0">
              <a:solidFill>
                <a:srgbClr val="FFFFFF"/>
              </a:solidFill>
              <a:effectLst/>
              <a:latin typeface="HelveticaNeue"/>
              <a:ea typeface="HelveticaNeue"/>
              <a:cs typeface="HelveticaNeue"/>
            </a:rPr>
            <a:t>Provider Selection</a:t>
          </a:r>
          <a:endParaRPr lang="en-CA" sz="1200" i="1">
            <a:effectLst/>
            <a:latin typeface="Times New Roman"/>
            <a:ea typeface="Times New Roman"/>
          </a:endParaRPr>
        </a:p>
        <a:p>
          <a:pPr marL="114300" hangingPunct="0">
            <a:spcBef>
              <a:spcPts val="125"/>
            </a:spcBef>
            <a:spcAft>
              <a:spcPts val="0"/>
            </a:spcAft>
          </a:pPr>
          <a:r>
            <a:rPr lang="en-US" sz="1100" i="0">
              <a:solidFill>
                <a:srgbClr val="FFFFFF"/>
              </a:solidFill>
              <a:effectLst/>
              <a:latin typeface="HelveticaNeue"/>
              <a:ea typeface="HelveticaNeue"/>
              <a:cs typeface="HelveticaNeue"/>
            </a:rPr>
            <a:t>&amp; Installation:</a:t>
          </a:r>
          <a:endParaRPr lang="en-CA" sz="1200" i="1">
            <a:effectLst/>
            <a:latin typeface="Times New Roman"/>
            <a:ea typeface="Times New Roman"/>
          </a:endParaRPr>
        </a:p>
        <a:p>
          <a:pPr marL="114300">
            <a:lnSpc>
              <a:spcPts val="600"/>
            </a:lnSpc>
            <a:spcBef>
              <a:spcPts val="10"/>
            </a:spcBef>
            <a:spcAft>
              <a:spcPts val="0"/>
            </a:spcAft>
          </a:pPr>
          <a:r>
            <a:rPr lang="en-US" sz="600">
              <a:effectLst/>
              <a:latin typeface="Times New Roman"/>
              <a:ea typeface="MS Mincho"/>
            </a:rPr>
            <a:t> </a:t>
          </a:r>
          <a:endParaRPr lang="en-CA" sz="1200">
            <a:effectLst/>
            <a:latin typeface="Times New Roman"/>
            <a:ea typeface="MS Mincho"/>
          </a:endParaRPr>
        </a:p>
        <a:p>
          <a:pPr marL="114300">
            <a:lnSpc>
              <a:spcPct val="109000"/>
            </a:lnSpc>
            <a:spcAft>
              <a:spcPts val="0"/>
            </a:spcAft>
          </a:pPr>
          <a:r>
            <a:rPr lang="en-US" sz="900">
              <a:solidFill>
                <a:srgbClr val="FFFFFF"/>
              </a:solidFill>
              <a:effectLst/>
              <a:latin typeface="HelveticaNeueLT Com 55 Roman"/>
              <a:ea typeface="HelveticaNeueLT Com 55 Roman"/>
              <a:cs typeface="HelveticaNeueLT Com 55 Roman"/>
            </a:rPr>
            <a:t>We prepare and execute a comprehensive provider search based on your goals. Once a provider is selected, we help you introduce your program to your</a:t>
          </a:r>
          <a:r>
            <a:rPr lang="en-US" sz="900" spc="25">
              <a:solidFill>
                <a:srgbClr val="FFFFFF"/>
              </a:solidFill>
              <a:effectLst/>
              <a:latin typeface="HelveticaNeueLT Com 55 Roman"/>
              <a:ea typeface="HelveticaNeueLT Com 55 Roman"/>
              <a:cs typeface="HelveticaNeueLT Com 55 Roman"/>
            </a:rPr>
            <a:t> </a:t>
          </a:r>
          <a:r>
            <a:rPr lang="en-US" sz="900">
              <a:solidFill>
                <a:srgbClr val="FFFFFF"/>
              </a:solidFill>
              <a:effectLst/>
              <a:latin typeface="HelveticaNeueLT Com 55 Roman"/>
              <a:ea typeface="HelveticaNeueLT Com 55 Roman"/>
              <a:cs typeface="HelveticaNeueLT Com 55 Roman"/>
            </a:rPr>
            <a:t>employees.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6</xdr:col>
      <xdr:colOff>523874</xdr:colOff>
      <xdr:row>18</xdr:row>
      <xdr:rowOff>0</xdr:rowOff>
    </xdr:from>
    <xdr:to>
      <xdr:col>11</xdr:col>
      <xdr:colOff>70484</xdr:colOff>
      <xdr:row>28</xdr:row>
      <xdr:rowOff>60960</xdr:rowOff>
    </xdr:to>
    <xdr:sp macro="" textlink="">
      <xdr:nvSpPr>
        <xdr:cNvPr id="10" name="Freeform 9">
          <a:extLst>
            <a:ext uri="{FF2B5EF4-FFF2-40B4-BE49-F238E27FC236}">
              <a16:creationId xmlns:a16="http://schemas.microsoft.com/office/drawing/2014/main" id="{00000000-0008-0000-0500-00000A000000}"/>
            </a:ext>
          </a:extLst>
        </xdr:cNvPr>
        <xdr:cNvSpPr>
          <a:spLocks/>
        </xdr:cNvSpPr>
      </xdr:nvSpPr>
      <xdr:spPr bwMode="auto">
        <a:xfrm>
          <a:off x="4429124" y="3429000"/>
          <a:ext cx="1965960" cy="1965960"/>
        </a:xfrm>
        <a:custGeom>
          <a:avLst/>
          <a:gdLst>
            <a:gd name="T0" fmla="+- 0 7837 7837"/>
            <a:gd name="T1" fmla="*/ T0 w 2966"/>
            <a:gd name="T2" fmla="+- 0 -480 -3446"/>
            <a:gd name="T3" fmla="*/ -480 h 2966"/>
            <a:gd name="T4" fmla="+- 0 10803 7837"/>
            <a:gd name="T5" fmla="*/ T4 w 2966"/>
            <a:gd name="T6" fmla="+- 0 -480 -3446"/>
            <a:gd name="T7" fmla="*/ -480 h 2966"/>
            <a:gd name="T8" fmla="+- 0 10803 7837"/>
            <a:gd name="T9" fmla="*/ T8 w 2966"/>
            <a:gd name="T10" fmla="+- 0 -3446 -3446"/>
            <a:gd name="T11" fmla="*/ -3446 h 2966"/>
            <a:gd name="T12" fmla="+- 0 7837 7837"/>
            <a:gd name="T13" fmla="*/ T12 w 2966"/>
            <a:gd name="T14" fmla="+- 0 -3446 -3446"/>
            <a:gd name="T15" fmla="*/ -3446 h 2966"/>
            <a:gd name="T16" fmla="+- 0 7837 7837"/>
            <a:gd name="T17" fmla="*/ T16 w 2966"/>
            <a:gd name="T18" fmla="+- 0 -480 -3446"/>
            <a:gd name="T19" fmla="*/ -480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chemeClr val="accent6"/>
        </a:solidFill>
        <a:ln>
          <a:noFill/>
        </a:ln>
      </xdr:spPr>
      <xdr:txBody>
        <a:bodyPr rot="0" vert="horz" wrap="square" lIns="91440" tIns="45720" rIns="91440" bIns="45720" anchor="t" anchorCtr="0" upright="1">
          <a:noAutofit/>
        </a:bodyPr>
        <a:lstStyle/>
        <a:p>
          <a:pPr marL="57150" hangingPunct="0">
            <a:spcBef>
              <a:spcPts val="380"/>
            </a:spcBef>
            <a:spcAft>
              <a:spcPts val="0"/>
            </a:spcAft>
          </a:pPr>
          <a:r>
            <a:rPr lang="en-US" sz="1200" i="0">
              <a:solidFill>
                <a:srgbClr val="FFFFFF"/>
              </a:solidFill>
              <a:effectLst/>
              <a:latin typeface="HelveticaNeueLT Com 55 Roman"/>
              <a:ea typeface="HelveticaNeueLT Com 55 Roman"/>
              <a:cs typeface="HelveticaNeueLT Com 55 Roman"/>
            </a:rPr>
            <a:t> </a:t>
          </a:r>
          <a:endParaRPr lang="en-CA" sz="1200" i="1">
            <a:effectLst/>
            <a:latin typeface="Times New Roman"/>
            <a:ea typeface="Times New Roman"/>
          </a:endParaRPr>
        </a:p>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Utilization Reporting</a:t>
          </a:r>
          <a:endParaRPr lang="en-CA" sz="1200" i="1">
            <a:effectLst/>
            <a:latin typeface="Times New Roman"/>
            <a:ea typeface="Times New Roman"/>
          </a:endParaRPr>
        </a:p>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&amp; Analysis:</a:t>
          </a:r>
          <a:endParaRPr lang="en-CA" sz="1200" i="1">
            <a:effectLst/>
            <a:latin typeface="Times New Roman"/>
            <a:ea typeface="Times New Roman"/>
          </a:endParaRPr>
        </a:p>
        <a:p>
          <a:pPr marL="57150">
            <a:lnSpc>
              <a:spcPts val="550"/>
            </a:lnSpc>
            <a:spcBef>
              <a:spcPts val="10"/>
            </a:spcBef>
            <a:spcAft>
              <a:spcPts val="0"/>
            </a:spcAft>
          </a:pPr>
          <a:r>
            <a:rPr lang="en-US" sz="550">
              <a:effectLst/>
              <a:latin typeface="Times New Roman"/>
              <a:ea typeface="MS Mincho"/>
            </a:rPr>
            <a:t> </a:t>
          </a:r>
          <a:endParaRPr lang="en-CA" sz="1200">
            <a:effectLst/>
            <a:latin typeface="Times New Roman"/>
            <a:ea typeface="MS Mincho"/>
          </a:endParaRPr>
        </a:p>
        <a:p>
          <a:pPr marL="57150">
            <a:lnSpc>
              <a:spcPct val="107000"/>
            </a:lnSpc>
            <a:spcAft>
              <a:spcPts val="0"/>
            </a:spcAft>
          </a:pPr>
          <a:r>
            <a:rPr lang="en-US" sz="900">
              <a:solidFill>
                <a:srgbClr val="FFFFFF"/>
              </a:solidFill>
              <a:effectLst/>
              <a:latin typeface="HelveticaNeueLT Com 55 Roman"/>
              <a:ea typeface="HelveticaNeueLT Com 55 Roman"/>
              <a:cs typeface="HelveticaNeueLT Com 55 Roman"/>
            </a:rPr>
            <a:t>We analyze the financial performance and claiming patterns of your plan at quarterly intervals. We also provide an in-depth analysis of your drug utilization and disability claims.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0</xdr:col>
      <xdr:colOff>0</xdr:colOff>
      <xdr:row>29</xdr:row>
      <xdr:rowOff>0</xdr:rowOff>
    </xdr:from>
    <xdr:to>
      <xdr:col>2</xdr:col>
      <xdr:colOff>356235</xdr:colOff>
      <xdr:row>39</xdr:row>
      <xdr:rowOff>60960</xdr:rowOff>
    </xdr:to>
    <xdr:sp macro="" textlink="">
      <xdr:nvSpPr>
        <xdr:cNvPr id="11" name="Freeform 10">
          <a:extLst>
            <a:ext uri="{FF2B5EF4-FFF2-40B4-BE49-F238E27FC236}">
              <a16:creationId xmlns:a16="http://schemas.microsoft.com/office/drawing/2014/main" id="{00000000-0008-0000-0500-00000B000000}"/>
            </a:ext>
          </a:extLst>
        </xdr:cNvPr>
        <xdr:cNvSpPr>
          <a:spLocks/>
        </xdr:cNvSpPr>
      </xdr:nvSpPr>
      <xdr:spPr bwMode="auto">
        <a:xfrm>
          <a:off x="0" y="5524500"/>
          <a:ext cx="1965960" cy="1965960"/>
        </a:xfrm>
        <a:custGeom>
          <a:avLst/>
          <a:gdLst>
            <a:gd name="T0" fmla="+- 0 1440 1440"/>
            <a:gd name="T1" fmla="*/ T0 w 2966"/>
            <a:gd name="T2" fmla="+- 0 5399 2433"/>
            <a:gd name="T3" fmla="*/ 5399 h 2966"/>
            <a:gd name="T4" fmla="+- 0 4406 1440"/>
            <a:gd name="T5" fmla="*/ T4 w 2966"/>
            <a:gd name="T6" fmla="+- 0 5399 2433"/>
            <a:gd name="T7" fmla="*/ 5399 h 2966"/>
            <a:gd name="T8" fmla="+- 0 4406 1440"/>
            <a:gd name="T9" fmla="*/ T8 w 2966"/>
            <a:gd name="T10" fmla="+- 0 2433 2433"/>
            <a:gd name="T11" fmla="*/ 2433 h 2966"/>
            <a:gd name="T12" fmla="+- 0 1440 1440"/>
            <a:gd name="T13" fmla="*/ T12 w 2966"/>
            <a:gd name="T14" fmla="+- 0 2433 2433"/>
            <a:gd name="T15" fmla="*/ 2433 h 2966"/>
            <a:gd name="T16" fmla="+- 0 1440 1440"/>
            <a:gd name="T17" fmla="*/ T16 w 2966"/>
            <a:gd name="T18" fmla="+- 0 5399 2433"/>
            <a:gd name="T19" fmla="*/ 5399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rgbClr val="002060"/>
        </a:solidFill>
        <a:ln>
          <a:noFill/>
        </a:ln>
      </xdr:spPr>
      <xdr:txBody>
        <a:bodyPr rot="0" vert="horz" wrap="square" lIns="91440" tIns="45720" rIns="91440" bIns="45720" anchor="t" anchorCtr="0" upright="1">
          <a:noAutofit/>
        </a:bodyPr>
        <a:lstStyle/>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 </a:t>
          </a:r>
          <a:endParaRPr lang="en-CA" sz="1200" i="1">
            <a:effectLst/>
            <a:latin typeface="Times New Roman"/>
            <a:ea typeface="Times New Roman"/>
          </a:endParaRPr>
        </a:p>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Financial Review Analysis &amp; Reconciliation:</a:t>
          </a:r>
          <a:endParaRPr lang="en-CA" sz="1200" i="1">
            <a:effectLst/>
            <a:latin typeface="Times New Roman"/>
            <a:ea typeface="Times New Roman"/>
          </a:endParaRPr>
        </a:p>
        <a:p>
          <a:pPr marL="57150">
            <a:lnSpc>
              <a:spcPct val="107000"/>
            </a:lnSpc>
            <a:spcBef>
              <a:spcPts val="485"/>
            </a:spcBef>
            <a:spcAft>
              <a:spcPts val="0"/>
            </a:spcAft>
          </a:pPr>
          <a:r>
            <a:rPr lang="en-US" sz="900">
              <a:solidFill>
                <a:srgbClr val="FFFFFF"/>
              </a:solidFill>
              <a:effectLst/>
              <a:latin typeface="HelveticaNeueLT Com 55 Roman"/>
              <a:ea typeface="HelveticaNeueLT Com 55 Roman"/>
              <a:cs typeface="HelveticaNeueLT Com 55 Roman"/>
            </a:rPr>
            <a:t>We review your financing arrangements and compare them against industry trends. We confirm billing rates, reconcile your annual premiums, claims and financial results and analyze inflation and trend factors.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2</xdr:col>
      <xdr:colOff>609598</xdr:colOff>
      <xdr:row>29</xdr:row>
      <xdr:rowOff>0</xdr:rowOff>
    </xdr:from>
    <xdr:to>
      <xdr:col>6</xdr:col>
      <xdr:colOff>280033</xdr:colOff>
      <xdr:row>39</xdr:row>
      <xdr:rowOff>60960</xdr:rowOff>
    </xdr:to>
    <xdr:sp macro="" textlink="">
      <xdr:nvSpPr>
        <xdr:cNvPr id="12" name="Freeform 11">
          <a:extLst>
            <a:ext uri="{FF2B5EF4-FFF2-40B4-BE49-F238E27FC236}">
              <a16:creationId xmlns:a16="http://schemas.microsoft.com/office/drawing/2014/main" id="{00000000-0008-0000-0500-00000C000000}"/>
            </a:ext>
          </a:extLst>
        </xdr:cNvPr>
        <xdr:cNvSpPr>
          <a:spLocks/>
        </xdr:cNvSpPr>
      </xdr:nvSpPr>
      <xdr:spPr bwMode="auto">
        <a:xfrm>
          <a:off x="2219323" y="5524500"/>
          <a:ext cx="1965960" cy="1965960"/>
        </a:xfrm>
        <a:custGeom>
          <a:avLst/>
          <a:gdLst>
            <a:gd name="T0" fmla="+- 0 4643 4643"/>
            <a:gd name="T1" fmla="*/ T0 w 2966"/>
            <a:gd name="T2" fmla="+- 0 5295 2329"/>
            <a:gd name="T3" fmla="*/ 5295 h 2966"/>
            <a:gd name="T4" fmla="+- 0 7609 4643"/>
            <a:gd name="T5" fmla="*/ T4 w 2966"/>
            <a:gd name="T6" fmla="+- 0 5295 2329"/>
            <a:gd name="T7" fmla="*/ 5295 h 2966"/>
            <a:gd name="T8" fmla="+- 0 7609 4643"/>
            <a:gd name="T9" fmla="*/ T8 w 2966"/>
            <a:gd name="T10" fmla="+- 0 2329 2329"/>
            <a:gd name="T11" fmla="*/ 2329 h 2966"/>
            <a:gd name="T12" fmla="+- 0 4643 4643"/>
            <a:gd name="T13" fmla="*/ T12 w 2966"/>
            <a:gd name="T14" fmla="+- 0 2329 2329"/>
            <a:gd name="T15" fmla="*/ 2329 h 2966"/>
            <a:gd name="T16" fmla="+- 0 4643 4643"/>
            <a:gd name="T17" fmla="*/ T16 w 2966"/>
            <a:gd name="T18" fmla="+- 0 5295 2329"/>
            <a:gd name="T19" fmla="*/ 5295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chemeClr val="accent3"/>
        </a:solidFill>
        <a:ln>
          <a:noFill/>
        </a:ln>
      </xdr:spPr>
      <xdr:txBody>
        <a:bodyPr rot="0" vert="horz" wrap="square" lIns="91440" tIns="45720" rIns="91440" bIns="45720" anchor="t" anchorCtr="0" upright="1">
          <a:noAutofit/>
        </a:bodyPr>
        <a:lstStyle/>
        <a:p>
          <a:pPr marL="57150" marR="101600" hangingPunct="0">
            <a:lnSpc>
              <a:spcPct val="107000"/>
            </a:lnSpc>
            <a:spcAft>
              <a:spcPts val="0"/>
            </a:spcAft>
          </a:pPr>
          <a:r>
            <a:rPr lang="en-US" sz="1200" i="1">
              <a:solidFill>
                <a:srgbClr val="FFFFFF"/>
              </a:solidFill>
              <a:effectLst/>
              <a:latin typeface="HelveticaNeueLT Com 55 Roman"/>
              <a:ea typeface="HelveticaNeueLT Com 55 Roman"/>
              <a:cs typeface="HelveticaNeueLT Com 55 Roman"/>
            </a:rPr>
            <a:t> </a:t>
          </a:r>
          <a:endParaRPr lang="en-CA" sz="1200" i="1">
            <a:effectLst/>
            <a:latin typeface="Times New Roman"/>
            <a:ea typeface="Times New Roman"/>
          </a:endParaRPr>
        </a:p>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Renewal Analysis &amp; Negotiation:</a:t>
          </a:r>
          <a:endParaRPr lang="en-CA" sz="1200" i="1">
            <a:effectLst/>
            <a:latin typeface="Times New Roman"/>
            <a:ea typeface="Times New Roman"/>
          </a:endParaRPr>
        </a:p>
        <a:p>
          <a:pPr marL="57150" marR="101600">
            <a:lnSpc>
              <a:spcPct val="107000"/>
            </a:lnSpc>
            <a:spcBef>
              <a:spcPts val="460"/>
            </a:spcBef>
            <a:spcAft>
              <a:spcPts val="0"/>
            </a:spcAft>
          </a:pPr>
          <a:r>
            <a:rPr lang="en-US" sz="900">
              <a:solidFill>
                <a:srgbClr val="FFFFFF"/>
              </a:solidFill>
              <a:effectLst/>
              <a:latin typeface="HelveticaNeueLT Com 55 Roman"/>
              <a:ea typeface="HelveticaNeueLT Com 55 Roman"/>
              <a:cs typeface="HelveticaNeueLT Com 55 Roman"/>
            </a:rPr>
            <a:t>We guide you through the renewal process, provide cost containment recommendations, negotiate renewal rates  and execute upon your direction.</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twoCellAnchor>
    <xdr:from>
      <xdr:col>6</xdr:col>
      <xdr:colOff>523874</xdr:colOff>
      <xdr:row>29</xdr:row>
      <xdr:rowOff>0</xdr:rowOff>
    </xdr:from>
    <xdr:to>
      <xdr:col>11</xdr:col>
      <xdr:colOff>70484</xdr:colOff>
      <xdr:row>39</xdr:row>
      <xdr:rowOff>60960</xdr:rowOff>
    </xdr:to>
    <xdr:sp macro="" textlink="">
      <xdr:nvSpPr>
        <xdr:cNvPr id="13" name="Freeform 12">
          <a:extLst>
            <a:ext uri="{FF2B5EF4-FFF2-40B4-BE49-F238E27FC236}">
              <a16:creationId xmlns:a16="http://schemas.microsoft.com/office/drawing/2014/main" id="{00000000-0008-0000-0500-00000D000000}"/>
            </a:ext>
          </a:extLst>
        </xdr:cNvPr>
        <xdr:cNvSpPr>
          <a:spLocks/>
        </xdr:cNvSpPr>
      </xdr:nvSpPr>
      <xdr:spPr bwMode="auto">
        <a:xfrm>
          <a:off x="4429124" y="5524500"/>
          <a:ext cx="1965960" cy="1965960"/>
        </a:xfrm>
        <a:custGeom>
          <a:avLst/>
          <a:gdLst>
            <a:gd name="T0" fmla="+- 0 7837 7837"/>
            <a:gd name="T1" fmla="*/ T0 w 2966"/>
            <a:gd name="T2" fmla="+- 0 5295 2329"/>
            <a:gd name="T3" fmla="*/ 5295 h 2966"/>
            <a:gd name="T4" fmla="+- 0 10803 7837"/>
            <a:gd name="T5" fmla="*/ T4 w 2966"/>
            <a:gd name="T6" fmla="+- 0 5295 2329"/>
            <a:gd name="T7" fmla="*/ 5295 h 2966"/>
            <a:gd name="T8" fmla="+- 0 10803 7837"/>
            <a:gd name="T9" fmla="*/ T8 w 2966"/>
            <a:gd name="T10" fmla="+- 0 2329 2329"/>
            <a:gd name="T11" fmla="*/ 2329 h 2966"/>
            <a:gd name="T12" fmla="+- 0 7837 7837"/>
            <a:gd name="T13" fmla="*/ T12 w 2966"/>
            <a:gd name="T14" fmla="+- 0 2329 2329"/>
            <a:gd name="T15" fmla="*/ 2329 h 2966"/>
            <a:gd name="T16" fmla="+- 0 7837 7837"/>
            <a:gd name="T17" fmla="*/ T16 w 2966"/>
            <a:gd name="T18" fmla="+- 0 5295 2329"/>
            <a:gd name="T19" fmla="*/ 5295 h 2966"/>
          </a:gdLst>
          <a:ahLst/>
          <a:cxnLst>
            <a:cxn ang="0">
              <a:pos x="T1" y="T3"/>
            </a:cxn>
            <a:cxn ang="0">
              <a:pos x="T5" y="T7"/>
            </a:cxn>
            <a:cxn ang="0">
              <a:pos x="T9" y="T11"/>
            </a:cxn>
            <a:cxn ang="0">
              <a:pos x="T13" y="T15"/>
            </a:cxn>
            <a:cxn ang="0">
              <a:pos x="T17" y="T19"/>
            </a:cxn>
          </a:cxnLst>
          <a:rect l="0" t="0" r="r" b="b"/>
          <a:pathLst>
            <a:path w="2966" h="2966">
              <a:moveTo>
                <a:pt x="0" y="2966"/>
              </a:moveTo>
              <a:lnTo>
                <a:pt x="2966" y="2966"/>
              </a:lnTo>
              <a:lnTo>
                <a:pt x="2966" y="0"/>
              </a:lnTo>
              <a:lnTo>
                <a:pt x="0" y="0"/>
              </a:lnTo>
              <a:lnTo>
                <a:pt x="0" y="2966"/>
              </a:lnTo>
              <a:close/>
            </a:path>
          </a:pathLst>
        </a:custGeom>
        <a:solidFill>
          <a:schemeClr val="accent5"/>
        </a:solidFill>
        <a:ln>
          <a:noFill/>
        </a:ln>
      </xdr:spPr>
      <xdr:txBody>
        <a:bodyPr rot="0" vert="horz" wrap="square" lIns="91440" tIns="45720" rIns="91440" bIns="45720" anchor="t" anchorCtr="0" upright="1">
          <a:noAutofit/>
        </a:bodyPr>
        <a:lstStyle/>
        <a:p>
          <a:pPr marL="114300" marR="44450" hangingPunct="0">
            <a:lnSpc>
              <a:spcPct val="107000"/>
            </a:lnSpc>
            <a:spcAft>
              <a:spcPts val="0"/>
            </a:spcAft>
          </a:pPr>
          <a:r>
            <a:rPr lang="en-US" sz="1200" i="1">
              <a:solidFill>
                <a:srgbClr val="FFFFFF"/>
              </a:solidFill>
              <a:effectLst/>
              <a:latin typeface="HelveticaNeueLT Com 55 Roman"/>
              <a:ea typeface="HelveticaNeueLT Com 55 Roman"/>
              <a:cs typeface="HelveticaNeueLT Com 55 Roman"/>
            </a:rPr>
            <a:t> </a:t>
          </a:r>
          <a:endParaRPr lang="en-CA" sz="1200" i="1">
            <a:effectLst/>
            <a:latin typeface="Times New Roman"/>
            <a:ea typeface="Times New Roman"/>
          </a:endParaRPr>
        </a:p>
        <a:p>
          <a:pPr marL="57150" hangingPunct="0">
            <a:lnSpc>
              <a:spcPct val="107000"/>
            </a:lnSpc>
            <a:spcAft>
              <a:spcPts val="0"/>
            </a:spcAft>
            <a:tabLst>
              <a:tab pos="1657350" algn="l"/>
            </a:tabLst>
          </a:pPr>
          <a:r>
            <a:rPr lang="en-US" sz="1100" i="0">
              <a:solidFill>
                <a:srgbClr val="FFFFFF"/>
              </a:solidFill>
              <a:effectLst/>
              <a:latin typeface="HelveticaNeue"/>
              <a:ea typeface="HelveticaNeue"/>
              <a:cs typeface="HelveticaNeue"/>
            </a:rPr>
            <a:t>Industry Updates &amp; Account Support:</a:t>
          </a:r>
          <a:endParaRPr lang="en-CA" sz="1200" i="1">
            <a:effectLst/>
            <a:latin typeface="Times New Roman"/>
            <a:ea typeface="Times New Roman"/>
          </a:endParaRPr>
        </a:p>
        <a:p>
          <a:pPr marL="57150" marR="31750">
            <a:lnSpc>
              <a:spcPct val="107000"/>
            </a:lnSpc>
            <a:spcBef>
              <a:spcPts val="455"/>
            </a:spcBef>
            <a:spcAft>
              <a:spcPts val="0"/>
            </a:spcAft>
            <a:tabLst>
              <a:tab pos="1714500" algn="l"/>
            </a:tabLst>
          </a:pPr>
          <a:r>
            <a:rPr lang="en-US" sz="900">
              <a:solidFill>
                <a:srgbClr val="FFFFFF"/>
              </a:solidFill>
              <a:effectLst/>
              <a:latin typeface="HelveticaNeueLT Com 55 Roman"/>
              <a:ea typeface="HelveticaNeueLT Com 55 Roman"/>
              <a:cs typeface="HelveticaNeueLT Com 55 Roman"/>
            </a:rPr>
            <a:t>We provide continuous support to ensure your program runs smoothly. We provide updates on the legislative environment and help with billing issues, employee education and claims issues.</a:t>
          </a:r>
          <a:endParaRPr lang="en-CA" sz="1200">
            <a:effectLst/>
            <a:latin typeface="Times New Roman"/>
            <a:ea typeface="MS Mincho"/>
          </a:endParaRPr>
        </a:p>
        <a:p>
          <a:pPr algn="ctr">
            <a:spcAft>
              <a:spcPts val="0"/>
            </a:spcAft>
          </a:pPr>
          <a:r>
            <a:rPr lang="en-US" sz="1200">
              <a:effectLst/>
              <a:latin typeface="Times New Roman"/>
              <a:ea typeface="MS Mincho"/>
            </a:rPr>
            <a:t> </a:t>
          </a:r>
          <a:endParaRPr lang="en-CA" sz="1200">
            <a:effectLst/>
            <a:latin typeface="Times New Roman"/>
            <a:ea typeface="MS Mincho"/>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21168</xdr:colOff>
      <xdr:row>27</xdr:row>
      <xdr:rowOff>95252</xdr:rowOff>
    </xdr:from>
    <xdr:to>
      <xdr:col>9</xdr:col>
      <xdr:colOff>444501</xdr:colOff>
      <xdr:row>38</xdr:row>
      <xdr:rowOff>74087</xdr:rowOff>
    </xdr:to>
    <xdr:graphicFrame macro="">
      <xdr:nvGraphicFramePr>
        <xdr:cNvPr id="3" name="Chart 2">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63500</xdr:colOff>
      <xdr:row>27</xdr:row>
      <xdr:rowOff>179918</xdr:rowOff>
    </xdr:from>
    <xdr:to>
      <xdr:col>9</xdr:col>
      <xdr:colOff>635000</xdr:colOff>
      <xdr:row>38</xdr:row>
      <xdr:rowOff>127001</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47624</xdr:colOff>
      <xdr:row>21</xdr:row>
      <xdr:rowOff>66676</xdr:rowOff>
    </xdr:from>
    <xdr:to>
      <xdr:col>2</xdr:col>
      <xdr:colOff>514349</xdr:colOff>
      <xdr:row>38</xdr:row>
      <xdr:rowOff>28576</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104774</xdr:colOff>
      <xdr:row>22</xdr:row>
      <xdr:rowOff>19050</xdr:rowOff>
    </xdr:from>
    <xdr:to>
      <xdr:col>9</xdr:col>
      <xdr:colOff>142875</xdr:colOff>
      <xdr:row>39</xdr:row>
      <xdr:rowOff>38099</xdr:rowOff>
    </xdr:to>
    <xdr:graphicFrame macro="">
      <xdr:nvGraphicFramePr>
        <xdr:cNvPr id="3" name="Chart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25</xdr:row>
      <xdr:rowOff>57150</xdr:rowOff>
    </xdr:from>
    <xdr:to>
      <xdr:col>2</xdr:col>
      <xdr:colOff>466725</xdr:colOff>
      <xdr:row>43</xdr:row>
      <xdr:rowOff>90489</xdr:rowOff>
    </xdr:to>
    <xdr:graphicFrame macro="">
      <xdr:nvGraphicFramePr>
        <xdr:cNvPr id="4" name="Chart 3">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25</xdr:row>
      <xdr:rowOff>57150</xdr:rowOff>
    </xdr:from>
    <xdr:to>
      <xdr:col>8</xdr:col>
      <xdr:colOff>800100</xdr:colOff>
      <xdr:row>43</xdr:row>
      <xdr:rowOff>90489</xdr:rowOff>
    </xdr:to>
    <xdr:graphicFrame macro="">
      <xdr:nvGraphicFramePr>
        <xdr:cNvPr id="5" name="Chart 4">
          <a:extLst>
            <a:ext uri="{FF2B5EF4-FFF2-40B4-BE49-F238E27FC236}">
              <a16:creationId xmlns:a16="http://schemas.microsoft.com/office/drawing/2014/main" id="{00000000-0008-0000-1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20</xdr:row>
      <xdr:rowOff>28574</xdr:rowOff>
    </xdr:from>
    <xdr:to>
      <xdr:col>2</xdr:col>
      <xdr:colOff>400049</xdr:colOff>
      <xdr:row>42</xdr:row>
      <xdr:rowOff>19050</xdr:rowOff>
    </xdr:to>
    <xdr:graphicFrame macro="">
      <xdr:nvGraphicFramePr>
        <xdr:cNvPr id="3" name="Chart 2">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20</xdr:row>
      <xdr:rowOff>28576</xdr:rowOff>
    </xdr:from>
    <xdr:to>
      <xdr:col>8</xdr:col>
      <xdr:colOff>600075</xdr:colOff>
      <xdr:row>42</xdr:row>
      <xdr:rowOff>19050</xdr:rowOff>
    </xdr:to>
    <xdr:graphicFrame macro="">
      <xdr:nvGraphicFramePr>
        <xdr:cNvPr id="5" name="Chart 4">
          <a:extLst>
            <a:ext uri="{FF2B5EF4-FFF2-40B4-BE49-F238E27FC236}">
              <a16:creationId xmlns:a16="http://schemas.microsoft.com/office/drawing/2014/main" id="{00000000-0008-0000-1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gringauz/AppData/Local/Microsoft/Windows/INetCache/Content.Outlook/105FCIF4/NFP_Renewal_Template_2018%20Redesign%20Draft%2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 DNP"/>
      <sheetName val="Revenue Reporting (2)"/>
      <sheetName val="Cover Page"/>
      <sheetName val="table of contents "/>
      <sheetName val="About NFP"/>
      <sheetName val="Scope of Services "/>
      <sheetName val="Executive Summary "/>
      <sheetName val="Renewal Summary"/>
      <sheetName val="Renewal Summary (ASO)"/>
      <sheetName val="Renewal Summary Cont"/>
      <sheetName val="Legislative Changes"/>
      <sheetName val="Legislative Changes (2)"/>
      <sheetName val="Legislative Changes (3)"/>
      <sheetName val="Experience Summary"/>
      <sheetName val="Life And Disability Report"/>
      <sheetName val="Underwritting Arrangements "/>
      <sheetName val="Pooled Benefits "/>
      <sheetName val="AD&amp;D Dep Life "/>
      <sheetName val="Long Term Disability"/>
      <sheetName val="Short Term Disability "/>
      <sheetName val="Extended Health Care (EHC)"/>
      <sheetName val="EHC Breakdown"/>
      <sheetName val="EHC Breakdown - w S&amp;S"/>
      <sheetName val="Therapeutic Classes"/>
      <sheetName val="Traditional Drugs"/>
      <sheetName val="Drug Claim Analytics"/>
      <sheetName val="Drug Claim Analytics (2)"/>
      <sheetName val="Stop Loss "/>
      <sheetName val="Dental Care"/>
      <sheetName val="Dental Care History"/>
      <sheetName val="Trend Review"/>
      <sheetName val="Summary and Recommendations"/>
      <sheetName val="Monthly Breakdown pooled "/>
      <sheetName val="Monthly EHC Dental "/>
      <sheetName val="ASO Summary"/>
      <sheetName val="Renewal Rates "/>
      <sheetName val="ASO projections "/>
      <sheetName val="Retention Projections"/>
      <sheetName val="Plan Design Considerations "/>
      <sheetName val="Alternates - DNP"/>
      <sheetName val="Allstate CI"/>
      <sheetName val="Allstate CI - SWO"/>
      <sheetName val="Marketing Rates"/>
      <sheetName val="Additional Charts"/>
      <sheetName val="Renewal History "/>
      <sheetName val="Rate History "/>
      <sheetName val="Amendment History "/>
      <sheetName val="Plan Design 1"/>
      <sheetName val="Plan Design 1 (2)"/>
      <sheetName val="Plan Design"/>
      <sheetName val="Plan Design  Cont.1"/>
      <sheetName val="Plan Design 1 (3)"/>
      <sheetName val="Plan Design 1 (4)"/>
      <sheetName val="Plan Cont.2 "/>
      <sheetName val="Plan Cont.3 "/>
      <sheetName val="Glossary "/>
      <sheetName val="Back end page (Toronto)"/>
      <sheetName val="Back end page (Burlington)"/>
    </sheetNames>
    <sheetDataSet>
      <sheetData sheetId="0">
        <row r="1">
          <cell r="B1" t="str">
            <v>Group Name</v>
          </cell>
        </row>
        <row r="3">
          <cell r="B3" t="str">
            <v>AE 1 - Name</v>
          </cell>
        </row>
        <row r="4">
          <cell r="B4" t="str">
            <v>AE 1 - Title</v>
          </cell>
        </row>
        <row r="8">
          <cell r="B8" t="str">
            <v>Carrier</v>
          </cell>
        </row>
        <row r="9">
          <cell r="B9" t="str">
            <v>Policy Number</v>
          </cell>
        </row>
        <row r="11">
          <cell r="B11" t="str">
            <v>Month</v>
          </cell>
        </row>
        <row r="12">
          <cell r="B12" t="str">
            <v>Year</v>
          </cell>
        </row>
        <row r="14">
          <cell r="B14" t="str">
            <v>MMM DD YYY - MMM DD YYYY</v>
          </cell>
        </row>
        <row r="15">
          <cell r="B15" t="str">
            <v>MMM DD YYY - MMM DD YYYY</v>
          </cell>
        </row>
        <row r="16">
          <cell r="B16" t="str">
            <v>MMM DD YYY - MMM DD YYYY</v>
          </cell>
        </row>
        <row r="17">
          <cell r="B17" t="str">
            <v>MMM DD YYY - MMM DD YYYY</v>
          </cell>
        </row>
        <row r="18">
          <cell r="B18" t="str">
            <v>MMM DD YYY - MMM DD YYYY</v>
          </cell>
        </row>
      </sheetData>
      <sheetData sheetId="1"/>
      <sheetData sheetId="2"/>
      <sheetData sheetId="3"/>
      <sheetData sheetId="4"/>
      <sheetData sheetId="5"/>
      <sheetData sheetId="6"/>
      <sheetData sheetId="7"/>
      <sheetData sheetId="8"/>
      <sheetData sheetId="9"/>
      <sheetData sheetId="10"/>
      <sheetData sheetId="11"/>
      <sheetData sheetId="12"/>
      <sheetData sheetId="13">
        <row r="14">
          <cell r="E14">
            <v>0</v>
          </cell>
        </row>
      </sheetData>
      <sheetData sheetId="14"/>
      <sheetData sheetId="15"/>
      <sheetData sheetId="16">
        <row r="42">
          <cell r="G42">
            <v>0</v>
          </cell>
        </row>
      </sheetData>
      <sheetData sheetId="17">
        <row r="8">
          <cell r="G8">
            <v>0</v>
          </cell>
        </row>
      </sheetData>
      <sheetData sheetId="18">
        <row r="42">
          <cell r="E42">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9:G25" totalsRowShown="0" headerRowDxfId="41" dataDxfId="39" headerRowBorderDxfId="40" tableBorderDxfId="38" totalsRowBorderDxfId="37">
  <tableColumns count="6">
    <tableColumn id="1" xr3:uid="{00000000-0010-0000-0000-000001000000}" name="Benefit" dataDxfId="36"/>
    <tableColumn id="2" xr3:uid="{00000000-0010-0000-0000-000002000000}" name="Premium" dataDxfId="35"/>
    <tableColumn id="3" xr3:uid="{00000000-0010-0000-0000-000003000000}" name="Premium " dataDxfId="34"/>
    <tableColumn id="4" xr3:uid="{00000000-0010-0000-0000-000004000000}" name="% Change" dataDxfId="33" dataCellStyle="Percent"/>
    <tableColumn id="5" xr3:uid="{00000000-0010-0000-0000-000005000000}" name="Premium  " dataDxfId="32"/>
    <tableColumn id="6" xr3:uid="{00000000-0010-0000-0000-000006000000}" name="% Change " dataDxfId="31" dataCellStyle="Percen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9:G23" totalsRowShown="0" headerRowDxfId="30" dataDxfId="28" headerRowBorderDxfId="29" tableBorderDxfId="27" totalsRowBorderDxfId="26">
  <tableColumns count="6">
    <tableColumn id="1" xr3:uid="{00000000-0010-0000-0100-000001000000}" name="Benefit" dataDxfId="25"/>
    <tableColumn id="2" xr3:uid="{00000000-0010-0000-0100-000002000000}" name="Premium" dataDxfId="24"/>
    <tableColumn id="3" xr3:uid="{00000000-0010-0000-0100-000003000000}" name="Premium " dataDxfId="23"/>
    <tableColumn id="4" xr3:uid="{00000000-0010-0000-0100-000004000000}" name="% Change" dataDxfId="22" dataCellStyle="Percent"/>
    <tableColumn id="5" xr3:uid="{00000000-0010-0000-0100-000005000000}" name="Premium  " dataDxfId="21"/>
    <tableColumn id="6" xr3:uid="{00000000-0010-0000-0100-000006000000}" name="% Change " dataDxfId="20" dataCellStyle="Percent"/>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5:C13" totalsRowShown="0" headerRowDxfId="19" headerRowBorderDxfId="18" tableBorderDxfId="17" totalsRowBorderDxfId="16">
  <tableColumns count="3">
    <tableColumn id="1" xr3:uid="{00000000-0010-0000-0200-000001000000}" name="General Information" dataDxfId="15"/>
    <tableColumn id="2" xr3:uid="{00000000-0010-0000-0200-000002000000}" name="Current Year" dataDxfId="14"/>
    <tableColumn id="3" xr3:uid="{00000000-0010-0000-0200-000003000000}" name="Prior Year" dataDxfId="1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5:D28" totalsRowShown="0" headerRowDxfId="12" dataDxfId="10" headerRowBorderDxfId="11" tableBorderDxfId="9" totalsRowBorderDxfId="8">
  <tableColumns count="4">
    <tableColumn id="1" xr3:uid="{00000000-0010-0000-0300-000001000000}" name="Benefits Covered" dataDxfId="7"/>
    <tableColumn id="2" xr3:uid="{00000000-0010-0000-0300-000002000000}" name="Funding" dataDxfId="6"/>
    <tableColumn id="3" xr3:uid="{00000000-0010-0000-0300-000003000000}" name="Class 1" dataDxfId="5"/>
    <tableColumn id="4" xr3:uid="{00000000-0010-0000-0300-000004000000}" name="Class 2"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NFP Custom">
      <a:dk1>
        <a:sysClr val="windowText" lastClr="000000"/>
      </a:dk1>
      <a:lt1>
        <a:sysClr val="window" lastClr="FFFFFF"/>
      </a:lt1>
      <a:dk2>
        <a:srgbClr val="44546A"/>
      </a:dk2>
      <a:lt2>
        <a:srgbClr val="E7E6E6"/>
      </a:lt2>
      <a:accent1>
        <a:srgbClr val="4F9237"/>
      </a:accent1>
      <a:accent2>
        <a:srgbClr val="EB9D00"/>
      </a:accent2>
      <a:accent3>
        <a:srgbClr val="0074BC"/>
      </a:accent3>
      <a:accent4>
        <a:srgbClr val="F6D03A"/>
      </a:accent4>
      <a:accent5>
        <a:srgbClr val="9A498B"/>
      </a:accent5>
      <a:accent6>
        <a:srgbClr val="00AAC3"/>
      </a:accent6>
      <a:hlink>
        <a:srgbClr val="4F9237"/>
      </a:hlink>
      <a:folHlink>
        <a:srgbClr val="AAD09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1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drawing" Target="../drawings/drawing13.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49.vml"/><Relationship Id="rId2" Type="http://schemas.openxmlformats.org/officeDocument/2006/relationships/drawing" Target="../drawings/drawing15.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50.vml"/><Relationship Id="rId2" Type="http://schemas.openxmlformats.org/officeDocument/2006/relationships/drawing" Target="../drawings/drawing16.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drawing" Target="../drawings/drawing17.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52.vml"/><Relationship Id="rId2" Type="http://schemas.openxmlformats.org/officeDocument/2006/relationships/drawing" Target="../drawings/drawing1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19.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54.vml"/><Relationship Id="rId2" Type="http://schemas.openxmlformats.org/officeDocument/2006/relationships/drawing" Target="../drawings/drawing20.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21.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vmlDrawing" Target="../drawings/vmlDrawing63.v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vmlDrawing" Target="../drawings/vmlDrawing64.v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65.v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67.v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vmlDrawing" Target="../drawings/vmlDrawing69.vml"/><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theme="1"/>
    <pageSetUpPr fitToPage="1"/>
  </sheetPr>
  <dimension ref="A1:N42"/>
  <sheetViews>
    <sheetView workbookViewId="0">
      <selection activeCell="D4" sqref="D4"/>
    </sheetView>
  </sheetViews>
  <sheetFormatPr baseColWidth="10" defaultColWidth="9.1640625" defaultRowHeight="15" customHeight="1"/>
  <cols>
    <col min="1" max="1" width="24.83203125" style="178" customWidth="1"/>
    <col min="2" max="2" width="49.33203125" style="178" customWidth="1"/>
    <col min="3" max="3" width="9.1640625" style="178"/>
    <col min="4" max="4" width="8" style="178" customWidth="1"/>
    <col min="5" max="6" width="9.1640625" style="178"/>
    <col min="7" max="7" width="7.5" style="178" customWidth="1"/>
    <col min="8" max="16384" width="9.1640625" style="178"/>
  </cols>
  <sheetData>
    <row r="1" spans="1:14" ht="15" customHeight="1">
      <c r="A1" s="178" t="s">
        <v>493</v>
      </c>
      <c r="B1" s="187" t="s">
        <v>494</v>
      </c>
    </row>
    <row r="2" spans="1:14" ht="15" customHeight="1">
      <c r="B2" s="187"/>
      <c r="D2" s="368" t="str">
        <f>"Renewal Report"&amp;CHAR(10)&amp;"Effective"&amp;" "&amp;RenewalDate&amp;" 1, "&amp;RenewalYear&amp;""&amp;CHAR(10)</f>
        <v xml:space="preserve">Renewal Report
Effective Month 1, Year
</v>
      </c>
    </row>
    <row r="3" spans="1:14" ht="15" customHeight="1">
      <c r="A3" s="178" t="s">
        <v>503</v>
      </c>
      <c r="B3" s="187" t="s">
        <v>503</v>
      </c>
    </row>
    <row r="4" spans="1:14" ht="15" customHeight="1">
      <c r="A4" s="178" t="s">
        <v>505</v>
      </c>
      <c r="B4" s="187" t="s">
        <v>505</v>
      </c>
    </row>
    <row r="5" spans="1:14" ht="15" customHeight="1">
      <c r="A5" s="178" t="s">
        <v>506</v>
      </c>
      <c r="B5" s="187"/>
    </row>
    <row r="6" spans="1:14" ht="15" customHeight="1">
      <c r="A6" s="178" t="s">
        <v>504</v>
      </c>
      <c r="B6" s="187"/>
    </row>
    <row r="7" spans="1:14" ht="15" customHeight="1">
      <c r="B7" s="187"/>
    </row>
    <row r="8" spans="1:14" ht="15" customHeight="1">
      <c r="A8" s="178" t="s">
        <v>500</v>
      </c>
      <c r="B8" s="187" t="s">
        <v>0</v>
      </c>
      <c r="L8" s="816"/>
      <c r="M8" s="816"/>
      <c r="N8" s="816"/>
    </row>
    <row r="9" spans="1:14" ht="15" customHeight="1">
      <c r="A9" s="178" t="s">
        <v>501</v>
      </c>
      <c r="B9" s="189" t="s">
        <v>502</v>
      </c>
      <c r="L9" s="816"/>
      <c r="M9" s="816"/>
      <c r="N9" s="816"/>
    </row>
    <row r="10" spans="1:14" ht="15" customHeight="1">
      <c r="B10" s="187"/>
      <c r="L10" s="816"/>
      <c r="M10" s="816"/>
      <c r="N10" s="816"/>
    </row>
    <row r="11" spans="1:14" ht="15" customHeight="1">
      <c r="A11" s="178" t="s">
        <v>529</v>
      </c>
      <c r="B11" s="188" t="s">
        <v>538</v>
      </c>
      <c r="L11" s="816"/>
      <c r="M11" s="816"/>
      <c r="N11" s="816"/>
    </row>
    <row r="12" spans="1:14" ht="15" customHeight="1">
      <c r="A12" s="178" t="s">
        <v>530</v>
      </c>
      <c r="B12" s="189" t="s">
        <v>539</v>
      </c>
      <c r="L12" s="816"/>
      <c r="M12" s="816"/>
      <c r="N12" s="816"/>
    </row>
    <row r="13" spans="1:14" ht="15" customHeight="1">
      <c r="B13" s="187"/>
      <c r="L13" s="816"/>
      <c r="M13" s="816"/>
      <c r="N13" s="816"/>
    </row>
    <row r="14" spans="1:14" ht="15" customHeight="1">
      <c r="A14" s="178" t="s">
        <v>495</v>
      </c>
      <c r="B14" s="187" t="s">
        <v>540</v>
      </c>
      <c r="L14" s="816"/>
      <c r="M14" s="816"/>
      <c r="N14" s="816"/>
    </row>
    <row r="15" spans="1:14" ht="15" customHeight="1">
      <c r="A15" s="178" t="s">
        <v>496</v>
      </c>
      <c r="B15" s="187" t="s">
        <v>540</v>
      </c>
      <c r="L15" s="816"/>
      <c r="M15" s="816"/>
      <c r="N15" s="816"/>
    </row>
    <row r="16" spans="1:14" ht="15" customHeight="1">
      <c r="A16" s="178" t="s">
        <v>497</v>
      </c>
      <c r="B16" s="187" t="s">
        <v>540</v>
      </c>
      <c r="L16" s="816"/>
      <c r="M16" s="816"/>
      <c r="N16" s="816"/>
    </row>
    <row r="17" spans="1:14" ht="15" customHeight="1">
      <c r="A17" s="178" t="s">
        <v>498</v>
      </c>
      <c r="B17" s="187" t="s">
        <v>540</v>
      </c>
      <c r="L17" s="816"/>
      <c r="M17" s="816"/>
      <c r="N17" s="816"/>
    </row>
    <row r="18" spans="1:14" ht="15" customHeight="1">
      <c r="A18" s="178" t="s">
        <v>499</v>
      </c>
      <c r="B18" s="187" t="s">
        <v>540</v>
      </c>
      <c r="L18" s="816"/>
      <c r="M18" s="816"/>
      <c r="N18" s="816"/>
    </row>
    <row r="19" spans="1:14" ht="15" customHeight="1">
      <c r="B19" s="187"/>
      <c r="L19" s="816"/>
      <c r="M19" s="816"/>
      <c r="N19" s="816"/>
    </row>
    <row r="20" spans="1:14" ht="15" customHeight="1">
      <c r="A20" s="178" t="s">
        <v>551</v>
      </c>
      <c r="B20" s="189">
        <f>'Pooled Benefits '!B23+'Pooled Benefits '!D23</f>
        <v>0</v>
      </c>
      <c r="C20" s="194" t="s">
        <v>552</v>
      </c>
      <c r="L20" s="816"/>
      <c r="M20" s="816"/>
      <c r="N20" s="816"/>
    </row>
    <row r="21" spans="1:14" ht="15" hidden="1" customHeight="1">
      <c r="A21" s="178" t="s">
        <v>553</v>
      </c>
      <c r="B21" s="228"/>
      <c r="C21" s="194" t="s">
        <v>554</v>
      </c>
      <c r="L21" s="816"/>
      <c r="M21" s="816"/>
      <c r="N21" s="816"/>
    </row>
    <row r="22" spans="1:14" ht="15" customHeight="1">
      <c r="B22" s="228"/>
      <c r="C22" s="194"/>
      <c r="L22" s="816"/>
      <c r="M22" s="816"/>
      <c r="N22" s="816"/>
    </row>
    <row r="23" spans="1:14" ht="15" customHeight="1">
      <c r="A23" s="178" t="s">
        <v>636</v>
      </c>
      <c r="B23" s="228"/>
      <c r="C23" s="194"/>
      <c r="L23" s="816"/>
      <c r="M23" s="816"/>
      <c r="N23" s="816"/>
    </row>
    <row r="24" spans="1:14" ht="15" customHeight="1">
      <c r="A24" s="231" t="s">
        <v>140</v>
      </c>
      <c r="B24" s="232">
        <v>0.1</v>
      </c>
      <c r="C24" s="194" t="s">
        <v>637</v>
      </c>
      <c r="L24" s="816"/>
      <c r="M24" s="816"/>
      <c r="N24" s="816"/>
    </row>
    <row r="25" spans="1:14" ht="15" customHeight="1">
      <c r="A25" s="231" t="s">
        <v>44</v>
      </c>
      <c r="B25" s="232">
        <v>7.0000000000000007E-2</v>
      </c>
      <c r="C25" s="194"/>
      <c r="L25" s="816"/>
      <c r="M25" s="816"/>
      <c r="N25" s="816"/>
    </row>
    <row r="26" spans="1:14" ht="15" customHeight="1">
      <c r="A26" s="231" t="s">
        <v>40</v>
      </c>
      <c r="B26" s="232">
        <v>0.04</v>
      </c>
      <c r="C26" s="194"/>
      <c r="L26" s="816"/>
      <c r="M26" s="816"/>
      <c r="N26" s="816"/>
    </row>
    <row r="27" spans="1:14" ht="15" customHeight="1">
      <c r="A27" s="261" t="s">
        <v>650</v>
      </c>
      <c r="B27" s="262"/>
      <c r="L27" s="816"/>
      <c r="M27" s="816"/>
      <c r="N27" s="816"/>
    </row>
    <row r="28" spans="1:14" ht="15" customHeight="1">
      <c r="A28" s="978" t="s">
        <v>508</v>
      </c>
      <c r="B28" s="978"/>
      <c r="C28" s="978"/>
      <c r="D28" s="978"/>
      <c r="E28" s="978"/>
      <c r="F28" s="978"/>
      <c r="G28" s="978"/>
      <c r="L28" s="816"/>
      <c r="M28" s="816"/>
      <c r="N28" s="816"/>
    </row>
    <row r="29" spans="1:14" ht="15" customHeight="1">
      <c r="A29" s="178" t="s">
        <v>522</v>
      </c>
      <c r="B29" s="186" t="s">
        <v>517</v>
      </c>
      <c r="C29" s="181" t="s">
        <v>509</v>
      </c>
      <c r="D29" s="184" t="s">
        <v>513</v>
      </c>
      <c r="E29" s="182" t="s">
        <v>510</v>
      </c>
      <c r="F29" s="178" t="s">
        <v>486</v>
      </c>
      <c r="G29" s="181" t="s">
        <v>509</v>
      </c>
      <c r="L29" s="816"/>
      <c r="M29" s="816"/>
      <c r="N29" s="816"/>
    </row>
    <row r="30" spans="1:14" ht="15" customHeight="1">
      <c r="A30" s="178" t="s">
        <v>523</v>
      </c>
      <c r="B30" s="186" t="s">
        <v>518</v>
      </c>
      <c r="C30" s="181" t="s">
        <v>509</v>
      </c>
      <c r="D30" s="184" t="s">
        <v>513</v>
      </c>
      <c r="E30" s="182" t="s">
        <v>510</v>
      </c>
      <c r="F30" s="178" t="s">
        <v>486</v>
      </c>
      <c r="G30" s="181" t="s">
        <v>509</v>
      </c>
      <c r="L30" s="816"/>
      <c r="M30" s="816"/>
      <c r="N30" s="816"/>
    </row>
    <row r="31" spans="1:14" ht="15" customHeight="1">
      <c r="A31" s="178" t="s">
        <v>524</v>
      </c>
      <c r="B31" s="186" t="s">
        <v>519</v>
      </c>
      <c r="C31" s="181" t="s">
        <v>509</v>
      </c>
      <c r="D31" s="184" t="s">
        <v>513</v>
      </c>
      <c r="E31" s="182" t="s">
        <v>510</v>
      </c>
      <c r="F31" s="178" t="s">
        <v>486</v>
      </c>
      <c r="G31" s="181" t="s">
        <v>509</v>
      </c>
      <c r="L31" s="816"/>
      <c r="M31" s="816"/>
      <c r="N31" s="816"/>
    </row>
    <row r="32" spans="1:14" ht="15" customHeight="1">
      <c r="A32" s="178" t="s">
        <v>525</v>
      </c>
      <c r="B32" s="186" t="s">
        <v>520</v>
      </c>
      <c r="C32" s="181" t="s">
        <v>509</v>
      </c>
      <c r="D32" s="185" t="s">
        <v>514</v>
      </c>
      <c r="E32" s="182" t="s">
        <v>510</v>
      </c>
      <c r="F32" s="178" t="s">
        <v>486</v>
      </c>
      <c r="G32" s="181" t="s">
        <v>509</v>
      </c>
      <c r="L32" s="816"/>
      <c r="M32" s="816"/>
      <c r="N32" s="816"/>
    </row>
    <row r="33" spans="1:14" ht="15" customHeight="1">
      <c r="A33" s="178" t="s">
        <v>511</v>
      </c>
      <c r="B33" s="186" t="s">
        <v>516</v>
      </c>
      <c r="C33" s="181" t="s">
        <v>509</v>
      </c>
      <c r="D33" s="185" t="s">
        <v>514</v>
      </c>
      <c r="E33" s="182" t="s">
        <v>510</v>
      </c>
      <c r="F33" s="183" t="s">
        <v>546</v>
      </c>
      <c r="G33" s="181" t="s">
        <v>509</v>
      </c>
      <c r="L33" s="816"/>
      <c r="M33" s="816"/>
      <c r="N33" s="816"/>
    </row>
    <row r="34" spans="1:14" ht="15" customHeight="1">
      <c r="A34" s="178" t="s">
        <v>515</v>
      </c>
      <c r="B34" s="186" t="s">
        <v>521</v>
      </c>
      <c r="C34" s="181" t="s">
        <v>509</v>
      </c>
      <c r="D34" s="185" t="s">
        <v>514</v>
      </c>
      <c r="E34" s="182" t="s">
        <v>510</v>
      </c>
      <c r="F34" s="183" t="s">
        <v>546</v>
      </c>
      <c r="G34" s="181" t="s">
        <v>509</v>
      </c>
      <c r="L34" s="816"/>
      <c r="M34" s="816"/>
      <c r="N34" s="816"/>
    </row>
    <row r="35" spans="1:14" ht="15" customHeight="1">
      <c r="A35" s="178" t="s">
        <v>447</v>
      </c>
      <c r="B35" s="186" t="s">
        <v>526</v>
      </c>
      <c r="C35" s="181" t="s">
        <v>509</v>
      </c>
      <c r="D35" s="185" t="s">
        <v>514</v>
      </c>
      <c r="E35" s="182" t="s">
        <v>510</v>
      </c>
      <c r="F35" s="183" t="s">
        <v>546</v>
      </c>
      <c r="G35" s="181" t="s">
        <v>509</v>
      </c>
      <c r="L35" s="816"/>
      <c r="M35" s="816"/>
      <c r="N35" s="816"/>
    </row>
    <row r="36" spans="1:14" ht="15" customHeight="1">
      <c r="A36" s="178" t="s">
        <v>512</v>
      </c>
      <c r="B36" s="186" t="s">
        <v>526</v>
      </c>
      <c r="C36" s="181" t="s">
        <v>509</v>
      </c>
      <c r="D36" s="185" t="s">
        <v>514</v>
      </c>
      <c r="E36" s="182" t="s">
        <v>510</v>
      </c>
      <c r="F36" s="183" t="s">
        <v>546</v>
      </c>
      <c r="G36" s="181" t="s">
        <v>509</v>
      </c>
      <c r="L36" s="816"/>
      <c r="M36" s="816"/>
      <c r="N36" s="816"/>
    </row>
    <row r="37" spans="1:14" ht="15" customHeight="1">
      <c r="L37" s="816"/>
      <c r="M37" s="816"/>
      <c r="N37" s="816"/>
    </row>
    <row r="38" spans="1:14" ht="15" customHeight="1">
      <c r="L38" s="816"/>
      <c r="M38" s="816"/>
      <c r="N38" s="816"/>
    </row>
    <row r="39" spans="1:14" ht="15" customHeight="1">
      <c r="L39" s="816"/>
      <c r="M39" s="816"/>
      <c r="N39" s="816"/>
    </row>
    <row r="40" spans="1:14" ht="15" customHeight="1">
      <c r="L40" s="816"/>
      <c r="M40" s="816"/>
      <c r="N40" s="816"/>
    </row>
    <row r="41" spans="1:14" ht="15" customHeight="1">
      <c r="L41" s="816"/>
      <c r="M41" s="816"/>
      <c r="N41" s="816"/>
    </row>
    <row r="42" spans="1:14" ht="15" customHeight="1">
      <c r="L42" s="816"/>
      <c r="M42" s="816"/>
      <c r="N42" s="816"/>
    </row>
  </sheetData>
  <mergeCells count="1">
    <mergeCell ref="A28:G28"/>
  </mergeCells>
  <printOptions horizontalCentered="1"/>
  <pageMargins left="0.405092592592593" right="0.47453703703703698" top="0.55118110236220497" bottom="0.94488188976377996" header="0.31496062992126" footer="0.31496062992126"/>
  <pageSetup scale="77" fitToHeight="0" orientation="portrait" r:id="rId1"/>
  <headerFooter>
    <oddHeader>&amp;L&amp;"Arial,Regular"&amp;9NFP Canada&amp;R&amp;"Arial,Regular"&amp;9&amp;K000000Page &amp;P</oddHeader>
    <oddFooter>&amp;L&amp;"Arial,Bold"&amp;9&amp;K4C5B52Renewal Report. &amp;"Arial,Regular"Insurance services provided through NFP Canada, 
a subsidiary of NFP Corp. (NFP).&amp;R&amp;G</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FF0000"/>
  </sheetPr>
  <dimension ref="A1:I24"/>
  <sheetViews>
    <sheetView showGridLines="0" view="pageLayout" zoomScale="90" zoomScaleNormal="100" zoomScalePageLayoutView="90" workbookViewId="0">
      <selection activeCell="C28" sqref="C28"/>
    </sheetView>
  </sheetViews>
  <sheetFormatPr baseColWidth="10" defaultColWidth="9.1640625" defaultRowHeight="14" outlineLevelRow="1"/>
  <cols>
    <col min="1" max="1" width="17.83203125" style="208" customWidth="1"/>
    <col min="2" max="2" width="20.5" style="208" customWidth="1"/>
    <col min="3" max="3" width="21.33203125" style="208" customWidth="1"/>
    <col min="4" max="4" width="15.83203125" style="208" customWidth="1"/>
    <col min="5" max="5" width="21.5" style="208" customWidth="1"/>
    <col min="6" max="6" width="7.1640625" style="208" customWidth="1"/>
    <col min="7" max="7" width="17.83203125" style="208" bestFit="1" customWidth="1"/>
    <col min="8" max="8" width="12.5" style="208" customWidth="1"/>
    <col min="9" max="9" width="13.1640625" style="208" customWidth="1"/>
    <col min="10" max="16384" width="9.1640625" style="208"/>
  </cols>
  <sheetData>
    <row r="1" spans="1:9" ht="18.75" customHeight="1"/>
    <row r="2" spans="1:9" s="1" customFormat="1" ht="20">
      <c r="A2" s="1023" t="s">
        <v>701</v>
      </c>
      <c r="B2" s="1023"/>
      <c r="C2" s="1023"/>
      <c r="D2" s="22"/>
      <c r="E2" s="3"/>
      <c r="F2" s="208"/>
    </row>
    <row r="3" spans="1:9" s="1" customFormat="1" ht="8.25" customHeight="1">
      <c r="A3" s="1023"/>
      <c r="B3" s="1023"/>
      <c r="C3" s="1023"/>
      <c r="D3" s="22"/>
      <c r="E3" s="3"/>
      <c r="F3" s="208"/>
    </row>
    <row r="4" spans="1:9" ht="27" customHeight="1">
      <c r="A4" s="224" t="s">
        <v>702</v>
      </c>
    </row>
    <row r="6" spans="1:9">
      <c r="A6" s="406" t="s">
        <v>34</v>
      </c>
      <c r="B6" s="407" t="s">
        <v>55</v>
      </c>
      <c r="C6" s="405" t="s">
        <v>56</v>
      </c>
    </row>
    <row r="7" spans="1:9">
      <c r="A7" s="523" t="s">
        <v>37</v>
      </c>
      <c r="B7" s="426">
        <v>0</v>
      </c>
      <c r="C7" s="426">
        <f>1-B7</f>
        <v>1</v>
      </c>
    </row>
    <row r="8" spans="1:9">
      <c r="A8" s="523" t="s">
        <v>38</v>
      </c>
      <c r="B8" s="426">
        <v>0</v>
      </c>
      <c r="C8" s="426">
        <f t="shared" ref="C8:C13" si="0">1-B8</f>
        <v>1</v>
      </c>
    </row>
    <row r="9" spans="1:9">
      <c r="A9" s="523" t="s">
        <v>9</v>
      </c>
      <c r="B9" s="426">
        <v>0</v>
      </c>
      <c r="C9" s="426">
        <f t="shared" si="0"/>
        <v>1</v>
      </c>
    </row>
    <row r="10" spans="1:9">
      <c r="A10" s="523" t="s">
        <v>39</v>
      </c>
      <c r="B10" s="426">
        <v>0</v>
      </c>
      <c r="C10" s="426">
        <f t="shared" si="0"/>
        <v>1</v>
      </c>
    </row>
    <row r="11" spans="1:9">
      <c r="A11" s="523" t="s">
        <v>40</v>
      </c>
      <c r="B11" s="426">
        <v>0</v>
      </c>
      <c r="C11" s="426">
        <f t="shared" si="0"/>
        <v>1</v>
      </c>
      <c r="G11" s="172" t="s">
        <v>708</v>
      </c>
    </row>
    <row r="12" spans="1:9">
      <c r="A12" s="523" t="s">
        <v>140</v>
      </c>
      <c r="B12" s="426">
        <v>0</v>
      </c>
      <c r="C12" s="426">
        <f>1-B12</f>
        <v>1</v>
      </c>
    </row>
    <row r="13" spans="1:9">
      <c r="A13" s="523" t="s">
        <v>44</v>
      </c>
      <c r="B13" s="426">
        <v>0</v>
      </c>
      <c r="C13" s="426">
        <f t="shared" si="0"/>
        <v>1</v>
      </c>
    </row>
    <row r="16" spans="1:9" outlineLevel="1">
      <c r="A16" s="534"/>
      <c r="B16" s="712" t="s">
        <v>52</v>
      </c>
      <c r="C16" s="712" t="s">
        <v>53</v>
      </c>
      <c r="D16" s="712" t="s">
        <v>54</v>
      </c>
      <c r="E16" s="721" t="s">
        <v>36</v>
      </c>
      <c r="H16" s="326" t="s">
        <v>31</v>
      </c>
      <c r="I16" s="326" t="s">
        <v>175</v>
      </c>
    </row>
    <row r="17" spans="1:9" outlineLevel="1">
      <c r="A17" s="480" t="s">
        <v>55</v>
      </c>
      <c r="B17" s="385">
        <f>B7*'Executive Summary'!C10+B8*'Executive Summary'!C11+B9*'Executive Summary'!C12+B10*'Executive Summary'!C13+B11*'Executive Summary'!C15+B12*SUM('Executive Summary'!C16:C19)+B13*'Executive Summary'!C20</f>
        <v>0</v>
      </c>
      <c r="C17" s="385">
        <f>B7*'Executive Summary'!F10+B8*'Executive Summary'!F11+B9*'Executive Summary'!F12+B10*'Executive Summary'!F13+B11*'Executive Summary'!F15+B12*SUM('Executive Summary'!F16:F19)+B13*'Executive Summary'!F20</f>
        <v>0</v>
      </c>
      <c r="D17" s="385">
        <f>C17-B17</f>
        <v>0</v>
      </c>
      <c r="E17" s="428">
        <f>IFERROR(C17/B17-1,0)</f>
        <v>0</v>
      </c>
      <c r="G17" s="286" t="s">
        <v>706</v>
      </c>
      <c r="H17" s="287">
        <f>'Executive Summary'!C23</f>
        <v>0</v>
      </c>
      <c r="I17" s="287">
        <f>'Executive Summary'!F23</f>
        <v>0</v>
      </c>
    </row>
    <row r="18" spans="1:9" ht="15" outlineLevel="1" thickBot="1">
      <c r="A18" s="480" t="s">
        <v>56</v>
      </c>
      <c r="B18" s="385">
        <f>(1-B7)*'Executive Summary'!C10+(1-B8)*'Executive Summary'!C11+(1-B9)*'Executive Summary'!C12+(1-B10)*'Executive Summary'!C13+(1-B11)*'Executive Summary'!C15+(1-B12)*SUM('Executive Summary'!C16:C19)+(1-B13)*'Executive Summary'!C20+SUM('Executive Summary'!C21:C22)</f>
        <v>0</v>
      </c>
      <c r="C18" s="385">
        <f>(1-B7)*'Executive Summary'!F10+(1-B8)*'Executive Summary'!F11+(1-B9)*'Executive Summary'!F12+(1-B10)*'Executive Summary'!F13+(1-B11)*'Executive Summary'!F15+(1-B12)*SUM('Executive Summary'!F16:F19)+(1-B13)*'Executive Summary'!F20+SUM('Executive Summary'!F21:F22)</f>
        <v>0</v>
      </c>
      <c r="D18" s="385">
        <f>C18-B18</f>
        <v>0</v>
      </c>
      <c r="E18" s="428">
        <f>IFERROR(C18/B18-1,0)</f>
        <v>0</v>
      </c>
      <c r="G18" s="286" t="s">
        <v>695</v>
      </c>
      <c r="H18" s="325">
        <f>B18+B17</f>
        <v>0</v>
      </c>
      <c r="I18" s="325">
        <f>C18+C17</f>
        <v>0</v>
      </c>
    </row>
    <row r="19" spans="1:9" ht="15" outlineLevel="1" thickTop="1">
      <c r="G19" s="286" t="s">
        <v>672</v>
      </c>
      <c r="H19" s="287">
        <f>H17-H18</f>
        <v>0</v>
      </c>
      <c r="I19" s="287">
        <f>I17-I18</f>
        <v>0</v>
      </c>
    </row>
    <row r="20" spans="1:9" ht="55" customHeight="1">
      <c r="A20" s="1024" t="s">
        <v>858</v>
      </c>
      <c r="B20" s="1024"/>
      <c r="C20" s="1024"/>
      <c r="D20" s="1024"/>
      <c r="E20" s="1024"/>
    </row>
    <row r="21" spans="1:9" outlineLevel="1">
      <c r="A21" s="879"/>
      <c r="B21" s="880" t="s">
        <v>704</v>
      </c>
      <c r="C21" s="880" t="s">
        <v>705</v>
      </c>
      <c r="D21" s="880" t="s">
        <v>54</v>
      </c>
      <c r="E21" s="847" t="s">
        <v>36</v>
      </c>
      <c r="H21" s="326" t="s">
        <v>31</v>
      </c>
      <c r="I21" s="326" t="s">
        <v>175</v>
      </c>
    </row>
    <row r="22" spans="1:9" outlineLevel="1">
      <c r="A22" s="720" t="s">
        <v>55</v>
      </c>
      <c r="B22" s="718">
        <f>B7*'Executive Summary (ASO)'!C10+B8*'Executive Summary (ASO)'!C11+B9*'Executive Summary (ASO)'!C12+B10*'Executive Summary (ASO)'!C13+B11*'Executive Summary (ASO)'!C14+B12*'Executive Summary (ASO)'!C20</f>
        <v>0</v>
      </c>
      <c r="C22" s="718">
        <f>B7*'Executive Summary (ASO)'!F10+B8*'Executive Summary (ASO)'!F11+B9*'Executive Summary (ASO)'!F12+B10*'Executive Summary (ASO)'!F13+B11*'Executive Summary (ASO)'!F14+B12*'Executive Summary (ASO)'!F20</f>
        <v>0</v>
      </c>
      <c r="D22" s="718">
        <f>C22-B22</f>
        <v>0</v>
      </c>
      <c r="E22" s="719">
        <f>IFERROR(C22/B22-1,0)</f>
        <v>0</v>
      </c>
      <c r="G22" s="286" t="s">
        <v>706</v>
      </c>
      <c r="H22" s="287">
        <f>'Executive Summary (ASO)'!C20+'Executive Summary (ASO)'!C15</f>
        <v>0</v>
      </c>
      <c r="I22" s="287">
        <f>'Executive Summary (ASO)'!F20+'Executive Summary (ASO)'!F15</f>
        <v>0</v>
      </c>
    </row>
    <row r="23" spans="1:9" ht="15" outlineLevel="1" thickBot="1">
      <c r="A23" s="720" t="s">
        <v>56</v>
      </c>
      <c r="B23" s="718">
        <f>(1-B7)*'Executive Summary (ASO)'!C10+(1-B8)*'Executive Summary (ASO)'!C11+(1-B9)*'Executive Summary (ASO)'!C12+(1-B10)*'Executive Summary (ASO)'!C13+(1-B11)*'Executive Summary (ASO)'!C14+(1-B12)*'Executive Summary (ASO)'!C20</f>
        <v>0</v>
      </c>
      <c r="C23" s="718">
        <f>(1-B7)*'Executive Summary (ASO)'!F10+(1-B8)*'Executive Summary (ASO)'!F11+(1-B9)*'Executive Summary (ASO)'!F12+(1-B10)*'Executive Summary (ASO)'!F13+(1-B11)*'Executive Summary (ASO)'!F14+(1-B12)*'Executive Summary (ASO)'!F20</f>
        <v>0</v>
      </c>
      <c r="D23" s="718">
        <f>C23-B23</f>
        <v>0</v>
      </c>
      <c r="E23" s="719">
        <f>IFERROR(C23/B23-1,0)</f>
        <v>0</v>
      </c>
      <c r="G23" s="286" t="s">
        <v>695</v>
      </c>
      <c r="H23" s="325">
        <f>B23+B22</f>
        <v>0</v>
      </c>
      <c r="I23" s="325">
        <f>C23+C22</f>
        <v>0</v>
      </c>
    </row>
    <row r="24" spans="1:9" ht="15" outlineLevel="1" thickTop="1">
      <c r="G24" s="286" t="s">
        <v>672</v>
      </c>
      <c r="H24" s="287">
        <f>H22-H23</f>
        <v>0</v>
      </c>
      <c r="I24" s="287">
        <f>I22-I23</f>
        <v>0</v>
      </c>
    </row>
  </sheetData>
  <mergeCells count="2">
    <mergeCell ref="A2:C3"/>
    <mergeCell ref="A20:E20"/>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FF0000"/>
    <pageSetUpPr fitToPage="1"/>
  </sheetPr>
  <dimension ref="A1:H32"/>
  <sheetViews>
    <sheetView showGridLines="0" view="pageLayout" topLeftCell="A4" zoomScaleNormal="100" workbookViewId="0">
      <selection activeCell="H10" sqref="H10"/>
    </sheetView>
  </sheetViews>
  <sheetFormatPr baseColWidth="10" defaultColWidth="9.1640625" defaultRowHeight="15" customHeight="1"/>
  <cols>
    <col min="1" max="1" width="7.1640625" customWidth="1"/>
    <col min="2" max="2" width="91.1640625" customWidth="1"/>
    <col min="3" max="3" width="13.5" customWidth="1"/>
    <col min="4" max="4" width="14.6640625" customWidth="1"/>
    <col min="5" max="5" width="15.6640625" customWidth="1"/>
    <col min="6" max="6" width="16.1640625" customWidth="1"/>
    <col min="7" max="7" width="12.83203125" customWidth="1"/>
    <col min="8" max="8" width="15.33203125" customWidth="1"/>
  </cols>
  <sheetData>
    <row r="1" spans="1:8" ht="28" customHeight="1">
      <c r="A1" s="372"/>
      <c r="B1" s="372"/>
    </row>
    <row r="2" spans="1:8" ht="15" customHeight="1">
      <c r="A2" s="392" t="s">
        <v>59</v>
      </c>
    </row>
    <row r="3" spans="1:8" s="1" customFormat="1" ht="3.75" customHeight="1">
      <c r="A3" s="1025"/>
      <c r="B3" s="1025"/>
      <c r="C3"/>
      <c r="D3"/>
      <c r="E3"/>
      <c r="F3"/>
      <c r="G3"/>
      <c r="H3"/>
    </row>
    <row r="4" spans="1:8" s="1" customFormat="1">
      <c r="A4" s="430" t="s">
        <v>325</v>
      </c>
      <c r="B4" s="204"/>
      <c r="C4"/>
      <c r="D4"/>
      <c r="E4"/>
      <c r="F4"/>
      <c r="G4"/>
      <c r="H4"/>
    </row>
    <row r="5" spans="1:8" s="1" customFormat="1" ht="3.75" customHeight="1">
      <c r="A5" s="876"/>
      <c r="B5" s="875"/>
      <c r="C5" s="364"/>
      <c r="D5" s="364"/>
      <c r="E5" s="364"/>
      <c r="F5" s="364"/>
      <c r="G5" s="364"/>
      <c r="H5" s="364"/>
    </row>
    <row r="6" spans="1:8" s="1" customFormat="1">
      <c r="A6" s="3"/>
      <c r="B6" s="175" t="s">
        <v>857</v>
      </c>
      <c r="C6" s="364"/>
      <c r="D6" s="364"/>
      <c r="E6" s="364"/>
      <c r="F6" s="364"/>
      <c r="G6" s="364"/>
      <c r="H6" s="364"/>
    </row>
    <row r="7" spans="1:8" s="1" customFormat="1" ht="182">
      <c r="A7" s="3"/>
      <c r="B7" s="431" t="s">
        <v>859</v>
      </c>
      <c r="C7" s="364"/>
      <c r="D7" s="364"/>
      <c r="E7" s="364"/>
      <c r="F7" s="364"/>
      <c r="G7" s="364"/>
      <c r="H7" s="364"/>
    </row>
    <row r="8" spans="1:8" s="1" customFormat="1" ht="3.75" customHeight="1">
      <c r="A8" s="13"/>
      <c r="B8" s="204"/>
      <c r="C8"/>
      <c r="D8"/>
      <c r="E8"/>
      <c r="F8"/>
      <c r="G8"/>
      <c r="H8"/>
    </row>
    <row r="9" spans="1:8" s="1" customFormat="1">
      <c r="A9" s="3"/>
      <c r="B9" s="175" t="s">
        <v>485</v>
      </c>
      <c r="C9"/>
      <c r="D9"/>
      <c r="E9"/>
      <c r="F9"/>
      <c r="G9"/>
      <c r="H9"/>
    </row>
    <row r="10" spans="1:8" s="1" customFormat="1" ht="28">
      <c r="A10" s="3"/>
      <c r="B10" s="431" t="s">
        <v>827</v>
      </c>
      <c r="C10"/>
      <c r="D10"/>
      <c r="E10"/>
      <c r="F10"/>
      <c r="G10"/>
      <c r="H10"/>
    </row>
    <row r="11" spans="1:8" s="1" customFormat="1" ht="3.75" customHeight="1">
      <c r="A11" s="13"/>
      <c r="B11" s="204"/>
      <c r="C11"/>
      <c r="D11"/>
      <c r="E11"/>
      <c r="F11"/>
      <c r="G11"/>
      <c r="H11"/>
    </row>
    <row r="12" spans="1:8" s="1" customFormat="1" ht="3.75" customHeight="1">
      <c r="A12" s="13"/>
      <c r="B12" s="204"/>
      <c r="C12"/>
      <c r="D12"/>
      <c r="E12"/>
      <c r="F12"/>
      <c r="G12"/>
      <c r="H12"/>
    </row>
    <row r="13" spans="1:8" s="1" customFormat="1">
      <c r="A13" s="3"/>
      <c r="B13" s="175" t="s">
        <v>451</v>
      </c>
      <c r="C13"/>
      <c r="D13"/>
      <c r="E13"/>
      <c r="F13"/>
      <c r="G13"/>
      <c r="H13"/>
    </row>
    <row r="14" spans="1:8" s="1" customFormat="1" ht="118.5" customHeight="1">
      <c r="A14" s="3"/>
      <c r="B14" s="431" t="s">
        <v>655</v>
      </c>
      <c r="C14"/>
      <c r="D14"/>
      <c r="E14"/>
      <c r="F14"/>
      <c r="G14"/>
      <c r="H14"/>
    </row>
    <row r="15" spans="1:8" s="1" customFormat="1" ht="3.75" customHeight="1">
      <c r="A15" s="3"/>
      <c r="B15" s="225"/>
      <c r="C15"/>
      <c r="D15"/>
      <c r="E15"/>
      <c r="F15"/>
      <c r="G15"/>
      <c r="H15"/>
    </row>
    <row r="18" spans="1:8" s="1" customFormat="1" ht="3.75" customHeight="1">
      <c r="A18" s="13"/>
      <c r="B18" s="204"/>
      <c r="C18"/>
      <c r="D18"/>
      <c r="E18"/>
      <c r="F18"/>
      <c r="G18"/>
      <c r="H18"/>
    </row>
    <row r="25" spans="1:8">
      <c r="B25" s="77"/>
      <c r="C25" s="3"/>
      <c r="D25" s="8"/>
      <c r="E25" s="8"/>
      <c r="F25" s="8"/>
      <c r="G25" s="8"/>
      <c r="H25" s="8"/>
    </row>
    <row r="26" spans="1:8" ht="65.25" customHeight="1">
      <c r="B26" s="78"/>
      <c r="C26" s="78"/>
      <c r="D26" s="8"/>
      <c r="E26" s="8"/>
      <c r="F26" s="8"/>
      <c r="G26" s="8"/>
      <c r="H26" s="8"/>
    </row>
    <row r="27" spans="1:8" ht="18" customHeight="1">
      <c r="B27" s="37"/>
      <c r="C27" s="3"/>
      <c r="D27" s="8"/>
      <c r="E27" s="8"/>
      <c r="F27" s="8"/>
      <c r="G27" s="8"/>
      <c r="H27" s="8"/>
    </row>
    <row r="28" spans="1:8" ht="15" customHeight="1">
      <c r="B28" s="38"/>
      <c r="C28" s="3"/>
      <c r="D28" s="8"/>
      <c r="E28" s="8"/>
      <c r="F28" s="8"/>
      <c r="G28" s="8"/>
      <c r="H28" s="8"/>
    </row>
    <row r="29" spans="1:8" ht="54" customHeight="1">
      <c r="B29" s="76"/>
      <c r="C29" s="3"/>
      <c r="D29" s="8"/>
      <c r="E29" s="8"/>
      <c r="F29" s="8"/>
      <c r="G29" s="8"/>
      <c r="H29" s="8"/>
    </row>
    <row r="30" spans="1:8" ht="50.25" hidden="1" customHeight="1">
      <c r="C30" s="3"/>
      <c r="D30" s="8"/>
      <c r="E30" s="8"/>
      <c r="F30" s="8"/>
      <c r="G30" s="8"/>
      <c r="H30" s="8"/>
    </row>
    <row r="31" spans="1:8" ht="87" customHeight="1">
      <c r="C31" s="3"/>
      <c r="D31" s="8"/>
      <c r="E31" s="8"/>
      <c r="F31" s="8"/>
      <c r="G31" s="8"/>
      <c r="H31" s="8"/>
    </row>
    <row r="32" spans="1:8" ht="15" customHeight="1">
      <c r="C32" s="3"/>
      <c r="D32" s="8"/>
      <c r="E32" s="8"/>
      <c r="F32" s="8"/>
      <c r="G32" s="8"/>
      <c r="H32" s="8"/>
    </row>
  </sheetData>
  <mergeCells count="1">
    <mergeCell ref="A3:B3"/>
  </mergeCells>
  <printOptions horizontalCentered="1"/>
  <pageMargins left="0.405092592592593" right="0.47453703703703698" top="0.55118110236220497" bottom="0.94488188976377996" header="0.31496062992126" footer="0.31496062992126"/>
  <pageSetup scale="98" orientation="portrait" r:id="rId1"/>
  <headerFooter scaleWithDoc="0">
    <oddHeader>&amp;C&amp;G</oddHeader>
    <oddFooter>&amp;C&amp;G&amp;R&amp;P</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9">
    <tabColor rgb="FFFF0000"/>
  </sheetPr>
  <dimension ref="A1:H28"/>
  <sheetViews>
    <sheetView showGridLines="0" view="pageLayout" zoomScaleNormal="100" workbookViewId="0">
      <selection activeCell="A14" sqref="A14:B14"/>
    </sheetView>
  </sheetViews>
  <sheetFormatPr baseColWidth="10" defaultColWidth="9.1640625" defaultRowHeight="15" customHeight="1"/>
  <cols>
    <col min="1" max="1" width="4.83203125" customWidth="1"/>
    <col min="2" max="2" width="92.33203125" customWidth="1"/>
    <col min="3" max="3" width="13.5" customWidth="1"/>
    <col min="4" max="4" width="14.6640625" customWidth="1"/>
    <col min="5" max="5" width="15.6640625" customWidth="1"/>
    <col min="6" max="6" width="16.1640625" customWidth="1"/>
    <col min="7" max="7" width="12.83203125" customWidth="1"/>
    <col min="8" max="8" width="15.33203125" customWidth="1"/>
  </cols>
  <sheetData>
    <row r="1" spans="1:8" ht="32.5" customHeight="1">
      <c r="A1" s="372"/>
      <c r="B1" s="372"/>
    </row>
    <row r="2" spans="1:8" s="364" customFormat="1" ht="15" customHeight="1">
      <c r="A2" s="392" t="s">
        <v>59</v>
      </c>
    </row>
    <row r="3" spans="1:8" s="1" customFormat="1" ht="3.75" customHeight="1">
      <c r="A3" s="1025"/>
      <c r="B3" s="1025"/>
      <c r="C3" s="364"/>
      <c r="D3" s="364"/>
      <c r="E3" s="364"/>
      <c r="F3" s="364"/>
      <c r="G3" s="364"/>
      <c r="H3" s="364"/>
    </row>
    <row r="4" spans="1:8" s="1" customFormat="1">
      <c r="A4" s="1026" t="s">
        <v>326</v>
      </c>
      <c r="B4" s="1026"/>
      <c r="C4" s="364"/>
      <c r="D4" s="364"/>
      <c r="E4" s="364"/>
      <c r="F4" s="364"/>
      <c r="G4" s="364"/>
      <c r="H4" s="364"/>
    </row>
    <row r="5" spans="1:8" s="1" customFormat="1" ht="3.75" customHeight="1">
      <c r="A5" s="3"/>
      <c r="B5" s="235"/>
      <c r="C5" s="364"/>
      <c r="D5" s="364"/>
      <c r="E5" s="364"/>
      <c r="F5" s="364"/>
      <c r="G5" s="364"/>
      <c r="H5" s="364"/>
    </row>
    <row r="6" spans="1:8" s="364" customFormat="1">
      <c r="B6" s="176" t="s">
        <v>822</v>
      </c>
    </row>
    <row r="7" spans="1:8" s="32" customFormat="1" ht="13">
      <c r="B7" s="792" t="s">
        <v>821</v>
      </c>
    </row>
    <row r="8" spans="1:8" s="364" customFormat="1" ht="43.5" customHeight="1">
      <c r="B8" s="877" t="s">
        <v>999</v>
      </c>
    </row>
    <row r="9" spans="1:8" s="1" customFormat="1" ht="3.75" customHeight="1">
      <c r="A9" s="3"/>
      <c r="B9" s="235"/>
      <c r="C9" s="364"/>
      <c r="D9" s="364"/>
      <c r="E9" s="364"/>
      <c r="F9" s="364"/>
      <c r="G9" s="364"/>
      <c r="H9" s="364"/>
    </row>
    <row r="10" spans="1:8" s="364" customFormat="1">
      <c r="B10" s="176" t="s">
        <v>484</v>
      </c>
    </row>
    <row r="11" spans="1:8" s="32" customFormat="1" ht="13">
      <c r="B11" s="792" t="s">
        <v>626</v>
      </c>
    </row>
    <row r="12" spans="1:8" s="364" customFormat="1" ht="154">
      <c r="B12" s="877" t="s">
        <v>654</v>
      </c>
    </row>
    <row r="13" spans="1:8" s="1" customFormat="1" ht="3.75" customHeight="1">
      <c r="A13" s="3"/>
      <c r="B13" s="39"/>
      <c r="C13"/>
      <c r="D13"/>
      <c r="E13"/>
      <c r="F13"/>
      <c r="G13"/>
      <c r="H13"/>
    </row>
    <row r="14" spans="1:8" ht="15" customHeight="1">
      <c r="A14" s="1026" t="s">
        <v>327</v>
      </c>
      <c r="B14" s="1026"/>
    </row>
    <row r="15" spans="1:8" ht="4.5" customHeight="1">
      <c r="B15" s="39"/>
    </row>
    <row r="16" spans="1:8" s="364" customFormat="1" ht="14.25" customHeight="1">
      <c r="B16" s="176" t="s">
        <v>823</v>
      </c>
      <c r="C16" s="3"/>
      <c r="D16" s="4"/>
      <c r="E16" s="4"/>
      <c r="G16" s="3"/>
      <c r="H16" s="3"/>
    </row>
    <row r="17" spans="1:8" s="32" customFormat="1" ht="13">
      <c r="B17" s="792" t="s">
        <v>824</v>
      </c>
      <c r="C17" s="2"/>
      <c r="D17" s="88"/>
      <c r="E17" s="88"/>
      <c r="F17" s="88"/>
      <c r="G17" s="88"/>
      <c r="H17" s="88"/>
    </row>
    <row r="18" spans="1:8" s="364" customFormat="1" ht="29">
      <c r="B18" s="433" t="s">
        <v>825</v>
      </c>
      <c r="C18" s="78"/>
      <c r="D18" s="8"/>
      <c r="E18" s="8"/>
      <c r="F18" s="8"/>
      <c r="G18" s="8"/>
      <c r="H18" s="8"/>
    </row>
    <row r="19" spans="1:8" s="1" customFormat="1">
      <c r="A19"/>
      <c r="B19" s="150"/>
      <c r="C19"/>
      <c r="D19"/>
      <c r="E19"/>
      <c r="F19"/>
      <c r="G19"/>
      <c r="H19"/>
    </row>
    <row r="20" spans="1:8" s="364" customFormat="1">
      <c r="A20" s="224" t="s">
        <v>638</v>
      </c>
      <c r="B20" s="235"/>
    </row>
    <row r="21" spans="1:8" s="364" customFormat="1" ht="15" customHeight="1">
      <c r="A21" s="234"/>
      <c r="B21" s="236" t="s">
        <v>639</v>
      </c>
    </row>
    <row r="22" spans="1:8" s="1" customFormat="1" ht="12" customHeight="1">
      <c r="A22" s="34"/>
      <c r="B22" s="792" t="s">
        <v>819</v>
      </c>
      <c r="C22" s="32"/>
      <c r="D22" s="32"/>
      <c r="E22" s="32"/>
      <c r="F22" s="32"/>
      <c r="G22" s="32"/>
      <c r="H22" s="32"/>
    </row>
    <row r="23" spans="1:8" s="364" customFormat="1" ht="30.75" customHeight="1">
      <c r="A23" s="234"/>
      <c r="B23" s="432" t="s">
        <v>820</v>
      </c>
    </row>
    <row r="24" spans="1:8" s="364" customFormat="1" ht="15" customHeight="1">
      <c r="A24" s="1027"/>
      <c r="B24" s="1027"/>
    </row>
    <row r="25" spans="1:8" s="364" customFormat="1">
      <c r="A25" s="224" t="s">
        <v>833</v>
      </c>
      <c r="B25" s="235"/>
    </row>
    <row r="26" spans="1:8" s="364" customFormat="1" ht="15" customHeight="1">
      <c r="A26" s="234"/>
      <c r="B26" s="236" t="s">
        <v>836</v>
      </c>
    </row>
    <row r="27" spans="1:8" s="1" customFormat="1" ht="12" customHeight="1">
      <c r="A27" s="34"/>
      <c r="B27" s="808" t="s">
        <v>834</v>
      </c>
      <c r="C27" s="32"/>
      <c r="D27" s="32"/>
      <c r="E27" s="32"/>
      <c r="F27" s="32"/>
      <c r="G27" s="32"/>
      <c r="H27" s="32"/>
    </row>
    <row r="28" spans="1:8" s="364" customFormat="1" ht="30.75" customHeight="1">
      <c r="A28" s="234"/>
      <c r="B28" s="432" t="s">
        <v>835</v>
      </c>
    </row>
  </sheetData>
  <mergeCells count="4">
    <mergeCell ref="A14:B14"/>
    <mergeCell ref="A24:B24"/>
    <mergeCell ref="A3:B3"/>
    <mergeCell ref="A4:B4"/>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FF0000"/>
  </sheetPr>
  <dimension ref="A1:L53"/>
  <sheetViews>
    <sheetView showGridLines="0" view="pageLayout" zoomScaleNormal="100" workbookViewId="0">
      <selection activeCell="G30" sqref="G30"/>
    </sheetView>
  </sheetViews>
  <sheetFormatPr baseColWidth="10" defaultColWidth="9.1640625" defaultRowHeight="15" outlineLevelRow="1"/>
  <cols>
    <col min="1" max="1" width="12" customWidth="1"/>
    <col min="2" max="2" width="1.1640625" customWidth="1"/>
    <col min="3" max="3" width="4.5" customWidth="1"/>
    <col min="4" max="4" width="20" customWidth="1"/>
    <col min="5" max="5" width="18.6640625" customWidth="1"/>
    <col min="6" max="6" width="17.5" bestFit="1" customWidth="1"/>
    <col min="7" max="7" width="7.5" customWidth="1"/>
    <col min="8" max="8" width="16.6640625" customWidth="1"/>
    <col min="9" max="9" width="13.1640625" customWidth="1"/>
    <col min="10" max="10" width="8.83203125" bestFit="1" customWidth="1"/>
  </cols>
  <sheetData>
    <row r="1" spans="1:12" ht="30" customHeight="1"/>
    <row r="2" spans="1:12" s="1" customFormat="1" ht="15" customHeight="1">
      <c r="A2" s="1032" t="s">
        <v>4</v>
      </c>
      <c r="B2" s="1032"/>
      <c r="C2" s="1032"/>
      <c r="D2" s="1032"/>
      <c r="E2" s="1032"/>
      <c r="F2" s="3"/>
      <c r="G2" s="3"/>
      <c r="H2" s="3"/>
      <c r="I2" s="3"/>
      <c r="J2" s="3"/>
      <c r="K2" s="3"/>
      <c r="L2" s="3"/>
    </row>
    <row r="3" spans="1:12" s="1" customFormat="1" ht="15" customHeight="1">
      <c r="A3" s="1032"/>
      <c r="B3" s="1032"/>
      <c r="C3" s="1032"/>
      <c r="D3" s="1032"/>
      <c r="E3" s="1032"/>
      <c r="F3" s="3"/>
      <c r="G3" s="3"/>
      <c r="H3" s="3"/>
      <c r="I3" s="3"/>
      <c r="J3" s="3"/>
      <c r="K3" s="3"/>
      <c r="L3" s="3"/>
    </row>
    <row r="4" spans="1:12" s="1" customFormat="1" ht="15" customHeight="1">
      <c r="A4" s="425" t="str">
        <f>"Group Name: " &amp; GroupName</f>
        <v>Group Name: Group Name</v>
      </c>
      <c r="B4" s="212"/>
      <c r="C4" s="425"/>
      <c r="D4" s="425"/>
      <c r="E4" s="7"/>
      <c r="F4" s="7"/>
      <c r="G4" s="3"/>
      <c r="H4" s="3"/>
      <c r="I4" s="3"/>
      <c r="J4" s="3"/>
      <c r="K4" s="3"/>
      <c r="L4" s="3"/>
    </row>
    <row r="5" spans="1:12" s="1" customFormat="1" ht="15" customHeight="1">
      <c r="A5" s="425" t="str">
        <f>"Carrier: " &amp; Carrier</f>
        <v>Carrier: Carrier</v>
      </c>
      <c r="B5" s="212"/>
      <c r="C5" s="425"/>
      <c r="D5" s="212"/>
      <c r="E5" s="3"/>
      <c r="F5" s="3"/>
      <c r="G5" s="3"/>
      <c r="H5" s="3"/>
      <c r="I5" s="3"/>
      <c r="J5" s="3"/>
      <c r="K5" s="3"/>
      <c r="L5" s="3"/>
    </row>
    <row r="6" spans="1:12" s="1" customFormat="1" ht="15" customHeight="1">
      <c r="A6" s="425" t="str">
        <f>"Policy Number: " &amp; PolicyNumber</f>
        <v>Policy Number: Policy Number</v>
      </c>
      <c r="B6" s="2"/>
      <c r="C6" s="425"/>
      <c r="D6" s="2"/>
      <c r="F6" s="3"/>
      <c r="G6" s="3"/>
      <c r="H6" s="3"/>
      <c r="I6" s="3"/>
      <c r="J6" s="3"/>
      <c r="K6" s="3"/>
      <c r="L6" s="3"/>
    </row>
    <row r="7" spans="1:12" s="1" customFormat="1" ht="15" customHeight="1">
      <c r="A7" s="425" t="str">
        <f>"Report Period: "&amp; EP_Current</f>
        <v>Report Period: MMM DD YYY - MMM DD YYYY</v>
      </c>
      <c r="B7" s="2"/>
      <c r="C7" s="434"/>
      <c r="D7" s="434"/>
      <c r="E7" s="180"/>
      <c r="F7" s="180"/>
      <c r="G7" s="3"/>
      <c r="H7" s="3"/>
      <c r="I7" s="3"/>
      <c r="J7" s="3"/>
      <c r="K7" s="3"/>
      <c r="L7" s="3"/>
    </row>
    <row r="8" spans="1:12">
      <c r="A8" s="425" t="str">
        <f>"Renewal Date: "&amp; RenewalMonth &amp; " 1, " &amp; RenewalYear</f>
        <v>Renewal Date: Month 1, Year</v>
      </c>
      <c r="B8" s="263"/>
      <c r="C8" s="434"/>
      <c r="D8" s="434"/>
      <c r="F8" s="5"/>
      <c r="G8" s="5"/>
      <c r="H8" s="5"/>
      <c r="I8" s="5"/>
      <c r="J8" s="5"/>
      <c r="K8" s="5"/>
      <c r="L8" s="6"/>
    </row>
    <row r="9" spans="1:12" ht="15" customHeight="1">
      <c r="A9" s="5"/>
      <c r="B9" s="5"/>
      <c r="C9" s="5"/>
      <c r="D9" s="5"/>
      <c r="E9" s="5"/>
      <c r="F9" s="5"/>
      <c r="G9" s="5"/>
      <c r="H9" s="5"/>
      <c r="I9" s="5"/>
      <c r="J9" s="5"/>
      <c r="K9" s="5"/>
      <c r="L9" s="6"/>
    </row>
    <row r="10" spans="1:12" ht="23.25" customHeight="1">
      <c r="A10" s="1033" t="s">
        <v>6</v>
      </c>
      <c r="B10" s="1033"/>
      <c r="C10" s="1033"/>
      <c r="D10" s="403" t="s">
        <v>60</v>
      </c>
      <c r="E10" s="403" t="s">
        <v>61</v>
      </c>
      <c r="F10" s="3"/>
    </row>
    <row r="11" spans="1:12">
      <c r="A11" s="1028" t="s">
        <v>37</v>
      </c>
      <c r="B11" s="1028"/>
      <c r="C11" s="1028"/>
      <c r="D11" s="896">
        <v>0</v>
      </c>
      <c r="E11" s="896">
        <v>0</v>
      </c>
      <c r="F11" s="3"/>
    </row>
    <row r="12" spans="1:12">
      <c r="A12" s="1028" t="s">
        <v>38</v>
      </c>
      <c r="B12" s="1028"/>
      <c r="C12" s="1028"/>
      <c r="D12" s="896">
        <v>0</v>
      </c>
      <c r="E12" s="896">
        <v>0</v>
      </c>
      <c r="F12" s="3"/>
    </row>
    <row r="13" spans="1:12">
      <c r="A13" s="1028" t="s">
        <v>9</v>
      </c>
      <c r="B13" s="1028"/>
      <c r="C13" s="1028"/>
      <c r="D13" s="896">
        <v>0</v>
      </c>
      <c r="E13" s="896">
        <v>0</v>
      </c>
      <c r="F13" s="3"/>
    </row>
    <row r="14" spans="1:12">
      <c r="A14" s="1028" t="s">
        <v>39</v>
      </c>
      <c r="B14" s="1028"/>
      <c r="C14" s="1028"/>
      <c r="D14" s="896">
        <v>0</v>
      </c>
      <c r="E14" s="896">
        <v>0</v>
      </c>
      <c r="F14" s="3"/>
    </row>
    <row r="15" spans="1:12" s="233" customFormat="1" hidden="1">
      <c r="A15" s="1028" t="s">
        <v>133</v>
      </c>
      <c r="B15" s="1028"/>
      <c r="C15" s="1028"/>
      <c r="D15" s="435">
        <v>0</v>
      </c>
      <c r="E15" s="435">
        <v>0</v>
      </c>
      <c r="F15" s="3"/>
    </row>
    <row r="16" spans="1:12">
      <c r="A16" s="12"/>
      <c r="B16" s="12"/>
      <c r="C16" s="12"/>
      <c r="D16" s="12"/>
      <c r="E16" s="12"/>
      <c r="F16" s="12"/>
    </row>
    <row r="17" spans="1:12">
      <c r="A17" s="1039" t="s">
        <v>62</v>
      </c>
      <c r="B17" s="1039"/>
      <c r="C17" s="1040"/>
      <c r="D17" s="1041" t="s">
        <v>826</v>
      </c>
      <c r="E17" s="1041" t="s">
        <v>63</v>
      </c>
      <c r="F17" s="1043" t="s">
        <v>64</v>
      </c>
    </row>
    <row r="18" spans="1:12">
      <c r="A18" s="1037" t="s">
        <v>65</v>
      </c>
      <c r="B18" s="1037"/>
      <c r="C18" s="1038"/>
      <c r="D18" s="1041"/>
      <c r="E18" s="1041"/>
      <c r="F18" s="1043"/>
    </row>
    <row r="19" spans="1:12">
      <c r="A19" s="1028" t="s">
        <v>40</v>
      </c>
      <c r="B19" s="1028"/>
      <c r="C19" s="1028"/>
      <c r="D19" s="896">
        <v>0</v>
      </c>
      <c r="E19" s="896">
        <v>0</v>
      </c>
      <c r="F19" s="428" t="e">
        <f t="shared" ref="F19:F25" si="0">E19/D19</f>
        <v>#DIV/0!</v>
      </c>
    </row>
    <row r="20" spans="1:12" ht="7.5" customHeight="1">
      <c r="A20" s="1042"/>
      <c r="B20" s="1042"/>
      <c r="C20" s="1042"/>
      <c r="D20" s="1042"/>
      <c r="E20" s="1042"/>
      <c r="F20" s="1042"/>
    </row>
    <row r="21" spans="1:12">
      <c r="A21" s="1028" t="s">
        <v>140</v>
      </c>
      <c r="B21" s="1028"/>
      <c r="C21" s="1028"/>
      <c r="D21" s="896">
        <v>0</v>
      </c>
      <c r="E21" s="896">
        <v>0</v>
      </c>
      <c r="F21" s="428" t="e">
        <f>E21/D21</f>
        <v>#DIV/0!</v>
      </c>
    </row>
    <row r="22" spans="1:12" hidden="1" outlineLevel="1">
      <c r="A22" s="1028" t="s">
        <v>42</v>
      </c>
      <c r="B22" s="1028"/>
      <c r="C22" s="1028"/>
      <c r="D22" s="896">
        <v>0</v>
      </c>
      <c r="E22" s="896">
        <v>0</v>
      </c>
      <c r="F22" s="428" t="e">
        <f>E22/D22</f>
        <v>#DIV/0!</v>
      </c>
    </row>
    <row r="23" spans="1:12" hidden="1" outlineLevel="1">
      <c r="A23" s="1028" t="s">
        <v>43</v>
      </c>
      <c r="B23" s="1028"/>
      <c r="C23" s="1028"/>
      <c r="D23" s="896">
        <v>0</v>
      </c>
      <c r="E23" s="896">
        <v>0</v>
      </c>
      <c r="F23" s="428" t="e">
        <f>E23/D23</f>
        <v>#DIV/0!</v>
      </c>
    </row>
    <row r="24" spans="1:12" collapsed="1">
      <c r="A24" s="1028" t="s">
        <v>16</v>
      </c>
      <c r="B24" s="1028"/>
      <c r="C24" s="1028"/>
      <c r="D24" s="896">
        <v>0</v>
      </c>
      <c r="E24" s="896">
        <v>0</v>
      </c>
      <c r="F24" s="428" t="e">
        <f t="shared" si="0"/>
        <v>#DIV/0!</v>
      </c>
    </row>
    <row r="25" spans="1:12">
      <c r="A25" s="1036" t="s">
        <v>652</v>
      </c>
      <c r="B25" s="1036"/>
      <c r="C25" s="1036"/>
      <c r="D25" s="897">
        <f>SUM(D21:D24)</f>
        <v>0</v>
      </c>
      <c r="E25" s="897">
        <f>SUM(E21:E24)</f>
        <v>0</v>
      </c>
      <c r="F25" s="437" t="e">
        <f t="shared" si="0"/>
        <v>#DIV/0!</v>
      </c>
    </row>
    <row r="26" spans="1:12">
      <c r="A26" s="12"/>
      <c r="B26" s="12"/>
      <c r="C26" s="12"/>
      <c r="D26" s="12"/>
      <c r="E26" s="12"/>
      <c r="F26" s="12"/>
    </row>
    <row r="27" spans="1:12" s="364" customFormat="1" ht="14" customHeight="1">
      <c r="A27" s="974" t="s">
        <v>990</v>
      </c>
      <c r="B27" s="12"/>
      <c r="C27" s="12"/>
      <c r="D27" s="12"/>
      <c r="E27" s="12"/>
      <c r="F27" s="12"/>
    </row>
    <row r="28" spans="1:12" s="364" customFormat="1" ht="62" customHeight="1">
      <c r="A28" s="1030" t="str">
        <f>"*With COVID-19 affecting claim activity due to the temporary closure of many dental and health practitioner offices,  "&amp; Carrier &amp;" offered premium credits for the months of April, May and June.  This credit represented a reduction of approximately $"&amp;TEXT('DNP-COVID Calculations'!Q21, "0,0")&amp;" to the EHC premium and $"&amp;TEXT('DNP-COVID Calculations'!R21, "0,0")&amp;" to the Dental premium.  The above results do not reflect the premium credits."</f>
        <v>*With COVID-19 affecting claim activity due to the temporary closure of many dental and health practitioner offices,  Carrier offered premium credits for the months of April, May and June.  This credit represented a reduction of approximately $00 to the EHC premium and $00 to the Dental premium.  The above results do not reflect the premium credits.</v>
      </c>
      <c r="B28" s="1030"/>
      <c r="C28" s="1030"/>
      <c r="D28" s="1030"/>
      <c r="E28" s="1030"/>
      <c r="F28" s="1030"/>
      <c r="G28" s="1030"/>
      <c r="H28" s="5"/>
      <c r="I28" s="5"/>
      <c r="J28" s="5"/>
      <c r="K28" s="5"/>
      <c r="L28" s="943"/>
    </row>
    <row r="29" spans="1:12" s="364" customFormat="1" hidden="1">
      <c r="A29" s="12"/>
      <c r="B29" s="12"/>
      <c r="C29" s="12"/>
      <c r="D29" s="12"/>
      <c r="E29" s="12"/>
      <c r="F29" s="12"/>
    </row>
    <row r="30" spans="1:12" s="364" customFormat="1" ht="14" customHeight="1">
      <c r="A30" s="974" t="s">
        <v>996</v>
      </c>
      <c r="B30" s="12"/>
      <c r="C30" s="12"/>
      <c r="D30" s="12"/>
      <c r="E30" s="12"/>
      <c r="F30" s="12"/>
    </row>
    <row r="31" spans="1:12" s="364" customFormat="1" ht="62" customHeight="1">
      <c r="A31" s="1021" t="str">
        <f>"*With COVID-19 affecting claim activity due to the temporary closure of many dental and health practitioner offices,  "&amp; Carrier &amp;" offered premium credits for the months of April, May and June. The above results reflect the premium credits."</f>
        <v>*With COVID-19 affecting claim activity due to the temporary closure of many dental and health practitioner offices,  Carrier offered premium credits for the months of April, May and June. The above results reflect the premium credits.</v>
      </c>
      <c r="B31" s="1021"/>
      <c r="C31" s="1021"/>
      <c r="D31" s="1021"/>
      <c r="E31" s="1021"/>
      <c r="F31" s="1021"/>
      <c r="G31" s="1021"/>
      <c r="H31" s="5"/>
      <c r="I31" s="5"/>
      <c r="J31" s="5"/>
      <c r="K31" s="5"/>
      <c r="L31" s="946"/>
    </row>
    <row r="32" spans="1:12" s="364" customFormat="1" ht="11" customHeight="1">
      <c r="A32" s="12"/>
      <c r="B32" s="12"/>
      <c r="C32" s="12"/>
      <c r="D32" s="12"/>
      <c r="E32" s="12"/>
      <c r="F32" s="12"/>
    </row>
    <row r="33" spans="1:12" s="364" customFormat="1" ht="14" customHeight="1">
      <c r="A33" s="974" t="s">
        <v>997</v>
      </c>
      <c r="B33" s="12"/>
      <c r="C33" s="12"/>
      <c r="D33" s="12"/>
      <c r="E33" s="12"/>
      <c r="F33" s="12"/>
    </row>
    <row r="34" spans="1:12" s="364" customFormat="1" ht="79.5" customHeight="1">
      <c r="A34" s="1021" t="s">
        <v>998</v>
      </c>
      <c r="B34" s="1021"/>
      <c r="C34" s="1021"/>
      <c r="D34" s="1021"/>
      <c r="E34" s="1021"/>
      <c r="F34" s="1021"/>
      <c r="G34" s="1021"/>
      <c r="H34" s="5"/>
      <c r="I34" s="5"/>
      <c r="J34" s="5"/>
      <c r="K34" s="5"/>
      <c r="L34" s="977"/>
    </row>
    <row r="35" spans="1:12" s="364" customFormat="1" ht="11" customHeight="1">
      <c r="A35" s="12"/>
      <c r="B35" s="12"/>
      <c r="C35" s="12"/>
      <c r="D35" s="12"/>
      <c r="E35" s="12"/>
      <c r="F35" s="12"/>
    </row>
    <row r="36" spans="1:12" s="364" customFormat="1" ht="17" customHeight="1">
      <c r="A36" s="974" t="s">
        <v>991</v>
      </c>
      <c r="B36" s="12"/>
      <c r="C36" s="12"/>
      <c r="D36" s="12"/>
      <c r="E36" s="12"/>
      <c r="F36" s="12"/>
    </row>
    <row r="37" spans="1:12" s="364" customFormat="1" ht="51.5" customHeight="1">
      <c r="A37" s="1030" t="s">
        <v>992</v>
      </c>
      <c r="B37" s="1030"/>
      <c r="C37" s="1030"/>
      <c r="D37" s="1030"/>
      <c r="E37" s="1030"/>
      <c r="F37" s="1030"/>
      <c r="G37" s="1030"/>
      <c r="H37" s="5"/>
      <c r="I37" s="5"/>
      <c r="J37" s="5"/>
      <c r="K37" s="5"/>
      <c r="L37" s="943"/>
    </row>
    <row r="38" spans="1:12" s="364" customFormat="1" ht="51.5" customHeight="1">
      <c r="A38" s="1031" t="str">
        <f>"For Refund Accounting/ASO arrangements, such as the arrangement you have with "&amp; Carrier&amp;" for your EHC and Dental benefits, the impact from reduced claim activity will flow through your financial statement/ASO reconciliation."</f>
        <v>For Refund Accounting/ASO arrangements, such as the arrangement you have with Carrier for your EHC and Dental benefits, the impact from reduced claim activity will flow through your financial statement/ASO reconciliation.</v>
      </c>
      <c r="B38" s="1031"/>
      <c r="C38" s="1031"/>
      <c r="D38" s="1031"/>
      <c r="E38" s="1031"/>
      <c r="F38" s="1031"/>
      <c r="G38" s="1031"/>
      <c r="H38" s="5"/>
      <c r="I38" s="5"/>
      <c r="J38" s="5"/>
      <c r="K38" s="5"/>
      <c r="L38" s="943"/>
    </row>
    <row r="39" spans="1:12">
      <c r="A39" s="1033" t="s">
        <v>67</v>
      </c>
      <c r="B39" s="1033"/>
      <c r="C39" s="1034"/>
      <c r="D39" s="407" t="s">
        <v>68</v>
      </c>
      <c r="E39" s="407" t="s">
        <v>69</v>
      </c>
      <c r="F39" s="408" t="s">
        <v>845</v>
      </c>
    </row>
    <row r="40" spans="1:12" ht="15.75" customHeight="1">
      <c r="A40" s="1035" t="s">
        <v>71</v>
      </c>
      <c r="B40" s="1035"/>
      <c r="C40" s="1035"/>
      <c r="D40" s="896">
        <v>0</v>
      </c>
      <c r="E40" s="896">
        <f>'Stop Loss '!E11</f>
        <v>0</v>
      </c>
      <c r="F40" s="438">
        <v>0</v>
      </c>
    </row>
    <row r="41" spans="1:12" ht="15.75" customHeight="1">
      <c r="A41" s="1035" t="s">
        <v>585</v>
      </c>
      <c r="B41" s="1035"/>
      <c r="C41" s="1035"/>
      <c r="D41" s="1029" t="str">
        <f>DOLLAR('Additional Information'!B9,0)&amp;" LAP; "&amp;IF('Additional Information'!B11="Yes"," 1st $ OOC","")</f>
        <v>$10,000 LAP;  1st $ OOC</v>
      </c>
      <c r="E41" s="1029"/>
      <c r="F41" s="1029"/>
    </row>
    <row r="42" spans="1:12" ht="15.75" customHeight="1"/>
    <row r="43" spans="1:12">
      <c r="A43" s="1033" t="s">
        <v>308</v>
      </c>
      <c r="B43" s="1033"/>
      <c r="C43" s="1034"/>
      <c r="D43" s="408" t="s">
        <v>78</v>
      </c>
    </row>
    <row r="44" spans="1:12">
      <c r="A44" s="1028" t="s">
        <v>40</v>
      </c>
      <c r="B44" s="1028"/>
      <c r="C44" s="1028"/>
      <c r="D44" s="439">
        <v>0</v>
      </c>
    </row>
    <row r="45" spans="1:12">
      <c r="A45" s="1028" t="s">
        <v>140</v>
      </c>
      <c r="B45" s="1028"/>
      <c r="C45" s="1028"/>
      <c r="D45" s="439">
        <v>0</v>
      </c>
    </row>
    <row r="46" spans="1:12">
      <c r="A46" s="1028" t="s">
        <v>16</v>
      </c>
      <c r="B46" s="1028"/>
      <c r="C46" s="1028"/>
      <c r="D46" s="439">
        <v>0</v>
      </c>
    </row>
    <row r="48" spans="1:12">
      <c r="A48" s="1033" t="s">
        <v>58</v>
      </c>
      <c r="B48" s="1033"/>
      <c r="C48" s="1034"/>
      <c r="D48" s="407" t="s">
        <v>68</v>
      </c>
      <c r="E48" s="408" t="s">
        <v>61</v>
      </c>
    </row>
    <row r="49" spans="1:5">
      <c r="A49" s="1028" t="s">
        <v>134</v>
      </c>
      <c r="B49" s="1028"/>
      <c r="C49" s="1028"/>
      <c r="D49" s="895">
        <v>0</v>
      </c>
      <c r="E49" s="864" t="s">
        <v>486</v>
      </c>
    </row>
    <row r="50" spans="1:5">
      <c r="A50" s="1028" t="s">
        <v>452</v>
      </c>
      <c r="B50" s="1028"/>
      <c r="C50" s="1028"/>
      <c r="D50" s="895">
        <v>0</v>
      </c>
      <c r="E50" s="864" t="s">
        <v>486</v>
      </c>
    </row>
    <row r="51" spans="1:5">
      <c r="A51" s="1028" t="s">
        <v>467</v>
      </c>
      <c r="B51" s="1028"/>
      <c r="C51" s="1028"/>
      <c r="D51" s="864" t="s">
        <v>486</v>
      </c>
      <c r="E51" s="895">
        <v>0</v>
      </c>
    </row>
    <row r="52" spans="1:5">
      <c r="A52" s="1028" t="s">
        <v>487</v>
      </c>
      <c r="B52" s="1028"/>
      <c r="C52" s="1028"/>
      <c r="D52" s="895">
        <v>0</v>
      </c>
      <c r="E52" s="895">
        <v>0</v>
      </c>
    </row>
    <row r="53" spans="1:5">
      <c r="A53" s="1028" t="s">
        <v>488</v>
      </c>
      <c r="B53" s="1028"/>
      <c r="C53" s="1028"/>
      <c r="D53" s="895">
        <v>0</v>
      </c>
      <c r="E53" s="895">
        <v>0</v>
      </c>
    </row>
  </sheetData>
  <mergeCells count="38">
    <mergeCell ref="A10:C10"/>
    <mergeCell ref="D17:D18"/>
    <mergeCell ref="A20:F20"/>
    <mergeCell ref="F17:F18"/>
    <mergeCell ref="A13:C13"/>
    <mergeCell ref="A12:C12"/>
    <mergeCell ref="E17:E18"/>
    <mergeCell ref="A15:C15"/>
    <mergeCell ref="A11:C11"/>
    <mergeCell ref="A31:G31"/>
    <mergeCell ref="A48:C48"/>
    <mergeCell ref="A49:C49"/>
    <mergeCell ref="A50:C50"/>
    <mergeCell ref="A44:C44"/>
    <mergeCell ref="A41:C41"/>
    <mergeCell ref="A2:E3"/>
    <mergeCell ref="A46:C46"/>
    <mergeCell ref="A45:C45"/>
    <mergeCell ref="A43:C43"/>
    <mergeCell ref="A40:C40"/>
    <mergeCell ref="A39:C39"/>
    <mergeCell ref="A25:C25"/>
    <mergeCell ref="A24:C24"/>
    <mergeCell ref="A21:C21"/>
    <mergeCell ref="A19:C19"/>
    <mergeCell ref="A18:C18"/>
    <mergeCell ref="A17:C17"/>
    <mergeCell ref="A14:C14"/>
    <mergeCell ref="A22:C22"/>
    <mergeCell ref="A23:C23"/>
    <mergeCell ref="A28:G28"/>
    <mergeCell ref="A51:C51"/>
    <mergeCell ref="A34:G34"/>
    <mergeCell ref="D41:F41"/>
    <mergeCell ref="A52:C52"/>
    <mergeCell ref="A53:C53"/>
    <mergeCell ref="A37:G37"/>
    <mergeCell ref="A38:G38"/>
  </mergeCells>
  <pageMargins left="0.4050000000000000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7">
    <tabColor rgb="FFFF0000"/>
    <pageSetUpPr fitToPage="1"/>
  </sheetPr>
  <dimension ref="A1:M23"/>
  <sheetViews>
    <sheetView showGridLines="0" view="pageLayout" zoomScale="107" zoomScaleNormal="100" zoomScalePageLayoutView="107" workbookViewId="0">
      <selection activeCell="H4" sqref="H4"/>
    </sheetView>
  </sheetViews>
  <sheetFormatPr baseColWidth="10" defaultColWidth="9.1640625" defaultRowHeight="15"/>
  <cols>
    <col min="1" max="1" width="9.6640625" style="364" customWidth="1"/>
    <col min="2" max="3" width="14" style="364" customWidth="1"/>
    <col min="4" max="4" width="10.83203125" style="364" bestFit="1" customWidth="1"/>
    <col min="5" max="6" width="14" style="364" customWidth="1"/>
    <col min="7" max="7" width="10.5" style="364" bestFit="1" customWidth="1"/>
    <col min="8" max="8" width="5.1640625" style="364" customWidth="1"/>
    <col min="9" max="9" width="9.1640625" style="364" customWidth="1"/>
    <col min="10" max="13" width="14" style="364" customWidth="1"/>
    <col min="14" max="16384" width="9.1640625" style="364"/>
  </cols>
  <sheetData>
    <row r="1" spans="1:13" ht="27.75" customHeight="1"/>
    <row r="2" spans="1:13" s="1" customFormat="1" ht="15" customHeight="1">
      <c r="A2" s="1004" t="s">
        <v>925</v>
      </c>
      <c r="B2" s="1004"/>
      <c r="C2" s="1004"/>
      <c r="D2" s="1004"/>
      <c r="E2" s="1004"/>
      <c r="F2" s="1004"/>
      <c r="G2" s="1004"/>
      <c r="H2" s="944"/>
    </row>
    <row r="3" spans="1:13" s="1" customFormat="1" ht="15" customHeight="1">
      <c r="A3" s="1004"/>
      <c r="B3" s="1004"/>
      <c r="C3" s="1004"/>
      <c r="D3" s="1004"/>
      <c r="E3" s="1004"/>
      <c r="F3" s="1004"/>
      <c r="G3" s="1004"/>
      <c r="H3" s="944"/>
      <c r="J3" s="1049"/>
      <c r="K3" s="1049"/>
      <c r="L3" s="1049"/>
      <c r="M3" s="1049"/>
    </row>
    <row r="4" spans="1:13" ht="219" customHeight="1">
      <c r="A4" s="1021" t="s">
        <v>994</v>
      </c>
      <c r="B4" s="1021"/>
      <c r="C4" s="1021"/>
      <c r="D4" s="1021"/>
      <c r="E4" s="1021"/>
      <c r="F4" s="1021"/>
      <c r="G4" s="1021"/>
    </row>
    <row r="5" spans="1:13" ht="39" customHeight="1">
      <c r="A5" s="1021" t="s">
        <v>926</v>
      </c>
      <c r="B5" s="1021"/>
      <c r="C5" s="1021"/>
      <c r="D5" s="1021"/>
      <c r="E5" s="1021"/>
      <c r="F5" s="1021"/>
      <c r="G5" s="1021"/>
      <c r="J5" s="1050" t="s">
        <v>927</v>
      </c>
      <c r="K5" s="1050"/>
      <c r="L5" s="1050"/>
      <c r="M5" s="1050"/>
    </row>
    <row r="6" spans="1:13" s="1" customFormat="1" ht="6.75" customHeight="1">
      <c r="A6" s="17"/>
      <c r="B6" s="17"/>
      <c r="C6" s="17"/>
      <c r="D6" s="17"/>
      <c r="E6" s="17"/>
      <c r="F6" s="17"/>
      <c r="G6" s="17"/>
      <c r="J6" s="17"/>
      <c r="K6" s="17"/>
      <c r="L6" s="17"/>
      <c r="M6" s="17"/>
    </row>
    <row r="7" spans="1:13" s="1" customFormat="1" ht="15" customHeight="1">
      <c r="A7" s="23"/>
      <c r="B7" s="1044" t="s">
        <v>140</v>
      </c>
      <c r="C7" s="1045"/>
      <c r="D7" s="1046"/>
      <c r="E7" s="1047" t="s">
        <v>16</v>
      </c>
      <c r="F7" s="1045"/>
      <c r="G7" s="1045"/>
      <c r="J7" s="1048" t="s">
        <v>928</v>
      </c>
      <c r="K7" s="1048"/>
      <c r="L7" s="1048" t="s">
        <v>929</v>
      </c>
      <c r="M7" s="1048"/>
    </row>
    <row r="8" spans="1:13" s="1" customFormat="1" ht="15" customHeight="1">
      <c r="A8" s="23"/>
      <c r="B8" s="513" t="s">
        <v>35</v>
      </c>
      <c r="C8" s="514" t="s">
        <v>138</v>
      </c>
      <c r="D8" s="515" t="s">
        <v>103</v>
      </c>
      <c r="E8" s="513" t="s">
        <v>35</v>
      </c>
      <c r="F8" s="514" t="s">
        <v>138</v>
      </c>
      <c r="G8" s="515" t="s">
        <v>103</v>
      </c>
      <c r="J8" s="947" t="s">
        <v>35</v>
      </c>
      <c r="K8" s="948" t="s">
        <v>138</v>
      </c>
      <c r="L8" s="947" t="s">
        <v>35</v>
      </c>
      <c r="M8" s="948" t="s">
        <v>138</v>
      </c>
    </row>
    <row r="9" spans="1:13" s="1" customFormat="1" ht="15" customHeight="1">
      <c r="A9" s="794" t="s">
        <v>139</v>
      </c>
      <c r="B9" s="508">
        <f>J9+L9</f>
        <v>0</v>
      </c>
      <c r="C9" s="509">
        <f>K9+M9</f>
        <v>0</v>
      </c>
      <c r="D9" s="520" t="e">
        <f t="shared" ref="D9:D21" si="0">C9/B9</f>
        <v>#DIV/0!</v>
      </c>
      <c r="E9" s="508"/>
      <c r="F9" s="509"/>
      <c r="G9" s="520" t="e">
        <f t="shared" ref="G9:G21" si="1">F9/E9</f>
        <v>#DIV/0!</v>
      </c>
      <c r="J9" s="508"/>
      <c r="K9" s="509"/>
      <c r="L9" s="508"/>
      <c r="M9" s="509"/>
    </row>
    <row r="10" spans="1:13" s="1" customFormat="1" ht="15" customHeight="1">
      <c r="A10" s="794" t="s">
        <v>139</v>
      </c>
      <c r="B10" s="508">
        <f>J10+L10</f>
        <v>0</v>
      </c>
      <c r="C10" s="509">
        <f t="shared" ref="C10:C20" si="2">K10+M10</f>
        <v>0</v>
      </c>
      <c r="D10" s="520" t="e">
        <f t="shared" si="0"/>
        <v>#DIV/0!</v>
      </c>
      <c r="E10" s="508"/>
      <c r="F10" s="509"/>
      <c r="G10" s="520" t="e">
        <f t="shared" si="1"/>
        <v>#DIV/0!</v>
      </c>
      <c r="J10" s="508"/>
      <c r="K10" s="509"/>
      <c r="L10" s="508"/>
      <c r="M10" s="509"/>
    </row>
    <row r="11" spans="1:13" s="1" customFormat="1" ht="15" customHeight="1">
      <c r="A11" s="794" t="s">
        <v>139</v>
      </c>
      <c r="B11" s="508">
        <f t="shared" ref="B11:B20" si="3">J11+L11</f>
        <v>0</v>
      </c>
      <c r="C11" s="509">
        <f t="shared" si="2"/>
        <v>0</v>
      </c>
      <c r="D11" s="520" t="e">
        <f t="shared" si="0"/>
        <v>#DIV/0!</v>
      </c>
      <c r="E11" s="508"/>
      <c r="F11" s="509"/>
      <c r="G11" s="520" t="e">
        <f t="shared" si="1"/>
        <v>#DIV/0!</v>
      </c>
      <c r="J11" s="508"/>
      <c r="K11" s="509"/>
      <c r="L11" s="508"/>
      <c r="M11" s="509"/>
    </row>
    <row r="12" spans="1:13" s="1" customFormat="1" ht="15" customHeight="1">
      <c r="A12" s="794" t="s">
        <v>139</v>
      </c>
      <c r="B12" s="508">
        <f t="shared" si="3"/>
        <v>0</v>
      </c>
      <c r="C12" s="509">
        <f t="shared" si="2"/>
        <v>0</v>
      </c>
      <c r="D12" s="520" t="e">
        <f t="shared" si="0"/>
        <v>#DIV/0!</v>
      </c>
      <c r="E12" s="508"/>
      <c r="F12" s="509"/>
      <c r="G12" s="520" t="e">
        <f t="shared" si="1"/>
        <v>#DIV/0!</v>
      </c>
      <c r="J12" s="508"/>
      <c r="K12" s="509"/>
      <c r="L12" s="508"/>
      <c r="M12" s="509"/>
    </row>
    <row r="13" spans="1:13" s="1" customFormat="1" ht="15" customHeight="1">
      <c r="A13" s="794" t="s">
        <v>139</v>
      </c>
      <c r="B13" s="508">
        <f t="shared" si="3"/>
        <v>0</v>
      </c>
      <c r="C13" s="509">
        <f t="shared" si="2"/>
        <v>0</v>
      </c>
      <c r="D13" s="520" t="e">
        <f t="shared" si="0"/>
        <v>#DIV/0!</v>
      </c>
      <c r="E13" s="508"/>
      <c r="F13" s="509"/>
      <c r="G13" s="520" t="e">
        <f t="shared" si="1"/>
        <v>#DIV/0!</v>
      </c>
      <c r="J13" s="508"/>
      <c r="K13" s="509"/>
      <c r="L13" s="508"/>
      <c r="M13" s="509"/>
    </row>
    <row r="14" spans="1:13" s="1" customFormat="1" ht="15" customHeight="1">
      <c r="A14" s="794" t="s">
        <v>139</v>
      </c>
      <c r="B14" s="508">
        <f t="shared" si="3"/>
        <v>0</v>
      </c>
      <c r="C14" s="509">
        <f t="shared" si="2"/>
        <v>0</v>
      </c>
      <c r="D14" s="520" t="e">
        <f t="shared" si="0"/>
        <v>#DIV/0!</v>
      </c>
      <c r="E14" s="508"/>
      <c r="F14" s="509"/>
      <c r="G14" s="520" t="e">
        <f t="shared" si="1"/>
        <v>#DIV/0!</v>
      </c>
      <c r="J14" s="508"/>
      <c r="K14" s="509"/>
      <c r="L14" s="508"/>
      <c r="M14" s="509"/>
    </row>
    <row r="15" spans="1:13" s="1" customFormat="1" ht="15" customHeight="1">
      <c r="A15" s="794" t="s">
        <v>139</v>
      </c>
      <c r="B15" s="508">
        <f t="shared" si="3"/>
        <v>0</v>
      </c>
      <c r="C15" s="509">
        <f t="shared" si="2"/>
        <v>0</v>
      </c>
      <c r="D15" s="520" t="e">
        <f t="shared" si="0"/>
        <v>#DIV/0!</v>
      </c>
      <c r="E15" s="508"/>
      <c r="F15" s="509"/>
      <c r="G15" s="520" t="e">
        <f t="shared" si="1"/>
        <v>#DIV/0!</v>
      </c>
      <c r="J15" s="508"/>
      <c r="K15" s="509"/>
      <c r="L15" s="508"/>
      <c r="M15" s="509"/>
    </row>
    <row r="16" spans="1:13" s="1" customFormat="1" ht="15" customHeight="1">
      <c r="A16" s="794" t="s">
        <v>139</v>
      </c>
      <c r="B16" s="508">
        <f>J16+L16</f>
        <v>0</v>
      </c>
      <c r="C16" s="509">
        <f t="shared" si="2"/>
        <v>0</v>
      </c>
      <c r="D16" s="520" t="e">
        <f t="shared" si="0"/>
        <v>#DIV/0!</v>
      </c>
      <c r="E16" s="508"/>
      <c r="F16" s="509"/>
      <c r="G16" s="520" t="e">
        <f t="shared" si="1"/>
        <v>#DIV/0!</v>
      </c>
      <c r="J16" s="508"/>
      <c r="K16" s="509"/>
      <c r="L16" s="508"/>
      <c r="M16" s="509"/>
    </row>
    <row r="17" spans="1:13" s="1" customFormat="1" ht="15" customHeight="1">
      <c r="A17" s="794" t="s">
        <v>139</v>
      </c>
      <c r="B17" s="508">
        <f t="shared" si="3"/>
        <v>0</v>
      </c>
      <c r="C17" s="509">
        <f t="shared" si="2"/>
        <v>0</v>
      </c>
      <c r="D17" s="520" t="e">
        <f t="shared" si="0"/>
        <v>#DIV/0!</v>
      </c>
      <c r="E17" s="508"/>
      <c r="F17" s="509"/>
      <c r="G17" s="520" t="e">
        <f t="shared" si="1"/>
        <v>#DIV/0!</v>
      </c>
      <c r="J17" s="508"/>
      <c r="K17" s="509"/>
      <c r="L17" s="508"/>
      <c r="M17" s="509"/>
    </row>
    <row r="18" spans="1:13" s="1" customFormat="1" ht="15" customHeight="1">
      <c r="A18" s="794" t="s">
        <v>139</v>
      </c>
      <c r="B18" s="508">
        <f t="shared" si="3"/>
        <v>0</v>
      </c>
      <c r="C18" s="509">
        <f t="shared" si="2"/>
        <v>0</v>
      </c>
      <c r="D18" s="520" t="e">
        <f t="shared" si="0"/>
        <v>#DIV/0!</v>
      </c>
      <c r="E18" s="508"/>
      <c r="F18" s="509"/>
      <c r="G18" s="520" t="e">
        <f t="shared" si="1"/>
        <v>#DIV/0!</v>
      </c>
      <c r="J18" s="508"/>
      <c r="K18" s="509"/>
      <c r="L18" s="508"/>
      <c r="M18" s="509"/>
    </row>
    <row r="19" spans="1:13">
      <c r="A19" s="794" t="s">
        <v>139</v>
      </c>
      <c r="B19" s="508">
        <f>J19+L19</f>
        <v>0</v>
      </c>
      <c r="C19" s="509">
        <f t="shared" si="2"/>
        <v>0</v>
      </c>
      <c r="D19" s="520" t="e">
        <f t="shared" si="0"/>
        <v>#DIV/0!</v>
      </c>
      <c r="E19" s="508"/>
      <c r="F19" s="509"/>
      <c r="G19" s="520" t="e">
        <f t="shared" si="1"/>
        <v>#DIV/0!</v>
      </c>
      <c r="J19" s="508"/>
      <c r="K19" s="509"/>
      <c r="L19" s="508"/>
      <c r="M19" s="509"/>
    </row>
    <row r="20" spans="1:13">
      <c r="A20" s="794" t="s">
        <v>139</v>
      </c>
      <c r="B20" s="508">
        <f t="shared" si="3"/>
        <v>0</v>
      </c>
      <c r="C20" s="509">
        <f t="shared" si="2"/>
        <v>0</v>
      </c>
      <c r="D20" s="520" t="e">
        <f t="shared" si="0"/>
        <v>#DIV/0!</v>
      </c>
      <c r="E20" s="508"/>
      <c r="F20" s="509"/>
      <c r="G20" s="520" t="e">
        <f t="shared" si="1"/>
        <v>#DIV/0!</v>
      </c>
      <c r="J20" s="508"/>
      <c r="K20" s="509"/>
      <c r="L20" s="508"/>
      <c r="M20" s="509"/>
    </row>
    <row r="21" spans="1:13">
      <c r="A21" s="519" t="s">
        <v>66</v>
      </c>
      <c r="B21" s="517">
        <f t="shared" ref="B21:F21" si="4">SUM(B9:B20)</f>
        <v>0</v>
      </c>
      <c r="C21" s="517">
        <f t="shared" si="4"/>
        <v>0</v>
      </c>
      <c r="D21" s="518" t="e">
        <f t="shared" si="0"/>
        <v>#DIV/0!</v>
      </c>
      <c r="E21" s="517">
        <f t="shared" si="4"/>
        <v>0</v>
      </c>
      <c r="F21" s="517">
        <f t="shared" si="4"/>
        <v>0</v>
      </c>
      <c r="G21" s="516" t="e">
        <f t="shared" si="1"/>
        <v>#DIV/0!</v>
      </c>
      <c r="J21" s="517">
        <f t="shared" ref="J21:M21" si="5">SUM(J9:J20)</f>
        <v>0</v>
      </c>
      <c r="K21" s="517">
        <f t="shared" si="5"/>
        <v>0</v>
      </c>
      <c r="L21" s="517">
        <f t="shared" si="5"/>
        <v>0</v>
      </c>
      <c r="M21" s="517">
        <f t="shared" si="5"/>
        <v>0</v>
      </c>
    </row>
    <row r="22" spans="1:13">
      <c r="A22" s="198"/>
    </row>
    <row r="23" spans="1:13">
      <c r="B23" s="767"/>
    </row>
  </sheetData>
  <mergeCells count="9">
    <mergeCell ref="B7:D7"/>
    <mergeCell ref="E7:G7"/>
    <mergeCell ref="J7:K7"/>
    <mergeCell ref="L7:M7"/>
    <mergeCell ref="A2:G3"/>
    <mergeCell ref="J3:M3"/>
    <mergeCell ref="A4:G4"/>
    <mergeCell ref="A5:G5"/>
    <mergeCell ref="J5:M5"/>
  </mergeCells>
  <printOptions horizontalCentered="1"/>
  <pageMargins left="0.405092592592593" right="0.47453703703703698" top="0.55118110236220497" bottom="0.94488188976377996" header="0.31496062992126" footer="0.31496062992126"/>
  <pageSetup scale="61" orientation="portrait" r:id="rId1"/>
  <headerFooter scaleWithDoc="0">
    <oddHeader>&amp;C&amp;G</oddHeader>
    <oddFooter>&amp;C&amp;G&amp;R&amp;P</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U38"/>
  <sheetViews>
    <sheetView workbookViewId="0">
      <pane xSplit="1" topLeftCell="B1" activePane="topRight" state="frozen"/>
      <selection activeCell="H10" sqref="H10"/>
      <selection pane="topRight" activeCell="G17" sqref="G17"/>
    </sheetView>
  </sheetViews>
  <sheetFormatPr baseColWidth="10" defaultColWidth="8.6640625" defaultRowHeight="15"/>
  <cols>
    <col min="1" max="1" width="17.1640625" style="364" customWidth="1"/>
    <col min="2" max="3" width="19.5" style="364" customWidth="1"/>
    <col min="4" max="5" width="16.5" style="364" customWidth="1"/>
    <col min="6" max="6" width="12.33203125" style="364" customWidth="1"/>
    <col min="7" max="9" width="16.1640625" style="364" customWidth="1"/>
    <col min="10" max="13" width="12.33203125" style="364" customWidth="1"/>
    <col min="14" max="14" width="4.1640625" style="364" customWidth="1"/>
    <col min="15" max="16" width="23" style="364" customWidth="1"/>
    <col min="17" max="18" width="23.6640625" style="364" customWidth="1"/>
    <col min="19" max="19" width="3.6640625" style="364" customWidth="1"/>
    <col min="20" max="21" width="10.1640625" style="364" customWidth="1"/>
    <col min="22" max="16384" width="8.6640625" style="364"/>
  </cols>
  <sheetData>
    <row r="1" spans="1:21">
      <c r="A1" s="364" t="s">
        <v>930</v>
      </c>
    </row>
    <row r="2" spans="1:21">
      <c r="D2" s="1051" t="s">
        <v>931</v>
      </c>
      <c r="E2" s="1051"/>
      <c r="F2" s="1051" t="s">
        <v>932</v>
      </c>
      <c r="G2" s="1051"/>
      <c r="H2" s="1051" t="s">
        <v>933</v>
      </c>
      <c r="I2" s="1051"/>
      <c r="J2" s="1058" t="s">
        <v>934</v>
      </c>
      <c r="K2" s="1058"/>
      <c r="L2" s="1058" t="s">
        <v>935</v>
      </c>
      <c r="M2" s="1058"/>
      <c r="O2" s="1051" t="s">
        <v>936</v>
      </c>
      <c r="P2" s="1051"/>
      <c r="Q2" s="1051" t="s">
        <v>937</v>
      </c>
      <c r="R2" s="1051"/>
      <c r="T2" s="237" t="s">
        <v>938</v>
      </c>
      <c r="U2" s="237"/>
    </row>
    <row r="3" spans="1:21">
      <c r="B3" s="364" t="s">
        <v>49</v>
      </c>
      <c r="C3" s="237" t="s">
        <v>939</v>
      </c>
      <c r="D3" s="237" t="s">
        <v>140</v>
      </c>
      <c r="E3" s="237" t="s">
        <v>44</v>
      </c>
      <c r="F3" s="237" t="s">
        <v>140</v>
      </c>
      <c r="G3" s="237" t="s">
        <v>44</v>
      </c>
      <c r="H3" s="237" t="s">
        <v>140</v>
      </c>
      <c r="I3" s="237" t="s">
        <v>44</v>
      </c>
      <c r="J3" s="237" t="s">
        <v>140</v>
      </c>
      <c r="K3" s="237" t="s">
        <v>44</v>
      </c>
      <c r="L3" s="237" t="s">
        <v>140</v>
      </c>
      <c r="M3" s="237" t="s">
        <v>44</v>
      </c>
      <c r="O3" s="237" t="s">
        <v>940</v>
      </c>
      <c r="P3" s="237" t="s">
        <v>941</v>
      </c>
      <c r="Q3" s="237" t="s">
        <v>940</v>
      </c>
      <c r="R3" s="237" t="s">
        <v>941</v>
      </c>
      <c r="T3" s="237" t="s">
        <v>140</v>
      </c>
      <c r="U3" s="237" t="s">
        <v>44</v>
      </c>
    </row>
    <row r="4" spans="1:21">
      <c r="A4" s="237" t="s">
        <v>942</v>
      </c>
      <c r="B4" s="237" t="s">
        <v>566</v>
      </c>
      <c r="C4" s="949" t="s">
        <v>566</v>
      </c>
      <c r="D4" s="950">
        <v>0</v>
      </c>
      <c r="E4" s="950">
        <v>0</v>
      </c>
      <c r="F4" s="951">
        <v>8.5000000000000006E-2</v>
      </c>
      <c r="G4" s="951">
        <v>0.5</v>
      </c>
      <c r="H4" s="951">
        <v>8.5000000000000006E-2</v>
      </c>
      <c r="I4" s="951">
        <v>0.5</v>
      </c>
      <c r="J4" s="951">
        <v>0.05</v>
      </c>
      <c r="K4" s="951">
        <v>0.25</v>
      </c>
      <c r="L4" s="950">
        <v>0</v>
      </c>
      <c r="M4" s="950">
        <v>0</v>
      </c>
      <c r="O4" s="952" t="e">
        <f>('COVID Months'!$B$21-$B$22)*(1-$B$26)+$B$19*(1-$B$26)*(1-F4)+$B$20*(1-$B$26)*(1-H4)+$B$21*(1-$B$26)*(1-J4)</f>
        <v>#N/A</v>
      </c>
      <c r="P4" s="952" t="e">
        <f>'COVID Months'!$E$21-$C$22+$C$19*(1-G4)+$C$20*(1-I4)+$C$21*(1-K4)</f>
        <v>#N/A</v>
      </c>
      <c r="Q4" s="952" t="e">
        <f>('COVID Months'!$B$21-$D$19*3)*(1-$B$26)+$D$19*(1-$B$26)*((1-F4)+(1-H4)+(1-J4))</f>
        <v>#DIV/0!</v>
      </c>
      <c r="R4" s="952" t="e">
        <f>('COVID Months'!$E$21-$E$19*3)+$E$19*((1-G4)+(1-I4)+(1-K4))</f>
        <v>#DIV/0!</v>
      </c>
      <c r="T4" s="976" t="e">
        <f>'COVID Months'!$B$21-'DNP-COVID Calculations'!Q4-$O$23</f>
        <v>#DIV/0!</v>
      </c>
      <c r="U4" s="953" t="e">
        <f>'COVID Months'!$E$21-'DNP-COVID Calculations'!R4</f>
        <v>#DIV/0!</v>
      </c>
    </row>
    <row r="5" spans="1:21">
      <c r="A5" s="237" t="s">
        <v>943</v>
      </c>
      <c r="B5" s="237" t="s">
        <v>944</v>
      </c>
      <c r="C5" s="949" t="s">
        <v>945</v>
      </c>
      <c r="D5" s="950">
        <v>0</v>
      </c>
      <c r="E5" s="950">
        <v>0</v>
      </c>
      <c r="F5" s="954">
        <v>0.1</v>
      </c>
      <c r="G5" s="955">
        <v>0.5</v>
      </c>
      <c r="H5" s="955">
        <v>0.1</v>
      </c>
      <c r="I5" s="955">
        <v>0.5</v>
      </c>
      <c r="J5" s="950">
        <v>0.05</v>
      </c>
      <c r="K5" s="955">
        <v>0.25</v>
      </c>
      <c r="L5" s="950">
        <v>0</v>
      </c>
      <c r="M5" s="950">
        <v>0</v>
      </c>
      <c r="O5" s="952" t="e">
        <f>('COVID Months'!$B$21-$B$22)*(1-$B$26)+$B$19*(1-$B$26)*(1-F5)+$B$20*(1-$B$26)*(1-H5)+$B$21*(1-$B$26)*(1-J5)</f>
        <v>#N/A</v>
      </c>
      <c r="P5" s="952" t="e">
        <f>'COVID Months'!$E$21-$C$22+$C$19*(1-G5)+$C$20*(1-I5)+$C$21*(1-K5)</f>
        <v>#N/A</v>
      </c>
      <c r="Q5" s="952" t="e">
        <f>('COVID Months'!$B$21-$D$19*3)*(1-$B$26)+$D$19*(1-$B$26)*((1-F5)+(1-H5)+(1-J5))</f>
        <v>#DIV/0!</v>
      </c>
      <c r="R5" s="952" t="e">
        <f>('COVID Months'!$E$21-$E$19*3)+$E$19*((1-G5)+(1-I5)+(1-K5))</f>
        <v>#DIV/0!</v>
      </c>
      <c r="T5" s="976" t="e">
        <f>'COVID Months'!$B$21-'DNP-COVID Calculations'!Q5-$O$23</f>
        <v>#DIV/0!</v>
      </c>
      <c r="U5" s="953" t="e">
        <f>'COVID Months'!$E$21-'DNP-COVID Calculations'!R5</f>
        <v>#DIV/0!</v>
      </c>
    </row>
    <row r="6" spans="1:21">
      <c r="A6" s="237" t="s">
        <v>946</v>
      </c>
      <c r="B6" s="237" t="s">
        <v>947</v>
      </c>
      <c r="C6" s="949" t="s">
        <v>948</v>
      </c>
      <c r="D6" s="950">
        <v>0</v>
      </c>
      <c r="E6" s="950">
        <v>0</v>
      </c>
      <c r="F6" s="955">
        <v>0.1</v>
      </c>
      <c r="G6" s="955">
        <v>0.5</v>
      </c>
      <c r="H6" s="950">
        <v>0</v>
      </c>
      <c r="I6" s="955">
        <v>0.5</v>
      </c>
      <c r="J6" s="950">
        <v>0</v>
      </c>
      <c r="K6" s="955">
        <v>0.5</v>
      </c>
      <c r="L6" s="950">
        <v>0</v>
      </c>
      <c r="M6" s="950">
        <v>0</v>
      </c>
      <c r="O6" s="952" t="e">
        <f>('COVID Months'!$B$21-$B$22)*(1-$B$26)+$B$19*(1-$B$26)*(1-F6)+$B$20*(1-$B$26)*(1-H6)+$B$21*(1-$B$26)*(1-J6)</f>
        <v>#N/A</v>
      </c>
      <c r="P6" s="952" t="e">
        <f>'COVID Months'!$E$21-$C$22+$C$19*(1-G6)+$C$20*(1-I6)+$C$21*(1-K6)</f>
        <v>#N/A</v>
      </c>
      <c r="Q6" s="952" t="e">
        <f>('COVID Months'!$B$21-$D$19*3)*(1-$B$26)+$D$19*(1-$B$26)*((1-F6)+(1-H6)+(1-J6))</f>
        <v>#DIV/0!</v>
      </c>
      <c r="R6" s="952" t="e">
        <f>('COVID Months'!$E$21-$E$19*3)+$E$19*((1-G6)+(1-I6)+(1-K6))</f>
        <v>#DIV/0!</v>
      </c>
      <c r="T6" s="976" t="e">
        <f>'COVID Months'!$B$21-'DNP-COVID Calculations'!Q6-$O$23</f>
        <v>#DIV/0!</v>
      </c>
      <c r="U6" s="953" t="e">
        <f>'COVID Months'!$E$21-'DNP-COVID Calculations'!R6</f>
        <v>#DIV/0!</v>
      </c>
    </row>
    <row r="7" spans="1:21">
      <c r="A7" s="237" t="s">
        <v>949</v>
      </c>
      <c r="B7" s="237" t="s">
        <v>950</v>
      </c>
      <c r="C7" s="949" t="s">
        <v>951</v>
      </c>
      <c r="D7" s="950">
        <v>0</v>
      </c>
      <c r="E7" s="950">
        <v>0</v>
      </c>
      <c r="F7" s="955">
        <v>0.1</v>
      </c>
      <c r="G7" s="955">
        <v>0.5</v>
      </c>
      <c r="H7" s="955">
        <v>0.1</v>
      </c>
      <c r="I7" s="955">
        <v>0.5</v>
      </c>
      <c r="J7" s="950">
        <v>0</v>
      </c>
      <c r="K7" s="950">
        <v>0</v>
      </c>
      <c r="L7" s="950">
        <v>0</v>
      </c>
      <c r="M7" s="950">
        <v>0</v>
      </c>
      <c r="O7" s="952" t="e">
        <f>('COVID Months'!$B$21-$B$22)*(1-$B$26)+$B$19*(1-$B$26)*(1-F7)+$B$20*(1-$B$26)*(1-H7)+$B$21*(1-$B$26)*(1-J7)</f>
        <v>#N/A</v>
      </c>
      <c r="P7" s="952" t="e">
        <f>'COVID Months'!$E$21-$C$22+$C$19*(1-G7)+$C$20*(1-I7)+$C$21*(1-K7)</f>
        <v>#N/A</v>
      </c>
      <c r="Q7" s="952" t="e">
        <f>('COVID Months'!$B$21-$D$19*3)*(1-$B$26)+$D$19*(1-$B$26)*((1-F7)+(1-H7)+(1-J7))</f>
        <v>#DIV/0!</v>
      </c>
      <c r="R7" s="952" t="e">
        <f>('COVID Months'!$E$21-$E$19*3)+$E$19*((1-G7)+(1-I7)+(1-K7))</f>
        <v>#DIV/0!</v>
      </c>
      <c r="T7" s="976" t="e">
        <f>'COVID Months'!$B$21-'DNP-COVID Calculations'!Q7-$O$23</f>
        <v>#DIV/0!</v>
      </c>
      <c r="U7" s="953" t="e">
        <f>'COVID Months'!$E$21-'DNP-COVID Calculations'!R7</f>
        <v>#DIV/0!</v>
      </c>
    </row>
    <row r="8" spans="1:21">
      <c r="A8" s="237" t="s">
        <v>952</v>
      </c>
      <c r="B8" s="237" t="s">
        <v>566</v>
      </c>
      <c r="C8" s="949" t="s">
        <v>566</v>
      </c>
      <c r="D8" s="950">
        <v>0</v>
      </c>
      <c r="E8" s="950">
        <v>0</v>
      </c>
      <c r="F8" s="950">
        <v>0</v>
      </c>
      <c r="G8" s="955">
        <v>0.7</v>
      </c>
      <c r="H8" s="950">
        <v>0</v>
      </c>
      <c r="I8" s="955">
        <v>0.7</v>
      </c>
      <c r="J8" s="950">
        <v>0</v>
      </c>
      <c r="K8" s="955">
        <v>0.7</v>
      </c>
      <c r="L8" s="950">
        <v>0</v>
      </c>
      <c r="M8" s="950">
        <v>0</v>
      </c>
      <c r="O8" s="952" t="e">
        <f>('COVID Months'!$B$21-$B$22)*(1-$B$26)+$B$19*(1-$B$26)*(1-F8)+$B$20*(1-$B$26)*(1-H8)+$B$21*(1-$B$26)*(1-J8)</f>
        <v>#N/A</v>
      </c>
      <c r="P8" s="952" t="e">
        <f>'COVID Months'!$E$21-$C$22+$C$19*(1-G8)+$C$20*(1-I8)+$C$21*(1-K8)</f>
        <v>#N/A</v>
      </c>
      <c r="Q8" s="952" t="e">
        <f>('COVID Months'!$B$21-$D$19*3)*(1-$B$26)+$D$19*(1-$B$26)*((1-F8)+(1-H8)+(1-J8))</f>
        <v>#DIV/0!</v>
      </c>
      <c r="R8" s="952" t="e">
        <f>('COVID Months'!$E$21-$E$19*3)+$E$19*((1-G8)+(1-I8)+(1-K8))</f>
        <v>#DIV/0!</v>
      </c>
      <c r="T8" s="976" t="e">
        <f>'COVID Months'!$B$21-'DNP-COVID Calculations'!Q8-$O$23</f>
        <v>#DIV/0!</v>
      </c>
      <c r="U8" s="953" t="e">
        <f>'COVID Months'!$E$21-'DNP-COVID Calculations'!R8</f>
        <v>#DIV/0!</v>
      </c>
    </row>
    <row r="9" spans="1:21">
      <c r="A9" s="237" t="s">
        <v>953</v>
      </c>
      <c r="B9" s="237" t="s">
        <v>566</v>
      </c>
      <c r="C9" s="237" t="s">
        <v>954</v>
      </c>
      <c r="D9" s="950">
        <v>0</v>
      </c>
      <c r="E9" s="950">
        <v>0</v>
      </c>
      <c r="F9" s="955">
        <v>0.1</v>
      </c>
      <c r="G9" s="955">
        <v>0.5</v>
      </c>
      <c r="H9" s="955">
        <v>0.1</v>
      </c>
      <c r="I9" s="955">
        <v>0.5</v>
      </c>
      <c r="J9" s="950">
        <v>0</v>
      </c>
      <c r="K9" s="955">
        <v>0.25</v>
      </c>
      <c r="L9" s="950">
        <v>0</v>
      </c>
      <c r="M9" s="950">
        <v>0</v>
      </c>
      <c r="O9" s="952" t="e">
        <f>('COVID Months'!$B$21-$B$22)*(1-$B$26)+$B$19*(1-$B$26)*(1-F9)+$B$20*(1-$B$26)*(1-H9)+$B$21*(1-$B$26)*(1-J9)</f>
        <v>#N/A</v>
      </c>
      <c r="P9" s="952" t="e">
        <f>'COVID Months'!$E$21-$C$22+$C$19*(1-G9)+$C$20*(1-I9)+$C$21*(1-K9)</f>
        <v>#N/A</v>
      </c>
      <c r="Q9" s="952" t="e">
        <f>('COVID Months'!$B$21-$D$19*3)*(1-$B$26)+$D$19*(1-$B$26)*((1-F9)+(1-H9)+(1-J9))</f>
        <v>#DIV/0!</v>
      </c>
      <c r="R9" s="952" t="e">
        <f>('COVID Months'!$E$21-$E$19*3)+$E$19*((1-G9)+(1-I9)+(1-K9))</f>
        <v>#DIV/0!</v>
      </c>
      <c r="T9" s="976" t="e">
        <f>'COVID Months'!$B$21-'DNP-COVID Calculations'!Q9-$O$23</f>
        <v>#DIV/0!</v>
      </c>
      <c r="U9" s="953" t="e">
        <f>'COVID Months'!$E$21-'DNP-COVID Calculations'!R9</f>
        <v>#DIV/0!</v>
      </c>
    </row>
    <row r="10" spans="1:21">
      <c r="A10" s="237" t="s">
        <v>955</v>
      </c>
      <c r="B10" s="237" t="s">
        <v>947</v>
      </c>
      <c r="C10" s="237" t="s">
        <v>956</v>
      </c>
      <c r="D10" s="950">
        <v>0</v>
      </c>
      <c r="E10" s="950">
        <v>0</v>
      </c>
      <c r="F10" s="955">
        <v>7.0000000000000007E-2</v>
      </c>
      <c r="G10" s="955">
        <v>0.62</v>
      </c>
      <c r="H10" s="955">
        <v>7.0000000000000007E-2</v>
      </c>
      <c r="I10" s="955">
        <v>0.62</v>
      </c>
      <c r="J10" s="955">
        <v>7.0000000000000007E-2</v>
      </c>
      <c r="K10" s="955">
        <v>0.62</v>
      </c>
      <c r="L10" s="950">
        <v>0</v>
      </c>
      <c r="M10" s="950">
        <v>0</v>
      </c>
      <c r="O10" s="952" t="e">
        <f>('COVID Months'!$B$21-$B$22)*(1-$B$26)+$B$19*(1-$B$26)*(1-F10)+$B$20*(1-$B$26)*(1-H10)+$B$21*(1-$B$26)*(1-J10)</f>
        <v>#N/A</v>
      </c>
      <c r="P10" s="952" t="e">
        <f>'COVID Months'!$E$21-$C$22+$C$19*(1-G10)+$C$20*(1-I10)+$C$21*(1-K10)</f>
        <v>#N/A</v>
      </c>
      <c r="Q10" s="952" t="e">
        <f>('COVID Months'!$B$21-$D$19*3)*(1-$B$26)+$D$19*(1-$B$26)*((1-F10)+(1-H10)+(1-J10))</f>
        <v>#DIV/0!</v>
      </c>
      <c r="R10" s="952" t="e">
        <f>('COVID Months'!$E$21-$E$19*3)+$E$19*((1-G10)+(1-I10)+(1-K10))</f>
        <v>#DIV/0!</v>
      </c>
      <c r="T10" s="976" t="e">
        <f>'COVID Months'!$B$21-'DNP-COVID Calculations'!Q10-$O$23</f>
        <v>#DIV/0!</v>
      </c>
      <c r="U10" s="953" t="e">
        <f>'COVID Months'!$E$21-'DNP-COVID Calculations'!R10</f>
        <v>#DIV/0!</v>
      </c>
    </row>
    <row r="11" spans="1:21">
      <c r="A11" s="237" t="s">
        <v>957</v>
      </c>
      <c r="B11" s="237" t="s">
        <v>947</v>
      </c>
      <c r="C11" s="237" t="s">
        <v>954</v>
      </c>
      <c r="D11" s="950">
        <v>0</v>
      </c>
      <c r="E11" s="950">
        <v>0</v>
      </c>
      <c r="F11" s="955">
        <v>0.08</v>
      </c>
      <c r="G11" s="955">
        <v>0.5</v>
      </c>
      <c r="H11" s="955">
        <v>0.08</v>
      </c>
      <c r="I11" s="955">
        <v>0.5</v>
      </c>
      <c r="J11" s="951">
        <v>0.05</v>
      </c>
      <c r="K11" s="951">
        <v>0.25</v>
      </c>
      <c r="L11" s="950">
        <v>0</v>
      </c>
      <c r="M11" s="950">
        <v>0</v>
      </c>
      <c r="Q11" s="952" t="e">
        <f>('COVID Months'!$B$21-$D$19*3)*(1-$B$26)+$D$19*(1-$B$26)*((1-F11)+(1-H11)+(1-J11))</f>
        <v>#DIV/0!</v>
      </c>
      <c r="R11" s="952" t="e">
        <f>('COVID Months'!$E$21-$E$19*3)+$E$19*((1-G11)+(1-I11)+(1-K11))</f>
        <v>#DIV/0!</v>
      </c>
      <c r="T11" s="976" t="e">
        <f>'COVID Months'!$B$21-'DNP-COVID Calculations'!Q11-$O$23</f>
        <v>#DIV/0!</v>
      </c>
      <c r="U11" s="953" t="e">
        <f>'COVID Months'!$E$21-'DNP-COVID Calculations'!R11</f>
        <v>#DIV/0!</v>
      </c>
    </row>
    <row r="12" spans="1:21">
      <c r="A12" s="237" t="s">
        <v>958</v>
      </c>
      <c r="B12" s="237" t="s">
        <v>947</v>
      </c>
      <c r="C12" s="237" t="s">
        <v>947</v>
      </c>
      <c r="D12" s="950">
        <v>0</v>
      </c>
      <c r="E12" s="950">
        <v>0</v>
      </c>
      <c r="F12" s="955">
        <v>0.1</v>
      </c>
      <c r="G12" s="955">
        <v>0.5</v>
      </c>
      <c r="H12" s="955">
        <v>0.1</v>
      </c>
      <c r="I12" s="955">
        <v>0.5</v>
      </c>
      <c r="J12" s="955">
        <v>0.1</v>
      </c>
      <c r="K12" s="955">
        <v>0.5</v>
      </c>
      <c r="L12" s="950">
        <v>0</v>
      </c>
      <c r="M12" s="950">
        <v>0</v>
      </c>
      <c r="Q12" s="952" t="e">
        <f>('COVID Months'!$B$21-$D$19*3)*(1-$B$26)+$D$19*(1-$B$26)*((1-F12)+(1-H12)+(1-J12))</f>
        <v>#DIV/0!</v>
      </c>
      <c r="R12" s="952" t="e">
        <f>('COVID Months'!$E$21-$E$19*3)+$E$19*((1-G12)+(1-I12)+(1-K12))</f>
        <v>#DIV/0!</v>
      </c>
      <c r="T12" s="976" t="e">
        <f>'COVID Months'!$B$21-'DNP-COVID Calculations'!Q12-$O$23</f>
        <v>#DIV/0!</v>
      </c>
      <c r="U12" s="953" t="e">
        <f>'COVID Months'!$E$21-'DNP-COVID Calculations'!R12</f>
        <v>#DIV/0!</v>
      </c>
    </row>
    <row r="13" spans="1:21">
      <c r="A13" s="237" t="s">
        <v>959</v>
      </c>
      <c r="B13" s="237" t="s">
        <v>947</v>
      </c>
      <c r="C13" s="237" t="s">
        <v>947</v>
      </c>
      <c r="D13" s="950">
        <v>0</v>
      </c>
      <c r="E13" s="950">
        <v>0</v>
      </c>
      <c r="F13" s="950">
        <v>0</v>
      </c>
      <c r="G13" s="955">
        <v>1</v>
      </c>
      <c r="H13" s="950">
        <v>0</v>
      </c>
      <c r="I13" s="955">
        <v>1</v>
      </c>
      <c r="J13" s="950">
        <v>0</v>
      </c>
      <c r="K13" s="950">
        <v>0</v>
      </c>
      <c r="L13" s="950">
        <v>0</v>
      </c>
      <c r="M13" s="950">
        <v>0</v>
      </c>
      <c r="Q13" s="952" t="e">
        <f>('COVID Months'!$B$21-$D$19*3)*(1-$B$26)+$D$19*(1-$B$26)*((1-F13)+(1-H13)+(1-J13))</f>
        <v>#DIV/0!</v>
      </c>
      <c r="R13" s="952" t="e">
        <f>('COVID Months'!$E$21-$E$19*3)+$E$19*((1-G13)+(1-I13)+(1-K13))</f>
        <v>#DIV/0!</v>
      </c>
      <c r="T13" s="976" t="e">
        <f>'COVID Months'!$B$21-'DNP-COVID Calculations'!Q13-$O$23</f>
        <v>#DIV/0!</v>
      </c>
      <c r="U13" s="953" t="e">
        <f>'COVID Months'!$E$21-'DNP-COVID Calculations'!R13</f>
        <v>#DIV/0!</v>
      </c>
    </row>
    <row r="14" spans="1:21">
      <c r="A14" s="237" t="s">
        <v>960</v>
      </c>
      <c r="B14" s="237" t="s">
        <v>947</v>
      </c>
      <c r="C14" s="949" t="s">
        <v>961</v>
      </c>
      <c r="D14" s="950">
        <v>0</v>
      </c>
      <c r="E14" s="950">
        <v>0</v>
      </c>
      <c r="F14" s="955">
        <v>0.1</v>
      </c>
      <c r="G14" s="955">
        <v>0.5</v>
      </c>
      <c r="H14" s="955">
        <v>0.1</v>
      </c>
      <c r="I14" s="955">
        <v>0.5</v>
      </c>
      <c r="J14" s="951">
        <v>0.05</v>
      </c>
      <c r="K14" s="951">
        <v>0.25</v>
      </c>
      <c r="L14" s="950">
        <v>0</v>
      </c>
      <c r="M14" s="950">
        <v>0</v>
      </c>
      <c r="Q14" s="956"/>
      <c r="R14" s="956"/>
    </row>
    <row r="15" spans="1:21">
      <c r="A15" s="237" t="s">
        <v>962</v>
      </c>
      <c r="B15" s="237" t="s">
        <v>947</v>
      </c>
      <c r="C15" s="237" t="s">
        <v>963</v>
      </c>
      <c r="D15" s="950">
        <v>0</v>
      </c>
      <c r="E15" s="950">
        <v>0</v>
      </c>
      <c r="F15" s="950">
        <v>0</v>
      </c>
      <c r="G15" s="950">
        <v>0</v>
      </c>
      <c r="H15" s="955">
        <v>7.0000000000000007E-2</v>
      </c>
      <c r="I15" s="955">
        <v>0.5</v>
      </c>
      <c r="J15" s="955">
        <v>7.0000000000000007E-2</v>
      </c>
      <c r="K15" s="955">
        <v>0.5</v>
      </c>
      <c r="L15" s="950">
        <v>0</v>
      </c>
      <c r="M15" s="950">
        <v>0.25</v>
      </c>
      <c r="Q15" s="956"/>
      <c r="R15" s="956"/>
    </row>
    <row r="16" spans="1:21">
      <c r="F16" s="957"/>
      <c r="G16" s="957"/>
      <c r="H16" s="957"/>
      <c r="I16" s="957"/>
      <c r="J16" s="957"/>
      <c r="K16" s="957"/>
    </row>
    <row r="17" spans="1:18" ht="16" thickBot="1">
      <c r="A17" s="237"/>
      <c r="B17" s="1051" t="s">
        <v>936</v>
      </c>
      <c r="C17" s="1051"/>
      <c r="D17" s="1051" t="s">
        <v>964</v>
      </c>
      <c r="E17" s="1051"/>
      <c r="F17" s="958"/>
      <c r="G17" s="959"/>
      <c r="H17" s="960"/>
      <c r="I17" s="960"/>
      <c r="J17" s="958"/>
      <c r="K17" s="958"/>
      <c r="O17" s="1050" t="s">
        <v>965</v>
      </c>
      <c r="P17" s="1050"/>
    </row>
    <row r="18" spans="1:18">
      <c r="A18" s="237"/>
      <c r="B18" s="237" t="s">
        <v>966</v>
      </c>
      <c r="C18" s="237" t="s">
        <v>722</v>
      </c>
      <c r="D18" s="237" t="s">
        <v>966</v>
      </c>
      <c r="E18" s="237" t="s">
        <v>722</v>
      </c>
      <c r="F18" s="958"/>
      <c r="G18" s="959"/>
      <c r="H18" s="960"/>
      <c r="I18" s="960"/>
      <c r="J18" s="958"/>
      <c r="K18" s="958"/>
      <c r="O18" s="237" t="s">
        <v>940</v>
      </c>
      <c r="P18" s="237" t="s">
        <v>941</v>
      </c>
      <c r="Q18" s="240" t="s">
        <v>66</v>
      </c>
    </row>
    <row r="19" spans="1:18" ht="16" thickBot="1">
      <c r="A19" s="961">
        <v>43922</v>
      </c>
      <c r="B19" s="952" t="e">
        <f>VLOOKUP(A19, 'COVID Months'!$A$9:$G$20, 2, FALSE)</f>
        <v>#N/A</v>
      </c>
      <c r="C19" s="952" t="e">
        <f>VLOOKUP(A19, 'COVID Months'!$A$9:$G$20, 5, FALSE)</f>
        <v>#N/A</v>
      </c>
      <c r="D19" s="952" t="e">
        <f>'COVID Months'!B21/B27</f>
        <v>#DIV/0!</v>
      </c>
      <c r="E19" s="952" t="e">
        <f>'COVID Months'!E21/B27</f>
        <v>#DIV/0!</v>
      </c>
      <c r="F19" s="958"/>
      <c r="G19" s="962"/>
      <c r="H19" s="963"/>
      <c r="I19" s="963"/>
      <c r="J19" s="958"/>
      <c r="K19" s="958"/>
      <c r="O19" s="964">
        <v>0</v>
      </c>
      <c r="P19" s="965">
        <v>0</v>
      </c>
      <c r="Q19" s="966">
        <f>O19+P19</f>
        <v>0</v>
      </c>
    </row>
    <row r="20" spans="1:18">
      <c r="A20" s="961">
        <v>43952</v>
      </c>
      <c r="B20" s="952" t="e">
        <f>VLOOKUP(A20, 'COVID Months'!$A$9:$G$20, 2, FALSE)</f>
        <v>#N/A</v>
      </c>
      <c r="C20" s="952" t="e">
        <f>VLOOKUP(A20, 'COVID Months'!$A$9:$G$20, 5, FALSE)</f>
        <v>#N/A</v>
      </c>
      <c r="D20" s="1052" t="s">
        <v>967</v>
      </c>
      <c r="E20" s="1053"/>
      <c r="F20" s="958"/>
      <c r="G20" s="962"/>
      <c r="H20" s="963"/>
      <c r="I20" s="963"/>
      <c r="J20" s="958"/>
      <c r="K20" s="958"/>
      <c r="O20" s="238" t="s">
        <v>968</v>
      </c>
      <c r="P20" s="239" t="s">
        <v>969</v>
      </c>
      <c r="Q20" s="238" t="s">
        <v>970</v>
      </c>
      <c r="R20" s="240" t="s">
        <v>971</v>
      </c>
    </row>
    <row r="21" spans="1:18" ht="16" thickBot="1">
      <c r="A21" s="961">
        <v>43983</v>
      </c>
      <c r="B21" s="952" t="e">
        <f>VLOOKUP(A21, 'COVID Months'!$A$9:$G$20, 2, FALSE)</f>
        <v>#N/A</v>
      </c>
      <c r="C21" s="952" t="e">
        <f>VLOOKUP(A21, 'COVID Months'!$A$9:$G$20, 5, FALSE)</f>
        <v>#N/A</v>
      </c>
      <c r="D21" s="1054"/>
      <c r="E21" s="1055"/>
      <c r="F21" s="958"/>
      <c r="G21" s="962"/>
      <c r="H21" s="963"/>
      <c r="I21" s="963"/>
      <c r="J21" s="958"/>
      <c r="K21" s="958"/>
      <c r="O21" s="964"/>
      <c r="P21" s="965"/>
      <c r="Q21" s="967">
        <f>ROUND(O21, 0)</f>
        <v>0</v>
      </c>
      <c r="R21" s="966">
        <f>ROUND(P21, 0)</f>
        <v>0</v>
      </c>
    </row>
    <row r="22" spans="1:18">
      <c r="A22" s="237" t="s">
        <v>972</v>
      </c>
      <c r="B22" s="953" t="e">
        <f>SUM(B19:B21)</f>
        <v>#N/A</v>
      </c>
      <c r="C22" s="953" t="e">
        <f>SUM(C19:C21)</f>
        <v>#N/A</v>
      </c>
      <c r="D22" s="1056"/>
      <c r="E22" s="1057"/>
      <c r="G22" s="962"/>
      <c r="H22" s="963"/>
      <c r="I22" s="963"/>
      <c r="O22" s="968" t="s">
        <v>973</v>
      </c>
    </row>
    <row r="23" spans="1:18" ht="16" thickBot="1">
      <c r="G23" s="962"/>
      <c r="H23" s="963"/>
      <c r="I23" s="963"/>
      <c r="O23" s="969">
        <f>'COVID Months'!B21*'DNP-COVID Calculations'!B26</f>
        <v>0</v>
      </c>
    </row>
    <row r="24" spans="1:18">
      <c r="G24" s="962"/>
      <c r="H24" s="963"/>
      <c r="I24" s="963"/>
      <c r="O24" s="970" t="s">
        <v>974</v>
      </c>
    </row>
    <row r="25" spans="1:18">
      <c r="A25" s="1059" t="s">
        <v>975</v>
      </c>
      <c r="B25" s="1059"/>
      <c r="G25" s="962"/>
      <c r="H25" s="963"/>
      <c r="I25" s="963"/>
    </row>
    <row r="26" spans="1:18">
      <c r="A26" s="971" t="s">
        <v>49</v>
      </c>
      <c r="B26" s="972">
        <v>0</v>
      </c>
      <c r="C26" s="970" t="s">
        <v>995</v>
      </c>
      <c r="G26" s="962"/>
      <c r="H26" s="963"/>
      <c r="I26" s="963"/>
    </row>
    <row r="27" spans="1:18">
      <c r="A27" s="971" t="s">
        <v>976</v>
      </c>
      <c r="B27" s="971">
        <v>0</v>
      </c>
      <c r="G27" s="962"/>
      <c r="H27" s="963"/>
      <c r="I27" s="963"/>
    </row>
    <row r="28" spans="1:18">
      <c r="G28" s="962"/>
      <c r="H28" s="963"/>
      <c r="I28" s="963"/>
    </row>
    <row r="29" spans="1:18">
      <c r="G29" s="962"/>
      <c r="H29" s="963"/>
      <c r="I29" s="963"/>
    </row>
    <row r="30" spans="1:18">
      <c r="A30" s="970" t="s">
        <v>977</v>
      </c>
      <c r="G30" s="962"/>
      <c r="H30" s="963"/>
      <c r="I30" s="963"/>
    </row>
    <row r="31" spans="1:18">
      <c r="A31" s="970" t="s">
        <v>978</v>
      </c>
      <c r="G31" s="960"/>
      <c r="H31" s="963"/>
      <c r="I31" s="963"/>
    </row>
    <row r="33" spans="1:3">
      <c r="A33" s="973" t="s">
        <v>979</v>
      </c>
      <c r="B33" s="973"/>
      <c r="C33" s="973"/>
    </row>
    <row r="34" spans="1:3">
      <c r="B34" s="973" t="s">
        <v>980</v>
      </c>
      <c r="C34" s="973" t="s">
        <v>981</v>
      </c>
    </row>
    <row r="35" spans="1:3">
      <c r="B35" s="973" t="s">
        <v>982</v>
      </c>
      <c r="C35" s="973" t="s">
        <v>983</v>
      </c>
    </row>
    <row r="36" spans="1:3">
      <c r="B36" s="973" t="s">
        <v>984</v>
      </c>
      <c r="C36" s="973" t="s">
        <v>985</v>
      </c>
    </row>
    <row r="37" spans="1:3">
      <c r="B37" s="973" t="s">
        <v>986</v>
      </c>
      <c r="C37" s="973" t="s">
        <v>987</v>
      </c>
    </row>
    <row r="38" spans="1:3">
      <c r="B38" s="973" t="s">
        <v>988</v>
      </c>
      <c r="C38" s="279" t="s">
        <v>989</v>
      </c>
    </row>
  </sheetData>
  <mergeCells count="12">
    <mergeCell ref="A25:B25"/>
    <mergeCell ref="D2:E2"/>
    <mergeCell ref="F2:G2"/>
    <mergeCell ref="H2:I2"/>
    <mergeCell ref="J2:K2"/>
    <mergeCell ref="Q2:R2"/>
    <mergeCell ref="B17:C17"/>
    <mergeCell ref="D17:E17"/>
    <mergeCell ref="O17:P17"/>
    <mergeCell ref="D20:E22"/>
    <mergeCell ref="L2:M2"/>
    <mergeCell ref="O2:P2"/>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tabColor rgb="FFFF0000"/>
  </sheetPr>
  <dimension ref="A1:G40"/>
  <sheetViews>
    <sheetView showGridLines="0" view="pageLayout" zoomScaleNormal="100" workbookViewId="0">
      <selection activeCell="E5" sqref="E5"/>
    </sheetView>
  </sheetViews>
  <sheetFormatPr baseColWidth="10" defaultColWidth="9.1640625" defaultRowHeight="15"/>
  <cols>
    <col min="1" max="7" width="13.83203125" customWidth="1"/>
  </cols>
  <sheetData>
    <row r="1" spans="1:7" ht="27" customHeight="1"/>
    <row r="2" spans="1:7" s="1" customFormat="1" ht="15" customHeight="1">
      <c r="A2" s="1032" t="s">
        <v>5</v>
      </c>
      <c r="B2" s="1032"/>
      <c r="C2" s="1032"/>
      <c r="D2" s="3"/>
      <c r="E2" s="3"/>
      <c r="F2" s="3"/>
      <c r="G2" s="3"/>
    </row>
    <row r="3" spans="1:7" s="1" customFormat="1" ht="15" customHeight="1">
      <c r="A3" s="1032"/>
      <c r="B3" s="1032"/>
      <c r="C3" s="1032"/>
      <c r="D3" s="3"/>
      <c r="E3" s="3"/>
      <c r="F3" s="3"/>
      <c r="G3" s="3"/>
    </row>
    <row r="4" spans="1:7" s="1" customFormat="1" ht="15" customHeight="1">
      <c r="A4" s="443" t="s">
        <v>6</v>
      </c>
    </row>
    <row r="5" spans="1:7" s="1" customFormat="1" ht="15" customHeight="1"/>
    <row r="6" spans="1:7" s="1" customFormat="1" ht="15" customHeight="1">
      <c r="A6" s="1062" t="s">
        <v>800</v>
      </c>
      <c r="B6" s="1062"/>
      <c r="C6" s="1062"/>
      <c r="D6" s="1062"/>
      <c r="E6" s="1062"/>
      <c r="F6" s="1062"/>
      <c r="G6" s="1062"/>
    </row>
    <row r="7" spans="1:7" s="1" customFormat="1" ht="15" customHeight="1">
      <c r="A7" s="1062"/>
      <c r="B7" s="1062"/>
      <c r="C7" s="1062"/>
      <c r="D7" s="1062"/>
      <c r="E7" s="1062"/>
      <c r="F7" s="1062"/>
      <c r="G7" s="1062"/>
    </row>
    <row r="8" spans="1:7" s="1" customFormat="1" ht="39" customHeight="1">
      <c r="A8" s="1062"/>
      <c r="B8" s="1062"/>
      <c r="C8" s="1062"/>
      <c r="D8" s="1062"/>
      <c r="E8" s="1062"/>
      <c r="F8" s="1062"/>
      <c r="G8" s="1062"/>
    </row>
    <row r="9" spans="1:7" s="1" customFormat="1" ht="15" customHeight="1">
      <c r="A9" s="224" t="s">
        <v>72</v>
      </c>
      <c r="B9"/>
      <c r="C9"/>
      <c r="D9"/>
      <c r="E9"/>
      <c r="F9"/>
      <c r="G9"/>
    </row>
    <row r="10" spans="1:7">
      <c r="A10" s="393" t="s">
        <v>748</v>
      </c>
    </row>
    <row r="11" spans="1:7" ht="15" customHeight="1">
      <c r="A11" s="393" t="s">
        <v>749</v>
      </c>
    </row>
    <row r="12" spans="1:7">
      <c r="A12" s="221" t="s">
        <v>863</v>
      </c>
    </row>
    <row r="14" spans="1:7" ht="16">
      <c r="A14" s="443" t="s">
        <v>11</v>
      </c>
    </row>
    <row r="16" spans="1:7" ht="15" customHeight="1">
      <c r="A16" s="1062" t="s">
        <v>747</v>
      </c>
      <c r="B16" s="1063"/>
      <c r="C16" s="1063"/>
      <c r="D16" s="1063"/>
      <c r="E16" s="1063"/>
      <c r="F16" s="1063"/>
      <c r="G16" s="1063"/>
    </row>
    <row r="17" spans="1:7" ht="15" customHeight="1">
      <c r="A17" s="1063"/>
      <c r="B17" s="1063"/>
      <c r="C17" s="1063"/>
      <c r="D17" s="1063"/>
      <c r="E17" s="1063"/>
      <c r="F17" s="1063"/>
      <c r="G17" s="1063"/>
    </row>
    <row r="18" spans="1:7" ht="15" customHeight="1"/>
    <row r="19" spans="1:7" ht="15" customHeight="1">
      <c r="A19" s="1062" t="s">
        <v>840</v>
      </c>
      <c r="B19" s="1062"/>
      <c r="C19" s="1062"/>
      <c r="D19" s="1062"/>
      <c r="E19" s="1062"/>
      <c r="F19" s="1062"/>
      <c r="G19" s="1062"/>
    </row>
    <row r="20" spans="1:7" ht="15" customHeight="1">
      <c r="A20" s="1062"/>
      <c r="B20" s="1062"/>
      <c r="C20" s="1062"/>
      <c r="D20" s="1062"/>
      <c r="E20" s="1062"/>
      <c r="F20" s="1062"/>
      <c r="G20" s="1062"/>
    </row>
    <row r="21" spans="1:7">
      <c r="A21" s="1062"/>
      <c r="B21" s="1062"/>
      <c r="C21" s="1062"/>
      <c r="D21" s="1062"/>
      <c r="E21" s="1062"/>
      <c r="F21" s="1062"/>
      <c r="G21" s="1062"/>
    </row>
    <row r="22" spans="1:7" ht="29.25" customHeight="1">
      <c r="A22" s="1062"/>
      <c r="B22" s="1062"/>
      <c r="C22" s="1009"/>
      <c r="D22" s="1062"/>
      <c r="E22" s="1062"/>
      <c r="F22" s="1062"/>
      <c r="G22" s="1062"/>
    </row>
    <row r="23" spans="1:7" ht="15" customHeight="1">
      <c r="A23" s="1060" t="s">
        <v>841</v>
      </c>
      <c r="B23" s="1060"/>
      <c r="C23" s="1060"/>
      <c r="D23" s="1060"/>
      <c r="E23" s="1060"/>
      <c r="F23" s="1060"/>
      <c r="G23" s="1060"/>
    </row>
    <row r="24" spans="1:7">
      <c r="A24" s="1060"/>
      <c r="B24" s="1060"/>
      <c r="C24" s="1060"/>
      <c r="D24" s="1060"/>
      <c r="E24" s="1060"/>
      <c r="F24" s="1060"/>
      <c r="G24" s="1060"/>
    </row>
    <row r="25" spans="1:7">
      <c r="A25" s="1060"/>
      <c r="B25" s="1060"/>
      <c r="C25" s="1060"/>
      <c r="D25" s="1060"/>
      <c r="E25" s="1060"/>
      <c r="F25" s="1060"/>
      <c r="G25" s="1060"/>
    </row>
    <row r="26" spans="1:7">
      <c r="A26" s="1060"/>
      <c r="B26" s="1060"/>
      <c r="C26" s="1060"/>
      <c r="D26" s="1060"/>
      <c r="E26" s="1060"/>
      <c r="F26" s="1060"/>
      <c r="G26" s="1060"/>
    </row>
    <row r="27" spans="1:7">
      <c r="A27" s="1060"/>
      <c r="B27" s="1060"/>
      <c r="C27" s="1060"/>
      <c r="D27" s="1060"/>
      <c r="E27" s="1060"/>
      <c r="F27" s="1060"/>
      <c r="G27" s="1060"/>
    </row>
    <row r="28" spans="1:7">
      <c r="A28" s="1060"/>
      <c r="B28" s="1060"/>
      <c r="C28" s="1060"/>
      <c r="D28" s="1060"/>
      <c r="E28" s="1060"/>
      <c r="F28" s="1060"/>
      <c r="G28" s="1060"/>
    </row>
    <row r="29" spans="1:7">
      <c r="A29" s="1060"/>
      <c r="B29" s="1060"/>
      <c r="C29" s="1060"/>
      <c r="D29" s="1060"/>
      <c r="E29" s="1060"/>
      <c r="F29" s="1060"/>
      <c r="G29" s="1060"/>
    </row>
    <row r="30" spans="1:7" ht="26.25" customHeight="1">
      <c r="A30" s="1060"/>
      <c r="B30" s="1060"/>
      <c r="C30" s="1060"/>
      <c r="D30" s="1060"/>
      <c r="E30" s="1060"/>
      <c r="F30" s="1060"/>
      <c r="G30" s="1060"/>
    </row>
    <row r="31" spans="1:7" ht="15" customHeight="1">
      <c r="A31" s="1061" t="s">
        <v>746</v>
      </c>
      <c r="B31" s="1061"/>
      <c r="C31" s="1061"/>
      <c r="D31" s="1061"/>
      <c r="E31" s="1061"/>
      <c r="F31" s="1061"/>
      <c r="G31" s="1061"/>
    </row>
    <row r="32" spans="1:7">
      <c r="A32" s="1061"/>
      <c r="B32" s="1061"/>
      <c r="C32" s="1061"/>
      <c r="D32" s="1061"/>
      <c r="E32" s="1061"/>
      <c r="F32" s="1061"/>
      <c r="G32" s="1061"/>
    </row>
    <row r="33" spans="1:7">
      <c r="A33" s="1061"/>
      <c r="B33" s="1061"/>
      <c r="C33" s="1061"/>
      <c r="D33" s="1061"/>
      <c r="E33" s="1061"/>
      <c r="F33" s="1061"/>
      <c r="G33" s="1061"/>
    </row>
    <row r="34" spans="1:7">
      <c r="A34" s="1061"/>
      <c r="B34" s="1061"/>
      <c r="C34" s="1061"/>
      <c r="D34" s="1061"/>
      <c r="E34" s="1061"/>
      <c r="F34" s="1061"/>
      <c r="G34" s="1061"/>
    </row>
    <row r="35" spans="1:7">
      <c r="A35" s="1061"/>
      <c r="B35" s="1061"/>
      <c r="C35" s="1061"/>
      <c r="D35" s="1061"/>
      <c r="E35" s="1061"/>
      <c r="F35" s="1061"/>
      <c r="G35" s="1061"/>
    </row>
    <row r="37" spans="1:7">
      <c r="A37" s="1026" t="s">
        <v>842</v>
      </c>
      <c r="B37" s="1026"/>
      <c r="C37" s="1026"/>
      <c r="D37" s="1026"/>
      <c r="E37" s="1026"/>
      <c r="F37" s="1026"/>
      <c r="G37" s="1026"/>
    </row>
    <row r="38" spans="1:7">
      <c r="A38" s="393" t="s">
        <v>744</v>
      </c>
      <c r="B38" s="263"/>
      <c r="C38" s="263"/>
      <c r="D38" s="263"/>
      <c r="E38" s="263"/>
      <c r="F38" s="263"/>
      <c r="G38" s="263"/>
    </row>
    <row r="39" spans="1:7">
      <c r="A39" s="393" t="s">
        <v>843</v>
      </c>
      <c r="B39" s="263"/>
      <c r="C39" s="263"/>
      <c r="D39" s="263"/>
      <c r="E39" s="263"/>
      <c r="F39" s="263"/>
      <c r="G39" s="263"/>
    </row>
    <row r="40" spans="1:7">
      <c r="A40" s="393" t="s">
        <v>745</v>
      </c>
      <c r="B40" s="263"/>
      <c r="C40" s="263"/>
      <c r="D40" s="263"/>
      <c r="E40" s="263"/>
      <c r="F40" s="263"/>
      <c r="G40" s="263"/>
    </row>
  </sheetData>
  <mergeCells count="7">
    <mergeCell ref="A23:G30"/>
    <mergeCell ref="A31:G35"/>
    <mergeCell ref="A37:G37"/>
    <mergeCell ref="A2:C3"/>
    <mergeCell ref="A6:G8"/>
    <mergeCell ref="A16:G17"/>
    <mergeCell ref="A19:G22"/>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rgb="FFFF0000"/>
  </sheetPr>
  <dimension ref="A1:Z58"/>
  <sheetViews>
    <sheetView showGridLines="0" view="pageLayout" zoomScale="90" zoomScaleNormal="100" zoomScalePageLayoutView="90" workbookViewId="0">
      <selection activeCell="F26" sqref="F26:I26"/>
    </sheetView>
  </sheetViews>
  <sheetFormatPr baseColWidth="10" defaultColWidth="9.1640625" defaultRowHeight="15"/>
  <cols>
    <col min="1" max="1" width="9.33203125" customWidth="1"/>
    <col min="2" max="2" width="7.6640625" customWidth="1"/>
    <col min="3" max="3" width="12.5" customWidth="1"/>
    <col min="4" max="4" width="6.1640625" customWidth="1"/>
    <col min="5" max="5" width="12.5" customWidth="1"/>
    <col min="6" max="6" width="7.33203125" customWidth="1"/>
    <col min="7" max="7" width="11.5" customWidth="1"/>
    <col min="8" max="8" width="7.6640625" customWidth="1"/>
    <col min="9" max="9" width="12.5" customWidth="1"/>
    <col min="10" max="10" width="8.83203125" customWidth="1"/>
    <col min="11" max="15" width="9.1640625" hidden="1" customWidth="1"/>
    <col min="16" max="16" width="7.5" hidden="1" customWidth="1"/>
    <col min="17" max="22" width="9.1640625" hidden="1" customWidth="1"/>
    <col min="23" max="23" width="6.83203125" hidden="1" customWidth="1"/>
    <col min="24" max="26" width="9.1640625" hidden="1" customWidth="1"/>
  </cols>
  <sheetData>
    <row r="1" spans="1:26" ht="24.75" customHeight="1"/>
    <row r="2" spans="1:26" s="1" customFormat="1" ht="12">
      <c r="A2" s="1075" t="s">
        <v>6</v>
      </c>
      <c r="B2" s="1075"/>
      <c r="C2" s="1075"/>
      <c r="D2" s="3"/>
      <c r="E2" s="3"/>
      <c r="F2" s="3"/>
      <c r="G2" s="3"/>
      <c r="H2" s="3"/>
      <c r="I2" s="3"/>
    </row>
    <row r="3" spans="1:26" s="1" customFormat="1" ht="10.5" customHeight="1">
      <c r="A3" s="1075"/>
      <c r="B3" s="1075"/>
      <c r="C3" s="1075"/>
      <c r="D3" s="3"/>
      <c r="E3" s="3"/>
      <c r="F3" s="3"/>
      <c r="G3" s="3"/>
      <c r="H3" s="3"/>
      <c r="I3" s="3"/>
    </row>
    <row r="4" spans="1:26" s="1" customFormat="1" ht="16.5" customHeight="1">
      <c r="A4" s="443" t="s">
        <v>7</v>
      </c>
      <c r="F4" s="1" t="s">
        <v>465</v>
      </c>
    </row>
    <row r="5" spans="1:26" s="1" customFormat="1" ht="1.5" customHeight="1"/>
    <row r="6" spans="1:26" s="1" customFormat="1" ht="15" customHeight="1">
      <c r="A6" s="1084" t="s">
        <v>801</v>
      </c>
      <c r="B6" s="1084"/>
      <c r="C6" s="1084"/>
      <c r="D6" s="1084"/>
      <c r="E6" s="1084"/>
      <c r="F6" s="1084"/>
      <c r="G6" s="1084"/>
      <c r="H6" s="1084"/>
      <c r="I6" s="1084"/>
      <c r="J6" s="1084"/>
    </row>
    <row r="7" spans="1:26" s="1" customFormat="1" ht="15" customHeight="1">
      <c r="A7" s="1084"/>
      <c r="B7" s="1084"/>
      <c r="C7" s="1084"/>
      <c r="D7" s="1084"/>
      <c r="E7" s="1084"/>
      <c r="F7" s="1084"/>
      <c r="G7" s="1084"/>
      <c r="H7" s="1084"/>
      <c r="I7" s="1084"/>
      <c r="J7" s="1084"/>
    </row>
    <row r="8" spans="1:26" s="1" customFormat="1" ht="4.5" customHeight="1"/>
    <row r="9" spans="1:26" s="1" customFormat="1" ht="14.25" customHeight="1">
      <c r="A9" s="1082" t="s">
        <v>73</v>
      </c>
      <c r="B9" s="1079" t="s">
        <v>31</v>
      </c>
      <c r="C9" s="1080"/>
      <c r="D9" s="1080"/>
      <c r="E9" s="1081"/>
      <c r="F9" s="1101" t="s">
        <v>74</v>
      </c>
      <c r="G9" s="1102"/>
      <c r="H9" s="1102"/>
      <c r="I9" s="1103"/>
      <c r="J9" s="1107" t="s">
        <v>75</v>
      </c>
      <c r="Q9" s="1104" t="s">
        <v>31</v>
      </c>
      <c r="R9" s="1104"/>
      <c r="T9" s="1104" t="s">
        <v>657</v>
      </c>
      <c r="U9" s="1104"/>
    </row>
    <row r="10" spans="1:26" ht="14.25" customHeight="1">
      <c r="A10" s="1078"/>
      <c r="B10" s="1076" t="s">
        <v>462</v>
      </c>
      <c r="C10" s="1077"/>
      <c r="D10" s="1076" t="s">
        <v>466</v>
      </c>
      <c r="E10" s="1078"/>
      <c r="F10" s="1076" t="s">
        <v>462</v>
      </c>
      <c r="G10" s="1078"/>
      <c r="H10" s="1076" t="s">
        <v>466</v>
      </c>
      <c r="I10" s="1078"/>
      <c r="J10" s="1043"/>
      <c r="K10" s="149" t="s">
        <v>450</v>
      </c>
      <c r="L10" s="149" t="s">
        <v>31</v>
      </c>
      <c r="M10" s="149" t="s">
        <v>74</v>
      </c>
      <c r="N10" s="149" t="s">
        <v>77</v>
      </c>
      <c r="O10" s="149" t="s">
        <v>77</v>
      </c>
      <c r="Q10" s="265" t="s">
        <v>658</v>
      </c>
      <c r="R10" s="265" t="s">
        <v>466</v>
      </c>
      <c r="S10" s="208"/>
      <c r="T10" s="265" t="s">
        <v>658</v>
      </c>
      <c r="U10" s="265" t="s">
        <v>466</v>
      </c>
      <c r="V10" s="208"/>
      <c r="W10" s="208"/>
      <c r="X10" s="208"/>
      <c r="Y10" s="1105" t="s">
        <v>37</v>
      </c>
      <c r="Z10" s="1105"/>
    </row>
    <row r="11" spans="1:26" s="214" customFormat="1" ht="14.25" customHeight="1">
      <c r="A11" s="1083"/>
      <c r="B11" s="446" t="s">
        <v>76</v>
      </c>
      <c r="C11" s="446" t="s">
        <v>77</v>
      </c>
      <c r="D11" s="446" t="s">
        <v>76</v>
      </c>
      <c r="E11" s="447" t="s">
        <v>77</v>
      </c>
      <c r="F11" s="447" t="s">
        <v>76</v>
      </c>
      <c r="G11" s="447" t="s">
        <v>77</v>
      </c>
      <c r="H11" s="446" t="s">
        <v>76</v>
      </c>
      <c r="I11" s="446" t="s">
        <v>77</v>
      </c>
      <c r="J11" s="1043"/>
      <c r="K11" s="149"/>
      <c r="L11" s="149"/>
      <c r="M11" s="149"/>
      <c r="N11" s="149" t="s">
        <v>31</v>
      </c>
      <c r="O11" s="149" t="s">
        <v>74</v>
      </c>
      <c r="Q11" s="266"/>
      <c r="R11" s="267"/>
      <c r="S11" s="268"/>
      <c r="T11" s="266"/>
      <c r="U11" s="267"/>
      <c r="V11" s="268"/>
      <c r="W11" s="268"/>
      <c r="X11" s="269"/>
      <c r="Y11" s="269" t="s">
        <v>462</v>
      </c>
      <c r="Z11" s="269" t="s">
        <v>466</v>
      </c>
    </row>
    <row r="12" spans="1:26" ht="13.5" customHeight="1">
      <c r="A12" s="479" t="s">
        <v>79</v>
      </c>
      <c r="B12" s="438">
        <v>0</v>
      </c>
      <c r="C12" s="385">
        <v>0</v>
      </c>
      <c r="D12" s="438">
        <v>0</v>
      </c>
      <c r="E12" s="385">
        <v>0</v>
      </c>
      <c r="F12" s="438">
        <v>0</v>
      </c>
      <c r="G12" s="385">
        <v>0</v>
      </c>
      <c r="H12" s="438">
        <v>0</v>
      </c>
      <c r="I12" s="385">
        <v>0</v>
      </c>
      <c r="J12" s="817" t="str">
        <f t="shared" ref="J12:J23" si="0">IFERROR((C12+E12)/(I12+G12)-1,"n/a")</f>
        <v>n/a</v>
      </c>
      <c r="K12">
        <v>22.5</v>
      </c>
      <c r="L12">
        <f t="shared" ref="L12:L22" si="1">ROUND((C12+E12)*K12,2)</f>
        <v>0</v>
      </c>
      <c r="M12">
        <f t="shared" ref="M12:M22" si="2">ROUND((G12+I12)*K12,2)</f>
        <v>0</v>
      </c>
      <c r="N12" s="160">
        <f>C12+E12</f>
        <v>0</v>
      </c>
      <c r="O12" s="160">
        <f>G12+I12</f>
        <v>0</v>
      </c>
      <c r="Q12" s="270">
        <f>C12*Y12/1000</f>
        <v>0</v>
      </c>
      <c r="R12" s="271">
        <f t="shared" ref="R12:R22" si="3">E12*Z12/1000</f>
        <v>0</v>
      </c>
      <c r="S12" s="208"/>
      <c r="T12" s="270">
        <f t="shared" ref="T12:T22" si="4">G12*Y12/1000</f>
        <v>0</v>
      </c>
      <c r="U12" s="271">
        <f t="shared" ref="U12:U22" si="5">I12*Z12/1000</f>
        <v>0</v>
      </c>
      <c r="V12" s="208"/>
      <c r="W12" s="208"/>
      <c r="X12" s="269" t="s">
        <v>659</v>
      </c>
      <c r="Y12" s="269">
        <v>0.10199999999999999</v>
      </c>
      <c r="Z12" s="269">
        <v>3.4000000000000002E-2</v>
      </c>
    </row>
    <row r="13" spans="1:26" ht="13.5" customHeight="1">
      <c r="A13" s="479" t="s">
        <v>80</v>
      </c>
      <c r="B13" s="438">
        <v>0</v>
      </c>
      <c r="C13" s="385">
        <v>0</v>
      </c>
      <c r="D13" s="438">
        <v>0</v>
      </c>
      <c r="E13" s="385">
        <v>0</v>
      </c>
      <c r="F13" s="438">
        <v>0</v>
      </c>
      <c r="G13" s="385">
        <v>0</v>
      </c>
      <c r="H13" s="438">
        <v>0</v>
      </c>
      <c r="I13" s="385">
        <v>0</v>
      </c>
      <c r="J13" s="817" t="str">
        <f t="shared" si="0"/>
        <v>n/a</v>
      </c>
      <c r="K13">
        <v>27</v>
      </c>
      <c r="L13">
        <f t="shared" si="1"/>
        <v>0</v>
      </c>
      <c r="M13">
        <f t="shared" si="2"/>
        <v>0</v>
      </c>
      <c r="N13" s="160">
        <f t="shared" ref="N13:N22" si="6">C13+E13</f>
        <v>0</v>
      </c>
      <c r="O13" s="160">
        <f t="shared" ref="O13:O22" si="7">G13+I13</f>
        <v>0</v>
      </c>
      <c r="Q13" s="270">
        <f t="shared" ref="Q13:Q22" si="8">C13*Y13/1000</f>
        <v>0</v>
      </c>
      <c r="R13" s="271">
        <f t="shared" si="3"/>
        <v>0</v>
      </c>
      <c r="S13" s="208"/>
      <c r="T13" s="270">
        <f t="shared" si="4"/>
        <v>0</v>
      </c>
      <c r="U13" s="271">
        <f t="shared" si="5"/>
        <v>0</v>
      </c>
      <c r="V13" s="208"/>
      <c r="W13" s="208"/>
      <c r="X13" s="269" t="s">
        <v>660</v>
      </c>
      <c r="Y13" s="269">
        <v>8.2000000000000003E-2</v>
      </c>
      <c r="Z13" s="269">
        <v>4.1000000000000002E-2</v>
      </c>
    </row>
    <row r="14" spans="1:26" ht="13.5" customHeight="1">
      <c r="A14" s="479" t="s">
        <v>81</v>
      </c>
      <c r="B14" s="438">
        <v>0</v>
      </c>
      <c r="C14" s="385">
        <v>0</v>
      </c>
      <c r="D14" s="438">
        <v>0</v>
      </c>
      <c r="E14" s="385">
        <v>0</v>
      </c>
      <c r="F14" s="438">
        <v>0</v>
      </c>
      <c r="G14" s="385">
        <v>0</v>
      </c>
      <c r="H14" s="438">
        <v>0</v>
      </c>
      <c r="I14" s="385">
        <v>0</v>
      </c>
      <c r="J14" s="817" t="str">
        <f t="shared" si="0"/>
        <v>n/a</v>
      </c>
      <c r="K14">
        <v>32</v>
      </c>
      <c r="L14">
        <f t="shared" si="1"/>
        <v>0</v>
      </c>
      <c r="M14">
        <f t="shared" si="2"/>
        <v>0</v>
      </c>
      <c r="N14" s="160">
        <f t="shared" si="6"/>
        <v>0</v>
      </c>
      <c r="O14" s="160">
        <f t="shared" si="7"/>
        <v>0</v>
      </c>
      <c r="Q14" s="270">
        <f t="shared" si="8"/>
        <v>0</v>
      </c>
      <c r="R14" s="271">
        <f t="shared" si="3"/>
        <v>0</v>
      </c>
      <c r="S14" s="208"/>
      <c r="T14" s="270">
        <f t="shared" si="4"/>
        <v>0</v>
      </c>
      <c r="U14" s="271">
        <f t="shared" si="5"/>
        <v>0</v>
      </c>
      <c r="V14" s="208"/>
      <c r="W14" s="208"/>
      <c r="X14" s="269" t="s">
        <v>661</v>
      </c>
      <c r="Y14" s="269">
        <v>8.2000000000000003E-2</v>
      </c>
      <c r="Z14" s="269">
        <v>4.1000000000000002E-2</v>
      </c>
    </row>
    <row r="15" spans="1:26" ht="13.5" customHeight="1">
      <c r="A15" s="479" t="s">
        <v>82</v>
      </c>
      <c r="B15" s="438">
        <v>0</v>
      </c>
      <c r="C15" s="385">
        <v>0</v>
      </c>
      <c r="D15" s="438">
        <v>0</v>
      </c>
      <c r="E15" s="385">
        <v>0</v>
      </c>
      <c r="F15" s="438">
        <v>0</v>
      </c>
      <c r="G15" s="385">
        <v>0</v>
      </c>
      <c r="H15" s="438">
        <v>0</v>
      </c>
      <c r="I15" s="385">
        <v>0</v>
      </c>
      <c r="J15" s="817" t="str">
        <f t="shared" si="0"/>
        <v>n/a</v>
      </c>
      <c r="K15">
        <v>37</v>
      </c>
      <c r="L15">
        <f t="shared" si="1"/>
        <v>0</v>
      </c>
      <c r="M15">
        <f t="shared" si="2"/>
        <v>0</v>
      </c>
      <c r="N15" s="160">
        <f t="shared" si="6"/>
        <v>0</v>
      </c>
      <c r="O15" s="160">
        <f t="shared" si="7"/>
        <v>0</v>
      </c>
      <c r="Q15" s="270">
        <f t="shared" si="8"/>
        <v>0</v>
      </c>
      <c r="R15" s="271">
        <f t="shared" si="3"/>
        <v>0</v>
      </c>
      <c r="S15" s="208"/>
      <c r="T15" s="270">
        <f t="shared" si="4"/>
        <v>0</v>
      </c>
      <c r="U15" s="271">
        <f t="shared" si="5"/>
        <v>0</v>
      </c>
      <c r="V15" s="208"/>
      <c r="W15" s="208"/>
      <c r="X15" s="269" t="s">
        <v>662</v>
      </c>
      <c r="Y15" s="269">
        <v>0.10299999999999999</v>
      </c>
      <c r="Z15" s="269">
        <v>6.3E-2</v>
      </c>
    </row>
    <row r="16" spans="1:26" ht="13.5" customHeight="1">
      <c r="A16" s="479" t="s">
        <v>83</v>
      </c>
      <c r="B16" s="438">
        <v>0</v>
      </c>
      <c r="C16" s="385">
        <v>0</v>
      </c>
      <c r="D16" s="438">
        <v>0</v>
      </c>
      <c r="E16" s="385">
        <v>0</v>
      </c>
      <c r="F16" s="438">
        <v>0</v>
      </c>
      <c r="G16" s="385">
        <v>0</v>
      </c>
      <c r="H16" s="438">
        <v>0</v>
      </c>
      <c r="I16" s="385">
        <v>0</v>
      </c>
      <c r="J16" s="817" t="str">
        <f t="shared" si="0"/>
        <v>n/a</v>
      </c>
      <c r="K16">
        <v>42</v>
      </c>
      <c r="L16">
        <f t="shared" si="1"/>
        <v>0</v>
      </c>
      <c r="M16">
        <f t="shared" si="2"/>
        <v>0</v>
      </c>
      <c r="N16" s="160">
        <f t="shared" si="6"/>
        <v>0</v>
      </c>
      <c r="O16" s="160">
        <f t="shared" si="7"/>
        <v>0</v>
      </c>
      <c r="Q16" s="270">
        <f t="shared" si="8"/>
        <v>0</v>
      </c>
      <c r="R16" s="271">
        <f t="shared" si="3"/>
        <v>0</v>
      </c>
      <c r="S16" s="208"/>
      <c r="T16" s="270">
        <f t="shared" si="4"/>
        <v>0</v>
      </c>
      <c r="U16" s="271">
        <f t="shared" si="5"/>
        <v>0</v>
      </c>
      <c r="V16" s="208"/>
      <c r="W16" s="208"/>
      <c r="X16" s="269" t="s">
        <v>663</v>
      </c>
      <c r="Y16" s="269">
        <v>0.17</v>
      </c>
      <c r="Z16" s="269">
        <v>0.10299999999999999</v>
      </c>
    </row>
    <row r="17" spans="1:26" ht="13.5" customHeight="1">
      <c r="A17" s="479" t="s">
        <v>84</v>
      </c>
      <c r="B17" s="438">
        <v>0</v>
      </c>
      <c r="C17" s="385">
        <v>0</v>
      </c>
      <c r="D17" s="438">
        <v>0</v>
      </c>
      <c r="E17" s="385">
        <v>0</v>
      </c>
      <c r="F17" s="438">
        <v>0</v>
      </c>
      <c r="G17" s="385">
        <v>0</v>
      </c>
      <c r="H17" s="438">
        <v>0</v>
      </c>
      <c r="I17" s="385">
        <v>0</v>
      </c>
      <c r="J17" s="817" t="str">
        <f t="shared" si="0"/>
        <v>n/a</v>
      </c>
      <c r="K17">
        <v>47</v>
      </c>
      <c r="L17">
        <f t="shared" si="1"/>
        <v>0</v>
      </c>
      <c r="M17">
        <f t="shared" si="2"/>
        <v>0</v>
      </c>
      <c r="N17" s="160">
        <f t="shared" si="6"/>
        <v>0</v>
      </c>
      <c r="O17" s="160">
        <f t="shared" si="7"/>
        <v>0</v>
      </c>
      <c r="Q17" s="270">
        <f t="shared" si="8"/>
        <v>0</v>
      </c>
      <c r="R17" s="271">
        <f t="shared" si="3"/>
        <v>0</v>
      </c>
      <c r="S17" s="208"/>
      <c r="T17" s="270">
        <f t="shared" si="4"/>
        <v>0</v>
      </c>
      <c r="U17" s="271">
        <f t="shared" si="5"/>
        <v>0</v>
      </c>
      <c r="V17" s="208"/>
      <c r="W17" s="208"/>
      <c r="X17" s="269" t="s">
        <v>664</v>
      </c>
      <c r="Y17" s="269">
        <v>0.309</v>
      </c>
      <c r="Z17" s="269">
        <v>0.17799999999999999</v>
      </c>
    </row>
    <row r="18" spans="1:26" ht="13.5" customHeight="1">
      <c r="A18" s="479" t="s">
        <v>85</v>
      </c>
      <c r="B18" s="438">
        <v>0</v>
      </c>
      <c r="C18" s="385">
        <v>0</v>
      </c>
      <c r="D18" s="438">
        <v>0</v>
      </c>
      <c r="E18" s="385">
        <v>0</v>
      </c>
      <c r="F18" s="438">
        <v>0</v>
      </c>
      <c r="G18" s="385">
        <v>0</v>
      </c>
      <c r="H18" s="438">
        <v>0</v>
      </c>
      <c r="I18" s="385">
        <v>0</v>
      </c>
      <c r="J18" s="817" t="str">
        <f t="shared" si="0"/>
        <v>n/a</v>
      </c>
      <c r="K18">
        <v>52</v>
      </c>
      <c r="L18">
        <f t="shared" si="1"/>
        <v>0</v>
      </c>
      <c r="M18">
        <f t="shared" si="2"/>
        <v>0</v>
      </c>
      <c r="N18" s="160">
        <f t="shared" si="6"/>
        <v>0</v>
      </c>
      <c r="O18" s="160">
        <f t="shared" si="7"/>
        <v>0</v>
      </c>
      <c r="Q18" s="270">
        <f t="shared" si="8"/>
        <v>0</v>
      </c>
      <c r="R18" s="271">
        <f t="shared" si="3"/>
        <v>0</v>
      </c>
      <c r="S18" s="208"/>
      <c r="T18" s="270">
        <f t="shared" si="4"/>
        <v>0</v>
      </c>
      <c r="U18" s="271">
        <f t="shared" si="5"/>
        <v>0</v>
      </c>
      <c r="V18" s="208"/>
      <c r="W18" s="208"/>
      <c r="X18" s="269" t="s">
        <v>665</v>
      </c>
      <c r="Y18" s="269">
        <v>0.54</v>
      </c>
      <c r="Z18" s="269">
        <v>0.29599999999999999</v>
      </c>
    </row>
    <row r="19" spans="1:26" ht="13.5" customHeight="1">
      <c r="A19" s="479" t="s">
        <v>86</v>
      </c>
      <c r="B19" s="438">
        <v>0</v>
      </c>
      <c r="C19" s="385">
        <v>0</v>
      </c>
      <c r="D19" s="438">
        <v>0</v>
      </c>
      <c r="E19" s="385">
        <v>0</v>
      </c>
      <c r="F19" s="438">
        <v>0</v>
      </c>
      <c r="G19" s="385">
        <v>0</v>
      </c>
      <c r="H19" s="438">
        <v>0</v>
      </c>
      <c r="I19" s="385">
        <v>0</v>
      </c>
      <c r="J19" s="817" t="str">
        <f t="shared" si="0"/>
        <v>n/a</v>
      </c>
      <c r="K19">
        <v>57</v>
      </c>
      <c r="L19">
        <f t="shared" si="1"/>
        <v>0</v>
      </c>
      <c r="M19">
        <f t="shared" si="2"/>
        <v>0</v>
      </c>
      <c r="N19" s="160">
        <f t="shared" si="6"/>
        <v>0</v>
      </c>
      <c r="O19" s="160">
        <f t="shared" si="7"/>
        <v>0</v>
      </c>
      <c r="Q19" s="270">
        <f t="shared" si="8"/>
        <v>0</v>
      </c>
      <c r="R19" s="271">
        <f t="shared" si="3"/>
        <v>0</v>
      </c>
      <c r="S19" s="208"/>
      <c r="T19" s="270">
        <f t="shared" si="4"/>
        <v>0</v>
      </c>
      <c r="U19" s="271">
        <f t="shared" si="5"/>
        <v>0</v>
      </c>
      <c r="V19" s="208"/>
      <c r="W19" s="208"/>
      <c r="X19" s="269" t="s">
        <v>666</v>
      </c>
      <c r="Y19" s="269">
        <v>0.873</v>
      </c>
      <c r="Z19" s="269">
        <v>0.46200000000000002</v>
      </c>
    </row>
    <row r="20" spans="1:26" ht="13.5" customHeight="1">
      <c r="A20" s="479" t="s">
        <v>87</v>
      </c>
      <c r="B20" s="438">
        <v>0</v>
      </c>
      <c r="C20" s="385">
        <v>0</v>
      </c>
      <c r="D20" s="438">
        <v>0</v>
      </c>
      <c r="E20" s="385">
        <v>0</v>
      </c>
      <c r="F20" s="438">
        <v>0</v>
      </c>
      <c r="G20" s="385">
        <v>0</v>
      </c>
      <c r="H20" s="438">
        <v>0</v>
      </c>
      <c r="I20" s="385">
        <v>0</v>
      </c>
      <c r="J20" s="817" t="str">
        <f t="shared" si="0"/>
        <v>n/a</v>
      </c>
      <c r="K20">
        <v>62</v>
      </c>
      <c r="L20">
        <f t="shared" si="1"/>
        <v>0</v>
      </c>
      <c r="M20">
        <f t="shared" si="2"/>
        <v>0</v>
      </c>
      <c r="N20" s="160">
        <f t="shared" si="6"/>
        <v>0</v>
      </c>
      <c r="O20" s="160">
        <f t="shared" si="7"/>
        <v>0</v>
      </c>
      <c r="Q20" s="270">
        <f t="shared" si="8"/>
        <v>0</v>
      </c>
      <c r="R20" s="271">
        <f t="shared" si="3"/>
        <v>0</v>
      </c>
      <c r="S20" s="208"/>
      <c r="T20" s="270">
        <f t="shared" si="4"/>
        <v>0</v>
      </c>
      <c r="U20" s="271">
        <f t="shared" si="5"/>
        <v>0</v>
      </c>
      <c r="V20" s="208"/>
      <c r="W20" s="208"/>
      <c r="X20" s="269" t="s">
        <v>667</v>
      </c>
      <c r="Y20" s="269">
        <v>1.2230000000000001</v>
      </c>
      <c r="Z20" s="269">
        <v>0.67</v>
      </c>
    </row>
    <row r="21" spans="1:26" ht="13.5" customHeight="1">
      <c r="A21" s="479" t="s">
        <v>406</v>
      </c>
      <c r="B21" s="438">
        <v>0</v>
      </c>
      <c r="C21" s="385">
        <v>0</v>
      </c>
      <c r="D21" s="438">
        <v>0</v>
      </c>
      <c r="E21" s="385">
        <v>0</v>
      </c>
      <c r="F21" s="438">
        <v>0</v>
      </c>
      <c r="G21" s="385">
        <v>0</v>
      </c>
      <c r="H21" s="438">
        <v>0</v>
      </c>
      <c r="I21" s="385">
        <v>0</v>
      </c>
      <c r="J21" s="817" t="str">
        <f t="shared" si="0"/>
        <v>n/a</v>
      </c>
      <c r="K21">
        <v>67</v>
      </c>
      <c r="L21">
        <f t="shared" si="1"/>
        <v>0</v>
      </c>
      <c r="M21">
        <f t="shared" si="2"/>
        <v>0</v>
      </c>
      <c r="N21" s="160">
        <f t="shared" si="6"/>
        <v>0</v>
      </c>
      <c r="O21" s="160">
        <f t="shared" si="7"/>
        <v>0</v>
      </c>
      <c r="Q21" s="270">
        <f t="shared" si="8"/>
        <v>0</v>
      </c>
      <c r="R21" s="271">
        <f t="shared" si="3"/>
        <v>0</v>
      </c>
      <c r="S21" s="208"/>
      <c r="T21" s="270">
        <f t="shared" si="4"/>
        <v>0</v>
      </c>
      <c r="U21" s="271">
        <f t="shared" si="5"/>
        <v>0</v>
      </c>
      <c r="V21" s="208"/>
      <c r="W21" s="208"/>
      <c r="X21" s="269" t="s">
        <v>668</v>
      </c>
      <c r="Y21" s="269">
        <v>1.923</v>
      </c>
      <c r="Z21" s="269">
        <v>1.1519999999999999</v>
      </c>
    </row>
    <row r="22" spans="1:26" ht="13.5" customHeight="1" thickBot="1">
      <c r="A22" s="479" t="s">
        <v>88</v>
      </c>
      <c r="B22" s="438">
        <v>0</v>
      </c>
      <c r="C22" s="385">
        <v>0</v>
      </c>
      <c r="D22" s="438">
        <v>0</v>
      </c>
      <c r="E22" s="385">
        <v>0</v>
      </c>
      <c r="F22" s="438">
        <v>0</v>
      </c>
      <c r="G22" s="385">
        <v>0</v>
      </c>
      <c r="H22" s="438">
        <v>0</v>
      </c>
      <c r="I22" s="385">
        <v>0</v>
      </c>
      <c r="J22" s="817" t="str">
        <f t="shared" si="0"/>
        <v>n/a</v>
      </c>
      <c r="K22">
        <v>72.5</v>
      </c>
      <c r="L22">
        <f t="shared" si="1"/>
        <v>0</v>
      </c>
      <c r="M22">
        <f t="shared" si="2"/>
        <v>0</v>
      </c>
      <c r="N22" s="160">
        <f t="shared" si="6"/>
        <v>0</v>
      </c>
      <c r="O22" s="160">
        <f t="shared" si="7"/>
        <v>0</v>
      </c>
      <c r="Q22" s="272">
        <f t="shared" si="8"/>
        <v>0</v>
      </c>
      <c r="R22" s="273">
        <f t="shared" si="3"/>
        <v>0</v>
      </c>
      <c r="S22" s="208"/>
      <c r="T22" s="272">
        <f t="shared" si="4"/>
        <v>0</v>
      </c>
      <c r="U22" s="273">
        <f t="shared" si="5"/>
        <v>0</v>
      </c>
      <c r="V22" s="208"/>
      <c r="W22" s="208"/>
      <c r="X22" s="269" t="s">
        <v>669</v>
      </c>
      <c r="Y22" s="269">
        <v>3.234</v>
      </c>
      <c r="Z22" s="269">
        <v>2.0169999999999999</v>
      </c>
    </row>
    <row r="23" spans="1:26" ht="14.25" customHeight="1" thickTop="1">
      <c r="A23" s="451" t="s">
        <v>66</v>
      </c>
      <c r="B23" s="815">
        <f t="shared" ref="B23:I23" si="9">SUM(B12:B22)</f>
        <v>0</v>
      </c>
      <c r="C23" s="417">
        <f t="shared" si="9"/>
        <v>0</v>
      </c>
      <c r="D23" s="815">
        <f t="shared" si="9"/>
        <v>0</v>
      </c>
      <c r="E23" s="417">
        <f t="shared" si="9"/>
        <v>0</v>
      </c>
      <c r="F23" s="815">
        <f t="shared" si="9"/>
        <v>0</v>
      </c>
      <c r="G23" s="417">
        <f t="shared" si="9"/>
        <v>0</v>
      </c>
      <c r="H23" s="815">
        <f t="shared" si="9"/>
        <v>0</v>
      </c>
      <c r="I23" s="417">
        <f t="shared" si="9"/>
        <v>0</v>
      </c>
      <c r="J23" s="418" t="str">
        <f t="shared" si="0"/>
        <v>n/a</v>
      </c>
      <c r="L23">
        <f>SUM(L12:L22)</f>
        <v>0</v>
      </c>
      <c r="M23">
        <f>SUM(M12:M22)</f>
        <v>0</v>
      </c>
      <c r="Q23" s="274">
        <f>SUM(Q12:Q22)</f>
        <v>0</v>
      </c>
      <c r="R23" s="274">
        <f>SUM(R12:R22)</f>
        <v>0</v>
      </c>
      <c r="S23" s="275">
        <f>Q23+R23</f>
        <v>0</v>
      </c>
      <c r="T23" s="274">
        <f>SUM(T12:T22)</f>
        <v>0</v>
      </c>
      <c r="U23" s="274">
        <f>SUM(U12:U22)</f>
        <v>0</v>
      </c>
      <c r="V23" s="275">
        <f>T23+U23</f>
        <v>0</v>
      </c>
      <c r="W23" s="208"/>
      <c r="X23" s="208"/>
      <c r="Y23" s="208"/>
      <c r="Z23" s="269"/>
    </row>
    <row r="24" spans="1:26" ht="14.25" customHeight="1">
      <c r="A24" s="451" t="s">
        <v>463</v>
      </c>
      <c r="B24" s="1112" t="e">
        <f>+L23/(C23+E23)</f>
        <v>#DIV/0!</v>
      </c>
      <c r="C24" s="1112"/>
      <c r="D24" s="1112"/>
      <c r="E24" s="1112"/>
      <c r="F24" s="1112" t="e">
        <f>+M23/(G23+I23)</f>
        <v>#DIV/0!</v>
      </c>
      <c r="G24" s="1112"/>
      <c r="H24" s="1112"/>
      <c r="I24" s="1112"/>
      <c r="J24" s="418" t="e">
        <f>B24/F24-1</f>
        <v>#DIV/0!</v>
      </c>
      <c r="Q24" s="276"/>
      <c r="R24" s="276"/>
      <c r="S24" s="277">
        <f>IFERROR(S23/(C23+E23),0)</f>
        <v>0</v>
      </c>
      <c r="T24" s="208"/>
      <c r="U24" s="208"/>
      <c r="V24" s="277">
        <f>IFERROR(V23/(G23+I23),0)</f>
        <v>0</v>
      </c>
      <c r="W24" s="208"/>
      <c r="X24" s="269"/>
      <c r="Y24" s="269"/>
      <c r="Z24" s="269"/>
    </row>
    <row r="25" spans="1:26" ht="14.25" customHeight="1">
      <c r="A25" s="451" t="s">
        <v>89</v>
      </c>
      <c r="B25" s="1096" t="e">
        <f>B23/(B23+D23)</f>
        <v>#DIV/0!</v>
      </c>
      <c r="C25" s="1096"/>
      <c r="D25" s="1096"/>
      <c r="E25" s="1096"/>
      <c r="F25" s="1096" t="e">
        <f>F23/(F23+H23)</f>
        <v>#DIV/0!</v>
      </c>
      <c r="G25" s="1096"/>
      <c r="H25" s="1096"/>
      <c r="I25" s="1096"/>
      <c r="J25" s="418" t="e">
        <f>B25-F25</f>
        <v>#DIV/0!</v>
      </c>
      <c r="Q25" s="208"/>
      <c r="R25" s="208"/>
      <c r="S25" s="208"/>
      <c r="T25" s="208"/>
      <c r="U25" s="208"/>
      <c r="V25" s="208"/>
      <c r="W25" s="208"/>
      <c r="X25" s="269"/>
      <c r="Y25" s="269"/>
      <c r="Z25" s="269"/>
    </row>
    <row r="26" spans="1:26" s="364" customFormat="1" ht="14.25" customHeight="1">
      <c r="A26" s="975" t="s">
        <v>211</v>
      </c>
      <c r="B26" s="1096" t="e">
        <f>1-B25</f>
        <v>#DIV/0!</v>
      </c>
      <c r="C26" s="1096"/>
      <c r="D26" s="1096"/>
      <c r="E26" s="1096"/>
      <c r="F26" s="1096" t="e">
        <f>1-F25</f>
        <v>#DIV/0!</v>
      </c>
      <c r="G26" s="1096"/>
      <c r="H26" s="1096"/>
      <c r="I26" s="1096"/>
      <c r="J26" s="418" t="e">
        <f>B26-F26</f>
        <v>#DIV/0!</v>
      </c>
      <c r="Q26" s="208"/>
      <c r="R26" s="208"/>
      <c r="S26" s="208"/>
      <c r="T26" s="208"/>
      <c r="U26" s="208"/>
      <c r="V26" s="208"/>
      <c r="W26" s="208"/>
      <c r="X26" s="269"/>
      <c r="Y26" s="269"/>
      <c r="Z26" s="269"/>
    </row>
    <row r="27" spans="1:26" ht="15" customHeight="1">
      <c r="A27" s="1097" t="s">
        <v>671</v>
      </c>
      <c r="B27" s="1098"/>
      <c r="C27" s="1098"/>
      <c r="D27" s="1098"/>
      <c r="E27" s="1099"/>
      <c r="F27" s="1096">
        <f>V28</f>
        <v>0</v>
      </c>
      <c r="G27" s="1096"/>
      <c r="H27" s="1096"/>
      <c r="I27" s="1096"/>
      <c r="J27" s="1108"/>
      <c r="K27" s="1108"/>
      <c r="L27" s="1108"/>
      <c r="M27" s="1109"/>
      <c r="Q27" s="208"/>
      <c r="R27" s="208"/>
      <c r="S27" s="208"/>
      <c r="T27" s="208"/>
      <c r="U27" s="208"/>
      <c r="V27" s="208"/>
      <c r="W27" s="208"/>
      <c r="X27" s="269" t="s">
        <v>670</v>
      </c>
      <c r="Y27" s="269"/>
      <c r="Z27" s="269"/>
    </row>
    <row r="28" spans="1:26" ht="26">
      <c r="A28" s="15"/>
      <c r="B28" s="32"/>
      <c r="C28" s="32"/>
      <c r="D28" s="154" t="s">
        <v>31</v>
      </c>
      <c r="E28" s="154" t="s">
        <v>74</v>
      </c>
      <c r="F28" s="167"/>
      <c r="G28" s="32"/>
      <c r="H28" s="32"/>
      <c r="I28" s="15"/>
      <c r="J28" s="15"/>
      <c r="Q28" s="208"/>
      <c r="R28" s="208"/>
      <c r="S28" s="1106" t="s">
        <v>671</v>
      </c>
      <c r="T28" s="1106"/>
      <c r="U28" s="1106"/>
      <c r="V28" s="278">
        <f>IFERROR(S24/V24-1,0)</f>
        <v>0</v>
      </c>
      <c r="W28" s="208"/>
      <c r="X28" s="269"/>
      <c r="Y28" s="269"/>
      <c r="Z28" s="269"/>
    </row>
    <row r="29" spans="1:26">
      <c r="A29" s="15"/>
      <c r="B29" s="32"/>
      <c r="C29" s="32"/>
      <c r="D29" s="169">
        <f t="shared" ref="D29:D39" si="10">C12+E12</f>
        <v>0</v>
      </c>
      <c r="E29" s="169">
        <f t="shared" ref="E29:E39" si="11">G12+I12</f>
        <v>0</v>
      </c>
      <c r="F29" s="167"/>
      <c r="G29" s="32"/>
      <c r="H29" s="32"/>
      <c r="I29" s="15"/>
      <c r="J29" s="15"/>
    </row>
    <row r="30" spans="1:26">
      <c r="B30" s="167"/>
      <c r="C30" s="167"/>
      <c r="D30" s="169">
        <f t="shared" si="10"/>
        <v>0</v>
      </c>
      <c r="E30" s="169">
        <f t="shared" si="11"/>
        <v>0</v>
      </c>
      <c r="F30" s="167"/>
      <c r="G30" s="32"/>
      <c r="H30" s="32"/>
      <c r="I30" s="15"/>
      <c r="J30" s="15"/>
    </row>
    <row r="31" spans="1:26">
      <c r="B31" s="167"/>
      <c r="C31" s="167"/>
      <c r="D31" s="169">
        <f t="shared" si="10"/>
        <v>0</v>
      </c>
      <c r="E31" s="169">
        <f t="shared" si="11"/>
        <v>0</v>
      </c>
      <c r="F31" s="167"/>
      <c r="G31" s="32"/>
      <c r="H31" s="32"/>
      <c r="I31" s="15"/>
      <c r="J31" s="15"/>
    </row>
    <row r="32" spans="1:26">
      <c r="B32" s="167"/>
      <c r="C32" s="167"/>
      <c r="D32" s="169">
        <f t="shared" si="10"/>
        <v>0</v>
      </c>
      <c r="E32" s="169">
        <f t="shared" si="11"/>
        <v>0</v>
      </c>
      <c r="F32" s="167"/>
      <c r="G32" s="167"/>
      <c r="H32" s="167"/>
      <c r="I32" s="167"/>
      <c r="J32" s="167"/>
    </row>
    <row r="33" spans="1:10">
      <c r="B33" s="167"/>
      <c r="C33" s="167"/>
      <c r="D33" s="169">
        <f t="shared" si="10"/>
        <v>0</v>
      </c>
      <c r="E33" s="169">
        <f t="shared" si="11"/>
        <v>0</v>
      </c>
      <c r="F33" s="167"/>
      <c r="G33" s="167"/>
      <c r="H33" s="167"/>
      <c r="I33" s="167"/>
      <c r="J33" s="167"/>
    </row>
    <row r="34" spans="1:10">
      <c r="B34" s="167"/>
      <c r="C34" s="167"/>
      <c r="D34" s="169">
        <f t="shared" si="10"/>
        <v>0</v>
      </c>
      <c r="E34" s="169">
        <f t="shared" si="11"/>
        <v>0</v>
      </c>
      <c r="F34" s="167"/>
      <c r="G34" s="167"/>
      <c r="H34" s="167"/>
      <c r="I34" s="167"/>
      <c r="J34" s="167"/>
    </row>
    <row r="35" spans="1:10" ht="15" customHeight="1">
      <c r="B35" s="167"/>
      <c r="C35" s="167"/>
      <c r="D35" s="169">
        <f t="shared" si="10"/>
        <v>0</v>
      </c>
      <c r="E35" s="169">
        <f t="shared" si="11"/>
        <v>0</v>
      </c>
      <c r="F35" s="167"/>
      <c r="G35" s="167"/>
      <c r="H35" s="167"/>
      <c r="I35" s="167"/>
      <c r="J35" s="167"/>
    </row>
    <row r="36" spans="1:10">
      <c r="B36" s="167"/>
      <c r="C36" s="167"/>
      <c r="D36" s="169">
        <f t="shared" si="10"/>
        <v>0</v>
      </c>
      <c r="E36" s="169">
        <f t="shared" si="11"/>
        <v>0</v>
      </c>
      <c r="F36" s="165"/>
      <c r="G36" s="167"/>
      <c r="H36" s="167"/>
      <c r="I36" s="167"/>
      <c r="J36" s="167"/>
    </row>
    <row r="37" spans="1:10">
      <c r="B37" s="167"/>
      <c r="C37" s="167"/>
      <c r="D37" s="169">
        <f t="shared" si="10"/>
        <v>0</v>
      </c>
      <c r="E37" s="169">
        <f t="shared" si="11"/>
        <v>0</v>
      </c>
      <c r="F37" s="161"/>
      <c r="G37" s="167"/>
      <c r="H37" s="167"/>
      <c r="I37" s="167"/>
      <c r="J37" s="167"/>
    </row>
    <row r="38" spans="1:10">
      <c r="B38" s="167"/>
      <c r="C38" s="167"/>
      <c r="D38" s="169">
        <f t="shared" si="10"/>
        <v>0</v>
      </c>
      <c r="E38" s="169">
        <f t="shared" si="11"/>
        <v>0</v>
      </c>
      <c r="F38" s="166"/>
      <c r="G38" s="167"/>
      <c r="H38" s="167"/>
      <c r="I38" s="167"/>
      <c r="J38" s="167"/>
    </row>
    <row r="39" spans="1:10" ht="15" customHeight="1">
      <c r="B39" s="1110"/>
      <c r="C39" s="1110"/>
      <c r="D39" s="169">
        <f t="shared" si="10"/>
        <v>0</v>
      </c>
      <c r="E39" s="169">
        <f t="shared" si="11"/>
        <v>0</v>
      </c>
      <c r="F39" s="166"/>
      <c r="G39" s="167"/>
      <c r="H39" s="167"/>
      <c r="I39" s="167"/>
      <c r="J39" s="167"/>
    </row>
    <row r="40" spans="1:10" ht="5.25" hidden="1" customHeight="1" thickBot="1">
      <c r="B40" s="1111"/>
      <c r="C40" s="1111"/>
      <c r="D40" s="168"/>
      <c r="E40" s="170"/>
      <c r="G40" s="167"/>
      <c r="H40" s="167"/>
      <c r="I40" s="167"/>
      <c r="J40" s="167"/>
    </row>
    <row r="41" spans="1:10" ht="15.75" customHeight="1">
      <c r="A41" s="1100" t="s">
        <v>90</v>
      </c>
      <c r="B41" s="1100"/>
    </row>
    <row r="42" spans="1:10" ht="17.25" customHeight="1">
      <c r="A42" s="1064" t="s">
        <v>91</v>
      </c>
      <c r="B42" s="1065"/>
      <c r="C42" s="1066" t="s">
        <v>92</v>
      </c>
      <c r="D42" s="1067"/>
      <c r="E42" s="1066" t="s">
        <v>93</v>
      </c>
      <c r="F42" s="1067"/>
      <c r="G42" s="1066" t="s">
        <v>94</v>
      </c>
      <c r="H42" s="1067"/>
      <c r="I42" s="1071" t="s">
        <v>309</v>
      </c>
      <c r="J42" s="1072"/>
    </row>
    <row r="43" spans="1:10" ht="14.25" customHeight="1">
      <c r="A43" s="1091"/>
      <c r="B43" s="1091"/>
      <c r="C43" s="1092"/>
      <c r="D43" s="1092"/>
      <c r="E43" s="1073"/>
      <c r="F43" s="1073"/>
      <c r="G43" s="1087"/>
      <c r="H43" s="1087"/>
      <c r="I43" s="1087"/>
      <c r="J43" s="1087"/>
    </row>
    <row r="44" spans="1:10" ht="14.25" hidden="1" customHeight="1" thickBot="1">
      <c r="A44" s="1068"/>
      <c r="B44" s="1068"/>
      <c r="C44" s="1069"/>
      <c r="D44" s="1069"/>
      <c r="E44" s="1074"/>
      <c r="F44" s="1074"/>
      <c r="G44" s="1070"/>
      <c r="H44" s="1070"/>
      <c r="I44" s="1070"/>
      <c r="J44" s="1070"/>
    </row>
    <row r="45" spans="1:10" ht="14.25" hidden="1" customHeight="1" thickBot="1">
      <c r="A45" s="1068"/>
      <c r="B45" s="1068"/>
      <c r="C45" s="1069"/>
      <c r="D45" s="1069"/>
      <c r="E45" s="1074"/>
      <c r="F45" s="1074"/>
      <c r="G45" s="1070" t="s">
        <v>464</v>
      </c>
      <c r="H45" s="1070"/>
      <c r="I45" s="1070"/>
      <c r="J45" s="1070"/>
    </row>
    <row r="46" spans="1:10" ht="14.25" customHeight="1">
      <c r="A46" s="1090" t="s">
        <v>66</v>
      </c>
      <c r="B46" s="1090"/>
      <c r="C46" s="1090"/>
      <c r="D46" s="1090"/>
      <c r="E46" s="1090"/>
      <c r="F46" s="1090"/>
      <c r="G46" s="1086">
        <f>SUM(G43:H45)</f>
        <v>0</v>
      </c>
      <c r="H46" s="1086"/>
      <c r="I46" s="1086">
        <f>SUM(I43:J45)</f>
        <v>0</v>
      </c>
      <c r="J46" s="1086"/>
    </row>
    <row r="47" spans="1:10" ht="15" customHeight="1">
      <c r="A47" s="47" t="s">
        <v>468</v>
      </c>
    </row>
    <row r="48" spans="1:10" ht="10" customHeight="1">
      <c r="A48" s="47"/>
    </row>
    <row r="49" spans="1:10" s="223" customFormat="1" ht="15" customHeight="1">
      <c r="E49" s="1095" t="s">
        <v>97</v>
      </c>
      <c r="F49" s="1089"/>
      <c r="G49" s="1089" t="s">
        <v>98</v>
      </c>
      <c r="H49" s="1071"/>
      <c r="I49" s="224"/>
      <c r="J49" s="224"/>
    </row>
    <row r="50" spans="1:10" s="223" customFormat="1" ht="15" customHeight="1">
      <c r="A50" s="220"/>
      <c r="E50" s="1095"/>
      <c r="F50" s="1089"/>
      <c r="G50" s="1089"/>
      <c r="H50" s="1071"/>
      <c r="I50" s="224"/>
      <c r="J50" s="224"/>
    </row>
    <row r="51" spans="1:10" ht="14.25" customHeight="1">
      <c r="C51" s="1094" t="s">
        <v>78</v>
      </c>
      <c r="D51" s="1094"/>
      <c r="E51" s="1085">
        <f>IF('Renewal Rates '!G12&gt;0, "+"&amp;TEXT('Renewal Rates '!$G12, "0.0%"), 'Renewal Rates '!G12)</f>
        <v>0</v>
      </c>
      <c r="F51" s="1085"/>
      <c r="G51" s="1085">
        <f>IF('Renewal Rates '!J12&gt;0, "+"&amp;TEXT('Renewal Rates '!$J12, "0.0%"), 'Renewal Rates '!J12)</f>
        <v>0</v>
      </c>
      <c r="H51" s="1085"/>
      <c r="I51" s="5"/>
      <c r="J51" s="5"/>
    </row>
    <row r="52" spans="1:10" ht="14.25" customHeight="1">
      <c r="C52" s="1093" t="s">
        <v>335</v>
      </c>
      <c r="D52" s="1093"/>
      <c r="E52" s="1088">
        <f>('Executive Summary'!D10-'Executive Summary'!C10)*12</f>
        <v>0</v>
      </c>
      <c r="F52" s="1088"/>
      <c r="G52" s="1088">
        <f>('Executive Summary'!F10-'Executive Summary'!C10)*12</f>
        <v>0</v>
      </c>
      <c r="H52" s="1088"/>
      <c r="I52" s="5"/>
      <c r="J52" s="5"/>
    </row>
    <row r="53" spans="1:10">
      <c r="G53" s="171"/>
      <c r="H53" s="171"/>
      <c r="I53" s="5"/>
      <c r="J53" s="5"/>
    </row>
    <row r="54" spans="1:10" hidden="1">
      <c r="A54" s="11"/>
    </row>
    <row r="57" spans="1:10">
      <c r="A57" s="11"/>
    </row>
    <row r="58" spans="1:10">
      <c r="A58" s="11"/>
    </row>
  </sheetData>
  <mergeCells count="57">
    <mergeCell ref="Q9:R9"/>
    <mergeCell ref="T9:U9"/>
    <mergeCell ref="Y10:Z10"/>
    <mergeCell ref="S28:U28"/>
    <mergeCell ref="E42:F42"/>
    <mergeCell ref="J9:J11"/>
    <mergeCell ref="F27:I27"/>
    <mergeCell ref="F10:G10"/>
    <mergeCell ref="H10:I10"/>
    <mergeCell ref="J27:M27"/>
    <mergeCell ref="B26:E26"/>
    <mergeCell ref="F26:I26"/>
    <mergeCell ref="B39:C39"/>
    <mergeCell ref="B40:C40"/>
    <mergeCell ref="F24:I24"/>
    <mergeCell ref="B24:E24"/>
    <mergeCell ref="B25:E25"/>
    <mergeCell ref="F25:I25"/>
    <mergeCell ref="A27:E27"/>
    <mergeCell ref="A41:B41"/>
    <mergeCell ref="F9:I9"/>
    <mergeCell ref="A46:F46"/>
    <mergeCell ref="A43:B43"/>
    <mergeCell ref="E45:F45"/>
    <mergeCell ref="C43:D43"/>
    <mergeCell ref="C52:D52"/>
    <mergeCell ref="E51:F51"/>
    <mergeCell ref="E52:F52"/>
    <mergeCell ref="A44:B44"/>
    <mergeCell ref="C44:D44"/>
    <mergeCell ref="C51:D51"/>
    <mergeCell ref="E49:F50"/>
    <mergeCell ref="G51:H51"/>
    <mergeCell ref="I46:J46"/>
    <mergeCell ref="I43:J43"/>
    <mergeCell ref="G52:H52"/>
    <mergeCell ref="G49:H50"/>
    <mergeCell ref="G45:H45"/>
    <mergeCell ref="I45:J45"/>
    <mergeCell ref="G43:H43"/>
    <mergeCell ref="G46:H46"/>
    <mergeCell ref="G44:H44"/>
    <mergeCell ref="A2:C3"/>
    <mergeCell ref="B10:C10"/>
    <mergeCell ref="D10:E10"/>
    <mergeCell ref="B9:E9"/>
    <mergeCell ref="A9:A11"/>
    <mergeCell ref="A6:J7"/>
    <mergeCell ref="A42:B42"/>
    <mergeCell ref="C42:D42"/>
    <mergeCell ref="A45:B45"/>
    <mergeCell ref="C45:D45"/>
    <mergeCell ref="I44:J44"/>
    <mergeCell ref="G42:H42"/>
    <mergeCell ref="I42:J42"/>
    <mergeCell ref="E43:F43"/>
    <mergeCell ref="E44:F44"/>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66">
    <tabColor rgb="FF7030A0"/>
  </sheetPr>
  <dimension ref="A1:E37"/>
  <sheetViews>
    <sheetView showGridLines="0" view="pageLayout" zoomScaleNormal="100" workbookViewId="0">
      <selection activeCell="E3" sqref="E3"/>
    </sheetView>
  </sheetViews>
  <sheetFormatPr baseColWidth="10" defaultColWidth="9.1640625" defaultRowHeight="15"/>
  <cols>
    <col min="1" max="1" width="27" customWidth="1"/>
    <col min="2" max="3" width="14.5" customWidth="1"/>
    <col min="4" max="4" width="15.5" customWidth="1"/>
    <col min="5" max="5" width="17.5" customWidth="1"/>
  </cols>
  <sheetData>
    <row r="1" spans="1:5" ht="23.25" customHeight="1"/>
    <row r="2" spans="1:5" s="1" customFormat="1" ht="15" customHeight="1">
      <c r="A2" s="1004" t="s">
        <v>618</v>
      </c>
      <c r="B2" s="1004"/>
      <c r="C2" s="1004"/>
      <c r="D2" s="3"/>
      <c r="E2" s="3"/>
    </row>
    <row r="3" spans="1:5" s="1" customFormat="1" ht="15" customHeight="1">
      <c r="A3" s="1004"/>
      <c r="B3" s="1004"/>
      <c r="C3" s="1004"/>
      <c r="D3" s="3"/>
      <c r="E3" s="3"/>
    </row>
    <row r="4" spans="1:5" s="1" customFormat="1" ht="15" customHeight="1"/>
    <row r="5" spans="1:5" s="1" customFormat="1" ht="15" customHeight="1">
      <c r="A5" s="224" t="s">
        <v>599</v>
      </c>
      <c r="B5" s="10"/>
      <c r="C5" s="10"/>
      <c r="D5" s="10"/>
      <c r="E5" s="10"/>
    </row>
    <row r="6" spans="1:5">
      <c r="A6" s="17"/>
      <c r="B6" s="17"/>
      <c r="C6" s="17"/>
      <c r="D6" s="17"/>
      <c r="E6" s="17"/>
    </row>
    <row r="7" spans="1:5">
      <c r="A7" s="455" t="s">
        <v>102</v>
      </c>
      <c r="B7" s="456" t="s">
        <v>60</v>
      </c>
      <c r="C7" s="453" t="s">
        <v>61</v>
      </c>
      <c r="D7" s="453" t="s">
        <v>318</v>
      </c>
      <c r="E7" s="452" t="s">
        <v>103</v>
      </c>
    </row>
    <row r="8" spans="1:5">
      <c r="A8" s="709" t="str">
        <f>EP_Current</f>
        <v>MMM DD YYY - MMM DD YYYY</v>
      </c>
      <c r="B8" s="865">
        <f>'Experience Summary'!D11</f>
        <v>0</v>
      </c>
      <c r="C8" s="865">
        <f>'Experience Summary'!E11</f>
        <v>0</v>
      </c>
      <c r="D8" s="866">
        <v>0</v>
      </c>
      <c r="E8" s="708" t="e">
        <f t="shared" ref="E8:E13" si="0">D8/B8</f>
        <v>#DIV/0!</v>
      </c>
    </row>
    <row r="9" spans="1:5" ht="15" customHeight="1">
      <c r="A9" s="709" t="str">
        <f>EP_P1</f>
        <v>MMM DD YYY - MMM DD YYYY</v>
      </c>
      <c r="B9" s="865">
        <v>0</v>
      </c>
      <c r="C9" s="865">
        <v>0</v>
      </c>
      <c r="D9" s="866">
        <v>0</v>
      </c>
      <c r="E9" s="708" t="e">
        <f t="shared" si="0"/>
        <v>#DIV/0!</v>
      </c>
    </row>
    <row r="10" spans="1:5" ht="15" customHeight="1">
      <c r="A10" s="711" t="str">
        <f>EP_P2</f>
        <v>MMM DD YYY - MMM DD YYYY</v>
      </c>
      <c r="B10" s="863">
        <v>0</v>
      </c>
      <c r="C10" s="863">
        <v>0</v>
      </c>
      <c r="D10" s="867">
        <v>0</v>
      </c>
      <c r="E10" s="449" t="e">
        <f t="shared" si="0"/>
        <v>#DIV/0!</v>
      </c>
    </row>
    <row r="11" spans="1:5" ht="15" customHeight="1">
      <c r="A11" s="711" t="str">
        <f>EP_P3</f>
        <v>MMM DD YYY - MMM DD YYYY</v>
      </c>
      <c r="B11" s="863">
        <v>0</v>
      </c>
      <c r="C11" s="863">
        <v>0</v>
      </c>
      <c r="D11" s="867">
        <v>0</v>
      </c>
      <c r="E11" s="449" t="e">
        <f t="shared" si="0"/>
        <v>#DIV/0!</v>
      </c>
    </row>
    <row r="12" spans="1:5" ht="15" customHeight="1">
      <c r="A12" s="711" t="str">
        <f>EP_P4</f>
        <v>MMM DD YYY - MMM DD YYYY</v>
      </c>
      <c r="B12" s="863">
        <v>0</v>
      </c>
      <c r="C12" s="863">
        <v>0</v>
      </c>
      <c r="D12" s="867">
        <v>0</v>
      </c>
      <c r="E12" s="449" t="e">
        <f t="shared" si="0"/>
        <v>#DIV/0!</v>
      </c>
    </row>
    <row r="13" spans="1:5" s="199" customFormat="1" ht="15" customHeight="1">
      <c r="A13" s="451" t="s">
        <v>66</v>
      </c>
      <c r="B13" s="868">
        <f>SUM(B8:B12)</f>
        <v>0</v>
      </c>
      <c r="C13" s="868">
        <f>SUM(C8:C12)</f>
        <v>0</v>
      </c>
      <c r="D13" s="868">
        <f>SUM(D8:D12)</f>
        <v>0</v>
      </c>
      <c r="E13" s="457" t="e">
        <f t="shared" si="0"/>
        <v>#DIV/0!</v>
      </c>
    </row>
    <row r="14" spans="1:5">
      <c r="A14" s="10"/>
    </row>
    <row r="15" spans="1:5">
      <c r="A15" s="5"/>
    </row>
    <row r="16" spans="1:5">
      <c r="A16" s="722" t="s">
        <v>105</v>
      </c>
      <c r="B16" s="1113">
        <v>0</v>
      </c>
      <c r="C16" s="1113"/>
      <c r="D16" s="79"/>
    </row>
    <row r="17" spans="1:5" s="233" customFormat="1" hidden="1">
      <c r="A17" s="722" t="s">
        <v>673</v>
      </c>
      <c r="B17" s="1113">
        <f>'Pooled Benefits '!V28</f>
        <v>0</v>
      </c>
      <c r="C17" s="1113"/>
      <c r="D17" s="79"/>
    </row>
    <row r="18" spans="1:5">
      <c r="A18" s="427" t="s">
        <v>332</v>
      </c>
      <c r="B18" s="1113">
        <v>0</v>
      </c>
      <c r="C18" s="1113"/>
      <c r="D18" s="79"/>
    </row>
    <row r="19" spans="1:5">
      <c r="A19" s="5"/>
    </row>
    <row r="20" spans="1:5">
      <c r="A20" s="21"/>
      <c r="B20" s="21"/>
      <c r="C20" s="18"/>
      <c r="D20" s="18"/>
      <c r="E20" s="18"/>
    </row>
    <row r="21" spans="1:5">
      <c r="C21" s="19"/>
      <c r="D21" s="19"/>
      <c r="E21" s="18"/>
    </row>
    <row r="22" spans="1:5">
      <c r="C22" s="19"/>
      <c r="D22" s="19"/>
      <c r="E22" s="18"/>
    </row>
    <row r="23" spans="1:5">
      <c r="A23" s="18"/>
      <c r="C23" s="19"/>
      <c r="D23" s="19"/>
      <c r="E23" s="18"/>
    </row>
    <row r="24" spans="1:5">
      <c r="A24" s="18"/>
      <c r="B24" s="18"/>
      <c r="C24" s="19"/>
      <c r="D24" s="19"/>
      <c r="E24" s="18"/>
    </row>
    <row r="25" spans="1:5">
      <c r="A25" s="18"/>
      <c r="B25" s="18"/>
      <c r="C25" s="19"/>
      <c r="D25" s="19"/>
      <c r="E25" s="18"/>
    </row>
    <row r="26" spans="1:5">
      <c r="A26" s="18"/>
      <c r="B26" s="18"/>
      <c r="C26" s="19"/>
      <c r="D26" s="19"/>
      <c r="E26" s="18"/>
    </row>
    <row r="27" spans="1:5">
      <c r="A27" s="18"/>
      <c r="B27" s="18"/>
      <c r="C27" s="19"/>
      <c r="D27" s="19"/>
      <c r="E27" s="18"/>
    </row>
    <row r="28" spans="1:5">
      <c r="A28" s="18"/>
      <c r="B28" s="18"/>
      <c r="C28" s="19"/>
      <c r="D28" s="19"/>
      <c r="E28" s="18"/>
    </row>
    <row r="29" spans="1:5">
      <c r="A29" s="18"/>
      <c r="B29" s="18"/>
      <c r="C29" s="19"/>
      <c r="D29" s="19"/>
      <c r="E29" s="18"/>
    </row>
    <row r="30" spans="1:5">
      <c r="A30" s="18"/>
      <c r="B30" s="18"/>
      <c r="C30" s="19"/>
      <c r="D30" s="19"/>
      <c r="E30" s="18"/>
    </row>
    <row r="31" spans="1:5">
      <c r="A31" s="18"/>
      <c r="B31" s="18"/>
      <c r="C31" s="19"/>
      <c r="D31" s="19"/>
      <c r="E31" s="18"/>
    </row>
    <row r="32" spans="1:5">
      <c r="A32" s="18"/>
      <c r="B32" s="18"/>
      <c r="C32" s="19"/>
      <c r="D32" s="19"/>
      <c r="E32" s="18"/>
    </row>
    <row r="33" spans="1:5">
      <c r="A33" s="18"/>
      <c r="B33" s="18"/>
      <c r="C33" s="19"/>
      <c r="D33" s="19"/>
      <c r="E33" s="18"/>
    </row>
    <row r="34" spans="1:5">
      <c r="A34" s="18"/>
      <c r="B34" s="18"/>
      <c r="C34" s="19"/>
      <c r="D34" s="19"/>
      <c r="E34" s="18"/>
    </row>
    <row r="35" spans="1:5">
      <c r="A35" s="18"/>
      <c r="B35" s="18"/>
      <c r="C35" s="19"/>
      <c r="D35" s="19"/>
      <c r="E35" s="18"/>
    </row>
    <row r="36" spans="1:5">
      <c r="A36" s="18"/>
      <c r="B36" s="18"/>
      <c r="C36" s="19"/>
      <c r="D36" s="19"/>
      <c r="E36" s="18"/>
    </row>
    <row r="37" spans="1:5">
      <c r="A37" s="16"/>
      <c r="B37" s="16"/>
      <c r="C37" s="16"/>
      <c r="D37" s="16"/>
      <c r="E37" s="16"/>
    </row>
  </sheetData>
  <mergeCells count="4">
    <mergeCell ref="B16:C16"/>
    <mergeCell ref="B18:C18"/>
    <mergeCell ref="A2:C3"/>
    <mergeCell ref="B17:C17"/>
  </mergeCells>
  <pageMargins left="0.40699999999999997"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tabColor rgb="FFFF0000"/>
  </sheetPr>
  <dimension ref="A1:H51"/>
  <sheetViews>
    <sheetView showGridLines="0" view="pageLayout" zoomScale="90" zoomScaleNormal="100" zoomScalePageLayoutView="90" workbookViewId="0">
      <selection activeCell="G10" sqref="G10:H10"/>
    </sheetView>
  </sheetViews>
  <sheetFormatPr baseColWidth="10" defaultColWidth="9.1640625" defaultRowHeight="15"/>
  <cols>
    <col min="1" max="1" width="17.6640625" customWidth="1"/>
    <col min="2" max="2" width="13.5" customWidth="1"/>
    <col min="3" max="3" width="14.6640625" customWidth="1"/>
    <col min="4" max="4" width="6.5" customWidth="1"/>
    <col min="5" max="5" width="3.5" customWidth="1"/>
    <col min="6" max="6" width="16.33203125" customWidth="1"/>
    <col min="7" max="7" width="7.5" customWidth="1"/>
    <col min="8" max="8" width="16.83203125" customWidth="1"/>
  </cols>
  <sheetData>
    <row r="1" spans="1:8" ht="21.75" customHeight="1"/>
    <row r="2" spans="1:8" s="1" customFormat="1" ht="15" customHeight="1">
      <c r="A2" s="1004" t="s">
        <v>8</v>
      </c>
      <c r="B2" s="1004"/>
      <c r="C2" s="1004"/>
      <c r="D2" s="1004"/>
      <c r="E2" s="1004"/>
      <c r="F2" s="1004"/>
      <c r="G2" s="1004"/>
      <c r="H2" s="1004"/>
    </row>
    <row r="3" spans="1:8" s="1" customFormat="1" ht="15" customHeight="1">
      <c r="A3" s="1004"/>
      <c r="B3" s="1004"/>
      <c r="C3" s="1004"/>
      <c r="D3" s="1004"/>
      <c r="E3" s="1004"/>
      <c r="F3" s="1004"/>
      <c r="G3" s="1004"/>
      <c r="H3" s="1004"/>
    </row>
    <row r="4" spans="1:8" s="1" customFormat="1" ht="12" customHeight="1"/>
    <row r="5" spans="1:8" s="1" customFormat="1" ht="15" customHeight="1">
      <c r="A5" s="1021" t="s">
        <v>802</v>
      </c>
      <c r="B5" s="1021"/>
      <c r="C5" s="1021"/>
      <c r="D5" s="1021"/>
      <c r="E5" s="1021"/>
      <c r="F5" s="1021"/>
      <c r="G5" s="1021"/>
      <c r="H5" s="1021"/>
    </row>
    <row r="6" spans="1:8" s="1" customFormat="1" ht="15" customHeight="1">
      <c r="A6" s="17"/>
      <c r="B6" s="17"/>
      <c r="C6" s="17"/>
      <c r="D6" s="17"/>
      <c r="E6" s="17"/>
      <c r="F6" s="17"/>
      <c r="G6" s="17"/>
      <c r="H6" s="17"/>
    </row>
    <row r="7" spans="1:8">
      <c r="A7" s="1100" t="s">
        <v>408</v>
      </c>
      <c r="B7" s="1100"/>
    </row>
    <row r="8" spans="1:8">
      <c r="A8" s="1065" t="s">
        <v>91</v>
      </c>
      <c r="B8" s="1120"/>
      <c r="C8" s="1118" t="s">
        <v>92</v>
      </c>
      <c r="D8" s="1118"/>
      <c r="E8" s="1118" t="s">
        <v>93</v>
      </c>
      <c r="F8" s="1118"/>
      <c r="G8" s="1118" t="s">
        <v>94</v>
      </c>
      <c r="H8" s="1066"/>
    </row>
    <row r="9" spans="1:8">
      <c r="A9" s="1092"/>
      <c r="B9" s="1092"/>
      <c r="C9" s="1122"/>
      <c r="D9" s="1122"/>
      <c r="E9" s="1123"/>
      <c r="F9" s="1123"/>
      <c r="G9" s="1119"/>
      <c r="H9" s="1119"/>
    </row>
    <row r="10" spans="1:8" ht="15" customHeight="1">
      <c r="A10" s="1092"/>
      <c r="B10" s="1092"/>
      <c r="C10" s="1122"/>
      <c r="D10" s="1122"/>
      <c r="E10" s="1123"/>
      <c r="F10" s="1123"/>
      <c r="G10" s="1119"/>
      <c r="H10" s="1119"/>
    </row>
    <row r="11" spans="1:8" ht="15" customHeight="1">
      <c r="A11" s="1093" t="s">
        <v>66</v>
      </c>
      <c r="B11" s="1093"/>
      <c r="C11" s="1093"/>
      <c r="D11" s="1093"/>
      <c r="E11" s="1093"/>
      <c r="F11" s="1093"/>
      <c r="G11" s="1086">
        <f>SUM(G9:H10)</f>
        <v>0</v>
      </c>
      <c r="H11" s="1086"/>
    </row>
    <row r="12" spans="1:8" ht="15" customHeight="1">
      <c r="A12" s="152"/>
      <c r="B12" s="152"/>
      <c r="C12" s="152"/>
      <c r="D12" s="152"/>
      <c r="E12" s="153"/>
      <c r="F12" s="153"/>
      <c r="G12" s="171"/>
      <c r="H12" s="171"/>
    </row>
    <row r="13" spans="1:8">
      <c r="A13" s="47" t="s">
        <v>468</v>
      </c>
      <c r="B13" s="18"/>
      <c r="C13" s="19"/>
      <c r="D13" s="19"/>
      <c r="E13" s="18"/>
      <c r="F13" s="18"/>
      <c r="G13" s="18"/>
      <c r="H13" s="18"/>
    </row>
    <row r="14" spans="1:8">
      <c r="A14" s="18"/>
      <c r="B14" s="18"/>
      <c r="C14" s="19"/>
      <c r="D14" s="19"/>
      <c r="E14" s="18"/>
      <c r="F14" s="18"/>
      <c r="G14" s="18"/>
      <c r="H14" s="18"/>
    </row>
    <row r="15" spans="1:8" s="223" customFormat="1">
      <c r="E15" s="1095" t="s">
        <v>97</v>
      </c>
      <c r="F15" s="1118"/>
      <c r="G15" s="1089" t="s">
        <v>98</v>
      </c>
      <c r="H15" s="1066"/>
    </row>
    <row r="16" spans="1:8" s="223" customFormat="1">
      <c r="E16" s="1121"/>
      <c r="F16" s="1118"/>
      <c r="G16" s="1118"/>
      <c r="H16" s="1066"/>
    </row>
    <row r="17" spans="1:8">
      <c r="C17" s="1094" t="s">
        <v>78</v>
      </c>
      <c r="D17" s="1094"/>
      <c r="E17" s="1085">
        <f>IF('Renewal Rates '!G19&gt;0, "+"&amp;TEXT('Renewal Rates '!$G19, "0.0%"), 'Renewal Rates '!G19)</f>
        <v>0</v>
      </c>
      <c r="F17" s="1085"/>
      <c r="G17" s="1085">
        <f>IF('Renewal Rates '!J19&gt;0, "+"&amp;TEXT('Renewal Rates '!$J19, "0.0%"), 'Renewal Rates '!J19)</f>
        <v>0</v>
      </c>
      <c r="H17" s="1085"/>
    </row>
    <row r="18" spans="1:8">
      <c r="C18" s="1093" t="s">
        <v>96</v>
      </c>
      <c r="D18" s="1093"/>
      <c r="E18" s="1088">
        <f>('Executive Summary'!D11-'Executive Summary'!C11)*12</f>
        <v>0</v>
      </c>
      <c r="F18" s="1088"/>
      <c r="G18" s="1088">
        <f>('Executive Summary'!F11-'Executive Summary'!C11)*12</f>
        <v>0</v>
      </c>
      <c r="H18" s="1088"/>
    </row>
    <row r="19" spans="1:8">
      <c r="C19" s="19"/>
      <c r="D19" s="19"/>
      <c r="E19" s="18"/>
      <c r="F19" s="18"/>
      <c r="G19" s="18"/>
      <c r="H19" s="18"/>
    </row>
    <row r="20" spans="1:8">
      <c r="A20" s="18"/>
      <c r="B20" s="18"/>
      <c r="C20" s="19"/>
      <c r="D20" s="19"/>
      <c r="E20" s="18"/>
      <c r="F20" s="18"/>
      <c r="G20" s="18"/>
      <c r="H20" s="18"/>
    </row>
    <row r="21" spans="1:8">
      <c r="A21" s="1004" t="s">
        <v>9</v>
      </c>
      <c r="B21" s="1004"/>
      <c r="C21" s="1004"/>
      <c r="D21" s="1004"/>
      <c r="E21" s="1004"/>
      <c r="F21" s="1004"/>
      <c r="G21" s="1004"/>
      <c r="H21" s="1004"/>
    </row>
    <row r="22" spans="1:8">
      <c r="A22" s="1004"/>
      <c r="B22" s="1004"/>
      <c r="C22" s="1004"/>
      <c r="D22" s="1004"/>
      <c r="E22" s="1004"/>
      <c r="F22" s="1004"/>
      <c r="G22" s="1004"/>
      <c r="H22" s="1004"/>
    </row>
    <row r="23" spans="1:8">
      <c r="A23" s="1021" t="s">
        <v>802</v>
      </c>
      <c r="B23" s="1021"/>
      <c r="C23" s="1115"/>
      <c r="D23" s="1021"/>
      <c r="E23" s="1021"/>
      <c r="F23" s="1021"/>
      <c r="G23" s="1021"/>
      <c r="H23" s="1021"/>
    </row>
    <row r="24" spans="1:8">
      <c r="A24" s="17"/>
      <c r="B24" s="17"/>
      <c r="C24" s="17"/>
      <c r="D24" s="17"/>
      <c r="E24" s="17"/>
      <c r="F24" s="17"/>
      <c r="G24" s="17"/>
      <c r="H24" s="17"/>
    </row>
    <row r="25" spans="1:8">
      <c r="A25" s="1116" t="s">
        <v>99</v>
      </c>
      <c r="B25" s="1117"/>
    </row>
    <row r="26" spans="1:8">
      <c r="A26" s="1065" t="s">
        <v>91</v>
      </c>
      <c r="B26" s="1120"/>
      <c r="C26" s="1118" t="s">
        <v>92</v>
      </c>
      <c r="D26" s="1118"/>
      <c r="E26" s="1118" t="s">
        <v>93</v>
      </c>
      <c r="F26" s="1118"/>
      <c r="G26" s="1118" t="s">
        <v>94</v>
      </c>
      <c r="H26" s="1066"/>
    </row>
    <row r="27" spans="1:8">
      <c r="A27" s="1092"/>
      <c r="B27" s="1092"/>
      <c r="C27" s="1092"/>
      <c r="D27" s="1092"/>
      <c r="E27" s="1073"/>
      <c r="F27" s="1073"/>
      <c r="G27" s="1087"/>
      <c r="H27" s="1087"/>
    </row>
    <row r="28" spans="1:8">
      <c r="A28" s="1092"/>
      <c r="B28" s="1092"/>
      <c r="C28" s="1092"/>
      <c r="D28" s="1092"/>
      <c r="E28" s="1073"/>
      <c r="F28" s="1073"/>
      <c r="G28" s="1087"/>
      <c r="H28" s="1087"/>
    </row>
    <row r="29" spans="1:8">
      <c r="A29" s="1093" t="s">
        <v>66</v>
      </c>
      <c r="B29" s="1093"/>
      <c r="C29" s="1093"/>
      <c r="D29" s="1093"/>
      <c r="E29" s="1093"/>
      <c r="F29" s="1093"/>
      <c r="G29" s="1086">
        <f>SUM(G27:H28)</f>
        <v>0</v>
      </c>
      <c r="H29" s="1086"/>
    </row>
    <row r="30" spans="1:8">
      <c r="A30" s="152"/>
      <c r="B30" s="152"/>
      <c r="C30" s="152"/>
      <c r="D30" s="152"/>
      <c r="E30" s="153"/>
      <c r="F30" s="153"/>
      <c r="G30" s="171"/>
      <c r="H30" s="171"/>
    </row>
    <row r="31" spans="1:8">
      <c r="A31" s="47" t="s">
        <v>468</v>
      </c>
      <c r="B31" s="18"/>
      <c r="C31" s="19"/>
      <c r="D31" s="19"/>
      <c r="E31" s="18"/>
      <c r="F31" s="18"/>
      <c r="G31" s="18"/>
      <c r="H31" s="18"/>
    </row>
    <row r="32" spans="1:8">
      <c r="A32" s="18"/>
      <c r="B32" s="18"/>
      <c r="C32" s="19"/>
      <c r="D32" s="19"/>
      <c r="E32" s="18"/>
      <c r="F32" s="18"/>
      <c r="G32" s="18"/>
      <c r="H32" s="18"/>
    </row>
    <row r="33" spans="1:8">
      <c r="E33" s="1095" t="s">
        <v>97</v>
      </c>
      <c r="F33" s="1089"/>
      <c r="G33" s="1089" t="s">
        <v>98</v>
      </c>
      <c r="H33" s="1071"/>
    </row>
    <row r="34" spans="1:8">
      <c r="E34" s="1095"/>
      <c r="F34" s="1089"/>
      <c r="G34" s="1089"/>
      <c r="H34" s="1071"/>
    </row>
    <row r="35" spans="1:8">
      <c r="C35" s="1094" t="s">
        <v>78</v>
      </c>
      <c r="D35" s="1094"/>
      <c r="E35" s="1114">
        <f>IF('Renewal Rates '!G26&gt;0, "+"&amp;TEXT('Renewal Rates '!$G26, "0.0%"), 'Renewal Rates '!G26)</f>
        <v>0</v>
      </c>
      <c r="F35" s="1114"/>
      <c r="G35" s="1114">
        <f>IF('Renewal Rates '!J26&gt;0, "+"&amp;TEXT('Renewal Rates '!$J26, "0.0%"), 'Renewal Rates '!J26)</f>
        <v>0</v>
      </c>
      <c r="H35" s="1114"/>
    </row>
    <row r="36" spans="1:8">
      <c r="C36" s="1093" t="s">
        <v>96</v>
      </c>
      <c r="D36" s="1093"/>
      <c r="E36" s="1088">
        <f>('Executive Summary'!D12-'Executive Summary'!C12)*12</f>
        <v>0</v>
      </c>
      <c r="F36" s="1088"/>
      <c r="G36" s="1088">
        <f>('Executive Summary'!F12-'Executive Summary'!C12)*12</f>
        <v>0</v>
      </c>
      <c r="H36" s="1088"/>
    </row>
    <row r="37" spans="1:8">
      <c r="C37" s="19"/>
      <c r="D37" s="19"/>
      <c r="E37" s="18"/>
      <c r="F37" s="18"/>
      <c r="G37" s="18"/>
      <c r="H37" s="18"/>
    </row>
    <row r="38" spans="1:8">
      <c r="A38" s="18"/>
      <c r="B38" s="18"/>
      <c r="C38" s="19"/>
      <c r="D38" s="19"/>
      <c r="E38" s="18"/>
      <c r="F38" s="18"/>
      <c r="G38" s="18"/>
      <c r="H38" s="18"/>
    </row>
    <row r="39" spans="1:8">
      <c r="A39" s="18"/>
      <c r="B39" s="18"/>
      <c r="C39" s="19"/>
      <c r="D39" s="19"/>
      <c r="E39" s="18"/>
      <c r="F39" s="18"/>
      <c r="G39" s="18"/>
      <c r="H39" s="18"/>
    </row>
    <row r="40" spans="1:8">
      <c r="A40" s="18"/>
      <c r="B40" s="18"/>
      <c r="C40" s="19"/>
      <c r="D40" s="19"/>
      <c r="E40" s="18"/>
      <c r="F40" s="18"/>
      <c r="G40" s="18"/>
      <c r="H40" s="18"/>
    </row>
    <row r="41" spans="1:8">
      <c r="A41" s="18"/>
      <c r="B41" s="18"/>
      <c r="C41" s="19"/>
      <c r="D41" s="19"/>
      <c r="E41" s="18"/>
      <c r="F41" s="18"/>
      <c r="G41" s="18"/>
      <c r="H41" s="18"/>
    </row>
    <row r="42" spans="1:8">
      <c r="A42" s="18"/>
      <c r="B42" s="18"/>
      <c r="C42" s="19"/>
      <c r="D42" s="19"/>
      <c r="E42" s="18"/>
      <c r="F42" s="18"/>
      <c r="G42" s="18"/>
      <c r="H42" s="18"/>
    </row>
    <row r="43" spans="1:8">
      <c r="A43" s="18"/>
      <c r="B43" s="18"/>
      <c r="C43" s="19"/>
      <c r="D43" s="19"/>
      <c r="E43" s="18"/>
      <c r="F43" s="18"/>
      <c r="G43" s="18"/>
      <c r="H43" s="18"/>
    </row>
    <row r="44" spans="1:8">
      <c r="A44" s="18"/>
      <c r="B44" s="18"/>
      <c r="C44" s="19"/>
      <c r="D44" s="19"/>
      <c r="E44" s="18"/>
      <c r="F44" s="18"/>
      <c r="G44" s="18"/>
      <c r="H44" s="18"/>
    </row>
    <row r="45" spans="1:8">
      <c r="A45" s="18"/>
      <c r="B45" s="18"/>
      <c r="F45" s="18"/>
      <c r="G45" s="18"/>
      <c r="H45" s="18"/>
    </row>
    <row r="46" spans="1:8">
      <c r="A46" s="18"/>
      <c r="B46" s="18"/>
      <c r="F46" s="18"/>
      <c r="G46" s="18"/>
      <c r="H46" s="18"/>
    </row>
    <row r="47" spans="1:8">
      <c r="A47" s="18"/>
      <c r="B47" s="18"/>
      <c r="C47" s="19"/>
      <c r="D47" s="19"/>
      <c r="E47" s="18"/>
      <c r="F47" s="18"/>
      <c r="G47" s="18"/>
      <c r="H47" s="18"/>
    </row>
    <row r="48" spans="1:8">
      <c r="A48" s="18"/>
      <c r="B48" s="18"/>
      <c r="C48" s="19"/>
      <c r="D48" s="19"/>
      <c r="E48" s="18"/>
      <c r="F48" s="18"/>
      <c r="G48" s="18"/>
      <c r="H48" s="18"/>
    </row>
    <row r="49" spans="1:8">
      <c r="A49" s="18"/>
      <c r="B49" s="18"/>
      <c r="C49" s="19"/>
      <c r="D49" s="19"/>
      <c r="E49" s="18"/>
      <c r="F49" s="18"/>
      <c r="G49" s="18"/>
      <c r="H49" s="18"/>
    </row>
    <row r="50" spans="1:8">
      <c r="A50" s="18"/>
      <c r="B50" s="18"/>
      <c r="C50" s="19"/>
      <c r="D50" s="19"/>
      <c r="E50" s="18"/>
      <c r="F50" s="18"/>
      <c r="G50" s="18"/>
      <c r="H50" s="18"/>
    </row>
    <row r="51" spans="1:8">
      <c r="A51" s="16"/>
      <c r="B51" s="16"/>
      <c r="C51" s="16"/>
      <c r="D51" s="16"/>
      <c r="E51" s="16"/>
      <c r="F51" s="16"/>
      <c r="G51" s="16"/>
      <c r="H51" s="16"/>
    </row>
  </sheetData>
  <mergeCells count="50">
    <mergeCell ref="A10:B10"/>
    <mergeCell ref="C10:D10"/>
    <mergeCell ref="E10:F10"/>
    <mergeCell ref="C8:D8"/>
    <mergeCell ref="E8:F8"/>
    <mergeCell ref="G8:H8"/>
    <mergeCell ref="A9:B9"/>
    <mergeCell ref="C9:D9"/>
    <mergeCell ref="E9:F9"/>
    <mergeCell ref="G9:H9"/>
    <mergeCell ref="G10:H10"/>
    <mergeCell ref="A2:H3"/>
    <mergeCell ref="A29:F29"/>
    <mergeCell ref="C28:D28"/>
    <mergeCell ref="E28:F28"/>
    <mergeCell ref="G28:H28"/>
    <mergeCell ref="A26:B26"/>
    <mergeCell ref="C26:D26"/>
    <mergeCell ref="A28:B28"/>
    <mergeCell ref="G11:H11"/>
    <mergeCell ref="E15:F16"/>
    <mergeCell ref="G15:H16"/>
    <mergeCell ref="C17:D17"/>
    <mergeCell ref="A5:H5"/>
    <mergeCell ref="A7:B7"/>
    <mergeCell ref="A8:B8"/>
    <mergeCell ref="C27:D27"/>
    <mergeCell ref="A11:F11"/>
    <mergeCell ref="C18:D18"/>
    <mergeCell ref="E17:F17"/>
    <mergeCell ref="G17:H17"/>
    <mergeCell ref="A27:B27"/>
    <mergeCell ref="G18:H18"/>
    <mergeCell ref="A23:H23"/>
    <mergeCell ref="A25:B25"/>
    <mergeCell ref="G26:H26"/>
    <mergeCell ref="E27:F27"/>
    <mergeCell ref="G27:H27"/>
    <mergeCell ref="E18:F18"/>
    <mergeCell ref="E26:F26"/>
    <mergeCell ref="A21:H22"/>
    <mergeCell ref="G36:H36"/>
    <mergeCell ref="G29:H29"/>
    <mergeCell ref="E33:F34"/>
    <mergeCell ref="G33:H34"/>
    <mergeCell ref="C35:D35"/>
    <mergeCell ref="E35:F35"/>
    <mergeCell ref="G35:H35"/>
    <mergeCell ref="C36:D36"/>
    <mergeCell ref="E36:F36"/>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0">
    <tabColor theme="1"/>
    <pageSetUpPr fitToPage="1"/>
  </sheetPr>
  <dimension ref="A1:AA71"/>
  <sheetViews>
    <sheetView view="pageLayout" topLeftCell="A4" zoomScaleNormal="100" workbookViewId="0">
      <selection activeCell="H10" sqref="H10"/>
    </sheetView>
  </sheetViews>
  <sheetFormatPr baseColWidth="10" defaultColWidth="9.1640625" defaultRowHeight="13"/>
  <cols>
    <col min="1" max="1" width="23.83203125" style="112" customWidth="1"/>
    <col min="2" max="2" width="1" style="112" customWidth="1"/>
    <col min="3" max="3" width="18.83203125" style="112" customWidth="1"/>
    <col min="4" max="4" width="5.33203125" style="112" customWidth="1"/>
    <col min="5" max="5" width="22.33203125" style="112" customWidth="1"/>
    <col min="6" max="6" width="2.5" style="112" customWidth="1"/>
    <col min="7" max="7" width="7.5" style="112" customWidth="1"/>
    <col min="8" max="8" width="10.5" style="112" customWidth="1"/>
    <col min="9" max="9" width="13.5" style="112" customWidth="1"/>
    <col min="10" max="10" width="1.33203125" style="112" customWidth="1"/>
    <col min="11" max="11" width="21" style="112" bestFit="1" customWidth="1"/>
    <col min="12" max="12" width="1.83203125" style="112" customWidth="1"/>
    <col min="13" max="13" width="16.5" style="112" customWidth="1"/>
    <col min="14" max="14" width="3.5" style="112" customWidth="1"/>
    <col min="15" max="15" width="21" style="112" customWidth="1"/>
    <col min="16" max="16" width="9.1640625" style="112" customWidth="1"/>
    <col min="17" max="18" width="9.1640625" style="112"/>
    <col min="19" max="19" width="10.83203125" style="112" customWidth="1"/>
    <col min="20" max="20" width="15.5" style="112" customWidth="1"/>
    <col min="21" max="21" width="17.33203125" style="112" customWidth="1"/>
    <col min="22" max="22" width="15.5" style="112" customWidth="1"/>
    <col min="23" max="23" width="10.83203125" style="112" customWidth="1"/>
    <col min="24" max="24" width="16.5" style="112" customWidth="1"/>
    <col min="25" max="25" width="23" style="112" customWidth="1"/>
    <col min="26" max="26" width="10.83203125" style="112" bestFit="1" customWidth="1"/>
    <col min="27" max="16384" width="9.1640625" style="112"/>
  </cols>
  <sheetData>
    <row r="1" spans="1:20" ht="21">
      <c r="A1" s="984" t="s">
        <v>409</v>
      </c>
      <c r="B1" s="984"/>
      <c r="C1" s="984"/>
      <c r="D1" s="984"/>
      <c r="E1" s="984"/>
      <c r="F1" s="984"/>
      <c r="G1" s="984"/>
      <c r="H1" s="984"/>
      <c r="I1" s="984"/>
      <c r="J1" s="984"/>
      <c r="K1" s="985"/>
      <c r="L1" s="985"/>
      <c r="M1" s="985"/>
      <c r="N1" s="985"/>
      <c r="O1" s="985"/>
      <c r="P1" s="985"/>
    </row>
    <row r="2" spans="1:20" ht="15">
      <c r="J2"/>
      <c r="K2"/>
      <c r="M2" s="113"/>
      <c r="N2" s="114"/>
    </row>
    <row r="3" spans="1:20" ht="28.5" customHeight="1">
      <c r="A3" s="115" t="s">
        <v>410</v>
      </c>
      <c r="B3" s="115"/>
      <c r="C3" s="986" t="str">
        <f>GroupName</f>
        <v>Group Name</v>
      </c>
      <c r="D3" s="987"/>
      <c r="E3" s="987"/>
      <c r="F3" s="987"/>
      <c r="G3" s="987"/>
      <c r="H3" s="987"/>
      <c r="I3" s="988"/>
      <c r="J3"/>
      <c r="K3"/>
      <c r="N3" s="114"/>
    </row>
    <row r="4" spans="1:20">
      <c r="A4" s="115"/>
      <c r="B4" s="115"/>
      <c r="N4" s="114"/>
    </row>
    <row r="5" spans="1:20" ht="16.5" customHeight="1">
      <c r="A5" s="115" t="s">
        <v>415</v>
      </c>
      <c r="B5" s="115"/>
      <c r="C5" s="116" t="str">
        <f>'Cover Page'!F27</f>
        <v>AE 1 - Name</v>
      </c>
      <c r="D5" s="117"/>
      <c r="E5" s="117" t="s">
        <v>416</v>
      </c>
      <c r="F5" s="117"/>
      <c r="G5" s="118"/>
      <c r="H5" s="989"/>
      <c r="I5" s="989"/>
      <c r="J5" s="117"/>
      <c r="K5" s="139" t="s">
        <v>175</v>
      </c>
      <c r="L5" s="140"/>
      <c r="M5" s="116" t="s">
        <v>444</v>
      </c>
      <c r="N5" s="114"/>
    </row>
    <row r="6" spans="1:20" ht="16">
      <c r="A6" s="115"/>
      <c r="B6" s="115"/>
      <c r="C6" s="117"/>
      <c r="D6" s="117"/>
      <c r="E6" s="117"/>
      <c r="F6" s="117"/>
      <c r="G6" s="115"/>
      <c r="H6" s="117"/>
      <c r="I6" s="117"/>
      <c r="J6" s="117"/>
      <c r="K6" s="119" t="s">
        <v>417</v>
      </c>
      <c r="L6" s="120"/>
      <c r="M6" s="116"/>
      <c r="N6" s="114"/>
    </row>
    <row r="7" spans="1:20" ht="35.25" customHeight="1">
      <c r="A7" s="115" t="s">
        <v>418</v>
      </c>
      <c r="B7" s="115"/>
      <c r="C7" s="116"/>
      <c r="D7" s="117"/>
      <c r="E7" s="121" t="s">
        <v>411</v>
      </c>
      <c r="F7" s="117"/>
      <c r="G7" s="138" t="str">
        <f>RenewalMonth &amp; " 1, " &amp; RenewalYear</f>
        <v>Month 1, Year</v>
      </c>
      <c r="H7" s="989"/>
      <c r="I7" s="989"/>
      <c r="J7" s="117"/>
      <c r="K7" s="122" t="s">
        <v>419</v>
      </c>
      <c r="L7" s="123"/>
      <c r="M7" s="116"/>
      <c r="N7" s="114"/>
    </row>
    <row r="8" spans="1:20" ht="20.25" customHeight="1">
      <c r="A8" s="115"/>
      <c r="B8" s="115"/>
      <c r="C8" s="117"/>
      <c r="D8" s="117"/>
      <c r="E8" s="117"/>
      <c r="F8" s="117"/>
      <c r="G8" s="115"/>
      <c r="H8" s="117"/>
      <c r="I8" s="117"/>
      <c r="J8" s="117"/>
      <c r="K8" s="115"/>
      <c r="N8" s="114"/>
    </row>
    <row r="9" spans="1:20" ht="27" customHeight="1">
      <c r="A9" s="115" t="s">
        <v>412</v>
      </c>
      <c r="B9" s="115"/>
      <c r="C9" s="116">
        <f>'General Information - DNP'!B27</f>
        <v>0</v>
      </c>
      <c r="D9" s="117"/>
      <c r="E9" s="115" t="s">
        <v>413</v>
      </c>
      <c r="F9" s="117"/>
      <c r="G9" s="138" t="e">
        <f>EDATE(G7,12)</f>
        <v>#VALUE!</v>
      </c>
      <c r="K9" s="112" t="s">
        <v>420</v>
      </c>
      <c r="M9" s="138">
        <f ca="1">TODAY( )</f>
        <v>44228</v>
      </c>
      <c r="N9" s="114"/>
      <c r="O9" s="121" t="s">
        <v>448</v>
      </c>
      <c r="P9" s="986" t="str">
        <f>EP_Current</f>
        <v>MMM DD YYY - MMM DD YYYY</v>
      </c>
      <c r="Q9" s="987"/>
      <c r="R9" s="987"/>
      <c r="S9" s="987"/>
      <c r="T9" s="988"/>
    </row>
    <row r="10" spans="1:20" ht="15.75" customHeight="1">
      <c r="A10" s="115"/>
      <c r="B10" s="115"/>
      <c r="C10" s="124"/>
      <c r="D10" s="124"/>
      <c r="E10" s="124"/>
      <c r="F10" s="124"/>
      <c r="G10" s="117"/>
      <c r="H10" s="117"/>
      <c r="I10" s="117"/>
      <c r="J10" s="117"/>
      <c r="M10" s="115"/>
    </row>
    <row r="11" spans="1:20" ht="5.25" customHeight="1">
      <c r="A11" s="125"/>
      <c r="B11" s="125"/>
      <c r="C11" s="125"/>
      <c r="D11" s="125"/>
      <c r="E11" s="125"/>
      <c r="F11" s="125"/>
      <c r="G11" s="125"/>
      <c r="H11" s="125"/>
      <c r="I11" s="125"/>
      <c r="J11" s="125"/>
      <c r="K11" s="125"/>
      <c r="L11" s="125"/>
      <c r="M11" s="125"/>
      <c r="N11" s="125"/>
      <c r="O11" s="125"/>
      <c r="P11" s="125"/>
    </row>
    <row r="12" spans="1:20">
      <c r="A12" s="126"/>
      <c r="B12" s="126"/>
      <c r="C12" s="127"/>
      <c r="D12" s="127"/>
      <c r="E12" s="127"/>
      <c r="F12" s="127"/>
    </row>
    <row r="13" spans="1:20" ht="24" customHeight="1">
      <c r="A13" s="128" t="s">
        <v>34</v>
      </c>
      <c r="B13" s="128"/>
      <c r="C13" s="128" t="s">
        <v>205</v>
      </c>
      <c r="D13" s="128"/>
      <c r="E13" s="128" t="s">
        <v>421</v>
      </c>
      <c r="F13" s="128"/>
      <c r="G13" s="129" t="s">
        <v>195</v>
      </c>
      <c r="H13" s="129"/>
      <c r="I13" s="129" t="s">
        <v>422</v>
      </c>
      <c r="J13" s="129"/>
      <c r="K13" s="128" t="s">
        <v>0</v>
      </c>
      <c r="M13" s="130" t="s">
        <v>414</v>
      </c>
      <c r="O13" s="142" t="s">
        <v>426</v>
      </c>
      <c r="P13" s="142" t="s">
        <v>447</v>
      </c>
    </row>
    <row r="14" spans="1:20">
      <c r="A14" s="128"/>
      <c r="B14" s="128"/>
      <c r="C14" s="128"/>
      <c r="D14" s="128"/>
      <c r="E14" s="128"/>
      <c r="F14" s="128"/>
      <c r="G14" s="990"/>
      <c r="H14" s="990"/>
      <c r="I14" s="129"/>
      <c r="J14" s="129"/>
      <c r="K14" s="128"/>
      <c r="M14" s="129"/>
    </row>
    <row r="15" spans="1:20" ht="4.5" customHeight="1">
      <c r="G15" s="989"/>
      <c r="H15" s="989"/>
      <c r="I15" s="117"/>
      <c r="J15" s="117"/>
    </row>
    <row r="16" spans="1:20" ht="14" thickBot="1">
      <c r="A16" s="298" t="s">
        <v>132</v>
      </c>
      <c r="B16" s="131"/>
      <c r="C16" s="300" t="str">
        <f>IF('Renewal Rates '!$B7+'Renewal Rates '!$B8+'Renewal Rates '!$B9+'Renewal Rates '!$B10+'Renewal Rates '!$B11&lt;&gt;0, 'Cover Page'!$H$24, "")</f>
        <v/>
      </c>
      <c r="D16" s="117"/>
      <c r="E16" s="305">
        <f>'Executive Summary'!F10</f>
        <v>0</v>
      </c>
      <c r="F16" s="133"/>
      <c r="G16" s="979">
        <f>SUM(E16*12)</f>
        <v>0</v>
      </c>
      <c r="H16" s="980"/>
      <c r="I16" s="305">
        <f>SUM(G16*M16)</f>
        <v>0</v>
      </c>
      <c r="J16" s="132"/>
      <c r="K16" s="300" t="str">
        <f>IF('Renewal Rates '!$B7+'Renewal Rates '!$B8+'Renewal Rates '!$B9+'Renewal Rates '!$B10+'Renewal Rates '!$B11&lt;&gt;0, 'Cover Page'!$F$23, "")</f>
        <v/>
      </c>
      <c r="M16" s="308">
        <v>0</v>
      </c>
      <c r="O16" s="115"/>
    </row>
    <row r="17" spans="1:27" ht="13.5" customHeight="1">
      <c r="A17" s="298"/>
      <c r="C17" s="301"/>
      <c r="E17" s="301"/>
      <c r="G17" s="981"/>
      <c r="H17" s="981"/>
      <c r="I17" s="307"/>
      <c r="J17" s="134"/>
      <c r="K17" s="301"/>
      <c r="M17" s="301"/>
      <c r="O17" s="115"/>
      <c r="S17" s="238"/>
      <c r="T17" s="239"/>
      <c r="U17" s="239"/>
      <c r="V17" s="239"/>
      <c r="W17" s="239"/>
      <c r="X17" s="239"/>
      <c r="Y17" s="239"/>
      <c r="Z17" s="239"/>
      <c r="AA17" s="240"/>
    </row>
    <row r="18" spans="1:27" ht="13.5" customHeight="1">
      <c r="A18" s="298" t="s">
        <v>423</v>
      </c>
      <c r="B18" s="131"/>
      <c r="C18" s="300" t="str">
        <f>IF('Renewal Rates '!$B14+'Renewal Rates '!$B15+'Renewal Rates '!$B16+'Renewal Rates '!$B17+'Renewal Rates '!$B18&lt;&gt;0, 'Cover Page'!$H$24, "")</f>
        <v/>
      </c>
      <c r="D18" s="117"/>
      <c r="E18" s="305">
        <f>'Executive Summary'!F11</f>
        <v>0</v>
      </c>
      <c r="F18" s="133"/>
      <c r="G18" s="979">
        <f t="shared" ref="G18:G36" si="0">SUM(E18*12)</f>
        <v>0</v>
      </c>
      <c r="H18" s="980"/>
      <c r="I18" s="305">
        <f>SUM(G18*M18)</f>
        <v>0</v>
      </c>
      <c r="J18" s="132"/>
      <c r="K18" s="300" t="str">
        <f>IF('Renewal Rates '!$B14+'Renewal Rates '!$B15+'Renewal Rates '!$B16+'Renewal Rates '!$B17+'Renewal Rates '!$B18&lt;&gt;0, 'Cover Page'!$F$23, "")</f>
        <v/>
      </c>
      <c r="M18" s="308">
        <v>0</v>
      </c>
      <c r="O18" s="115"/>
      <c r="S18" s="241"/>
      <c r="T18" s="233"/>
      <c r="U18" s="233"/>
      <c r="V18" s="233"/>
      <c r="W18" s="233"/>
      <c r="X18" s="233"/>
      <c r="Y18" s="233"/>
      <c r="Z18" s="237" t="s">
        <v>640</v>
      </c>
      <c r="AA18" s="242"/>
    </row>
    <row r="19" spans="1:27" ht="13.5" customHeight="1">
      <c r="A19" s="298"/>
      <c r="C19" s="301"/>
      <c r="E19" s="301"/>
      <c r="G19" s="981"/>
      <c r="H19" s="981"/>
      <c r="I19" s="307"/>
      <c r="J19" s="134"/>
      <c r="K19" s="301"/>
      <c r="M19" s="301"/>
      <c r="S19" s="241"/>
      <c r="T19" s="243" t="s">
        <v>641</v>
      </c>
      <c r="U19" s="243"/>
      <c r="V19" s="244" t="s">
        <v>642</v>
      </c>
      <c r="W19" s="245"/>
      <c r="X19" s="244" t="s">
        <v>459</v>
      </c>
      <c r="Y19" s="246" t="s">
        <v>648</v>
      </c>
      <c r="Z19" s="247">
        <f>U20</f>
        <v>0</v>
      </c>
      <c r="AA19" s="242"/>
    </row>
    <row r="20" spans="1:27" ht="12.75" customHeight="1">
      <c r="A20" s="298" t="s">
        <v>424</v>
      </c>
      <c r="B20" s="131"/>
      <c r="C20" s="300" t="str">
        <f>IF('Renewal Rates '!$B21+'Renewal Rates '!$B22+'Renewal Rates '!$B23+'Renewal Rates '!$B24+'Renewal Rates '!$B25&lt;&gt;0, 'Cover Page'!$H$24, "")</f>
        <v/>
      </c>
      <c r="E20" s="305">
        <f>'Executive Summary'!F12</f>
        <v>0</v>
      </c>
      <c r="F20" s="133"/>
      <c r="G20" s="979">
        <f t="shared" si="0"/>
        <v>0</v>
      </c>
      <c r="H20" s="980"/>
      <c r="I20" s="305">
        <f>SUM(G20*M20)</f>
        <v>0</v>
      </c>
      <c r="J20" s="132"/>
      <c r="K20" s="300" t="str">
        <f>IF('Renewal Rates '!$B21+'Renewal Rates '!$B22+'Renewal Rates '!$B23+'Renewal Rates '!$B24+'Renewal Rates '!$B25&lt;&gt;0, 'Cover Page'!$F$23, "")</f>
        <v/>
      </c>
      <c r="M20" s="308">
        <v>0</v>
      </c>
      <c r="O20" s="141" t="s">
        <v>445</v>
      </c>
      <c r="P20" s="143" t="str">
        <f>IF('Pooled Benefits '!B23&lt;&gt;0,'Pooled Benefits '!B23+'Pooled Benefits '!D23,"")</f>
        <v/>
      </c>
      <c r="S20" s="241"/>
      <c r="T20" s="294" t="s">
        <v>643</v>
      </c>
      <c r="U20" s="295">
        <f>G52</f>
        <v>0</v>
      </c>
      <c r="V20" s="296">
        <v>0.1</v>
      </c>
      <c r="W20" s="233" t="s">
        <v>644</v>
      </c>
      <c r="X20" s="259">
        <v>10000</v>
      </c>
      <c r="Y20" s="248">
        <f t="shared" ref="Y20:Y25" si="1">IF(V20="",0,MIN(X20,Z19)*V20)</f>
        <v>0</v>
      </c>
      <c r="Z20" s="249">
        <f>MAX($U$20-SUM($X$20:X20),0)</f>
        <v>0</v>
      </c>
      <c r="AA20" s="242"/>
    </row>
    <row r="21" spans="1:27" ht="13.5" customHeight="1">
      <c r="A21" s="298"/>
      <c r="C21" s="301"/>
      <c r="E21" s="301"/>
      <c r="G21" s="981"/>
      <c r="H21" s="981"/>
      <c r="I21" s="307"/>
      <c r="J21" s="134"/>
      <c r="K21" s="301"/>
      <c r="M21" s="301"/>
      <c r="O21" s="141" t="s">
        <v>446</v>
      </c>
      <c r="P21" s="146" t="str">
        <f>P20</f>
        <v/>
      </c>
      <c r="S21" s="241"/>
      <c r="T21" s="233"/>
      <c r="U21" s="233"/>
      <c r="V21" s="296">
        <v>7.4999999999999997E-2</v>
      </c>
      <c r="W21" s="233" t="s">
        <v>645</v>
      </c>
      <c r="X21" s="259">
        <v>15000</v>
      </c>
      <c r="Y21" s="250">
        <f t="shared" si="1"/>
        <v>0</v>
      </c>
      <c r="Z21" s="249">
        <f>MAX($U$20-SUM($X$20:X21),0)</f>
        <v>0</v>
      </c>
      <c r="AA21" s="242"/>
    </row>
    <row r="22" spans="1:27" ht="13.5" customHeight="1">
      <c r="A22" s="298" t="s">
        <v>10</v>
      </c>
      <c r="B22" s="131"/>
      <c r="C22" s="302" t="str">
        <f>IF('Renewal Rates '!$B28+'Renewal Rates '!$B29+'Renewal Rates '!$B30+'Renewal Rates '!$B31+'Renewal Rates '!$B32&lt;&gt;0, 'Cover Page'!$H$24, "")</f>
        <v/>
      </c>
      <c r="E22" s="305">
        <f>'Executive Summary'!F13</f>
        <v>0</v>
      </c>
      <c r="F22" s="133"/>
      <c r="G22" s="979">
        <f>SUM(E22*12)</f>
        <v>0</v>
      </c>
      <c r="H22" s="980"/>
      <c r="I22" s="305">
        <f>SUM(G22*M22)</f>
        <v>0</v>
      </c>
      <c r="J22" s="132"/>
      <c r="K22" s="300" t="str">
        <f>IF('Renewal Rates '!$B28+'Renewal Rates '!$B29+'Renewal Rates '!$B30+'Renewal Rates '!$B31+'Renewal Rates '!$B32&lt;&gt;0, 'Cover Page'!$F$23, "")</f>
        <v/>
      </c>
      <c r="M22" s="308">
        <v>0</v>
      </c>
      <c r="O22" s="135"/>
      <c r="P22" s="120"/>
      <c r="S22" s="241"/>
      <c r="T22" s="233"/>
      <c r="U22" s="233"/>
      <c r="V22" s="296">
        <v>0.05</v>
      </c>
      <c r="W22" s="233" t="s">
        <v>645</v>
      </c>
      <c r="X22" s="259">
        <v>25000</v>
      </c>
      <c r="Y22" s="250">
        <f t="shared" si="1"/>
        <v>0</v>
      </c>
      <c r="Z22" s="249">
        <f>MAX($U$20-SUM($X$20:X22),0)</f>
        <v>0</v>
      </c>
      <c r="AA22" s="242"/>
    </row>
    <row r="23" spans="1:27" ht="13.5" customHeight="1">
      <c r="A23" s="298"/>
      <c r="C23" s="301"/>
      <c r="E23" s="301"/>
      <c r="G23" s="981"/>
      <c r="H23" s="981"/>
      <c r="I23" s="307"/>
      <c r="J23" s="134"/>
      <c r="K23" s="301"/>
      <c r="M23" s="301"/>
      <c r="O23" s="135"/>
      <c r="P23" s="120"/>
      <c r="S23" s="241"/>
      <c r="T23" s="233"/>
      <c r="U23" s="233"/>
      <c r="V23" s="296">
        <v>0.03</v>
      </c>
      <c r="W23" s="233" t="s">
        <v>645</v>
      </c>
      <c r="X23" s="259">
        <v>50000</v>
      </c>
      <c r="Y23" s="250">
        <f t="shared" si="1"/>
        <v>0</v>
      </c>
      <c r="Z23" s="249">
        <f>MAX($U$20-SUM($X$20:X23),0)</f>
        <v>0</v>
      </c>
      <c r="AA23" s="242"/>
    </row>
    <row r="24" spans="1:27" ht="12.75" customHeight="1">
      <c r="A24" s="298" t="s">
        <v>133</v>
      </c>
      <c r="B24" s="131"/>
      <c r="C24" s="300" t="str">
        <f>IF(('Renewal Rates '!$B35+'Renewal Rates '!$B36+'Renewal Rates '!$B37+'Renewal Rates '!$B38+'Renewal Rates '!$B39)&lt;&gt;0, 'Cover Page'!$H$26, "")</f>
        <v/>
      </c>
      <c r="E24" s="305">
        <f>'Executive Summary'!F14</f>
        <v>0</v>
      </c>
      <c r="F24" s="133"/>
      <c r="G24" s="979">
        <f>SUM(E24*12)</f>
        <v>0</v>
      </c>
      <c r="H24" s="980"/>
      <c r="I24" s="305">
        <f>SUM(G24*M24)</f>
        <v>0</v>
      </c>
      <c r="J24" s="132"/>
      <c r="K24" s="300" t="str">
        <f>IF('Renewal Rates '!$B35+'Renewal Rates '!$B36+'Renewal Rates '!$B37+'Renewal Rates '!$B38+'Renewal Rates '!$B39&lt;&gt;0, 'Cover Page'!$F$23, "")</f>
        <v/>
      </c>
      <c r="M24" s="308">
        <v>0</v>
      </c>
      <c r="S24" s="241"/>
      <c r="T24" s="233"/>
      <c r="U24" s="233"/>
      <c r="V24" s="296">
        <v>0.02</v>
      </c>
      <c r="W24" s="233" t="s">
        <v>645</v>
      </c>
      <c r="X24" s="259">
        <v>150000</v>
      </c>
      <c r="Y24" s="250">
        <f t="shared" si="1"/>
        <v>0</v>
      </c>
      <c r="Z24" s="249">
        <f>MAX($U$20-SUM($X$20:X24),0)</f>
        <v>0</v>
      </c>
      <c r="AA24" s="242"/>
    </row>
    <row r="25" spans="1:27" ht="13.5" customHeight="1" thickBot="1">
      <c r="A25" s="298"/>
      <c r="C25" s="301"/>
      <c r="E25" s="301"/>
      <c r="G25" s="981"/>
      <c r="H25" s="981"/>
      <c r="I25" s="307"/>
      <c r="J25" s="134"/>
      <c r="K25" s="301"/>
      <c r="L25"/>
      <c r="M25" s="214"/>
      <c r="S25" s="241"/>
      <c r="T25" s="233"/>
      <c r="U25" s="233"/>
      <c r="V25" s="297">
        <v>0.01</v>
      </c>
      <c r="W25" s="251" t="s">
        <v>640</v>
      </c>
      <c r="X25" s="260">
        <v>99999479999</v>
      </c>
      <c r="Y25" s="252">
        <f t="shared" si="1"/>
        <v>0</v>
      </c>
      <c r="Z25" s="249">
        <f>MAX($U$20-SUM($X$20:X25),0)</f>
        <v>0</v>
      </c>
      <c r="AA25" s="242"/>
    </row>
    <row r="26" spans="1:27" ht="13.5" customHeight="1" thickTop="1" thickBot="1">
      <c r="A26" s="298" t="s">
        <v>12</v>
      </c>
      <c r="B26" s="131"/>
      <c r="C26" s="300" t="str">
        <f>IF('Renewal Rates '!$B44+'Renewal Rates '!$B45+'Renewal Rates '!$B46+'Renewal Rates '!$B47+'Renewal Rates '!$B48&lt;&gt;0, 'Cover Page'!$H$24, "")</f>
        <v/>
      </c>
      <c r="E26" s="305">
        <f>'Executive Summary'!F15</f>
        <v>0</v>
      </c>
      <c r="F26" s="133"/>
      <c r="G26" s="979">
        <f t="shared" si="0"/>
        <v>0</v>
      </c>
      <c r="H26" s="980"/>
      <c r="I26" s="305">
        <f>SUM(G26*M26)</f>
        <v>0</v>
      </c>
      <c r="J26" s="132"/>
      <c r="K26" s="300" t="str">
        <f>IF('Renewal Rates '!$B44+'Renewal Rates '!$B45+'Renewal Rates '!$B46+'Renewal Rates '!$B47+'Renewal Rates '!$B48&lt;&gt;0, 'Cover Page'!$F$23, "")</f>
        <v/>
      </c>
      <c r="M26" s="308">
        <v>0</v>
      </c>
      <c r="O26" s="148" t="s">
        <v>444</v>
      </c>
      <c r="P26" s="148"/>
      <c r="S26" s="241"/>
      <c r="T26" s="233"/>
      <c r="U26" s="253" t="s">
        <v>646</v>
      </c>
      <c r="V26" s="254">
        <f>IFERROR(Y26/U20,0)</f>
        <v>0</v>
      </c>
      <c r="W26" s="233"/>
      <c r="X26" s="233"/>
      <c r="Y26" s="255">
        <f>SUM(Y20:Y25)</f>
        <v>0</v>
      </c>
      <c r="Z26" s="233"/>
      <c r="AA26" s="242"/>
    </row>
    <row r="27" spans="1:27" ht="13.5" customHeight="1" thickBot="1">
      <c r="A27" s="298"/>
      <c r="C27" s="301"/>
      <c r="E27" s="301"/>
      <c r="G27" s="981"/>
      <c r="H27" s="981"/>
      <c r="I27" s="307"/>
      <c r="J27" s="134"/>
      <c r="K27" s="301"/>
      <c r="M27" s="301"/>
      <c r="O27" s="144"/>
      <c r="P27" s="144"/>
      <c r="S27" s="256"/>
      <c r="T27" s="257"/>
      <c r="U27" s="257"/>
      <c r="V27" s="257"/>
      <c r="W27" s="257"/>
      <c r="X27" s="257"/>
      <c r="Y27" s="257"/>
      <c r="Z27" s="257"/>
      <c r="AA27" s="258"/>
    </row>
    <row r="28" spans="1:27" ht="13.5" customHeight="1">
      <c r="A28" s="298" t="s">
        <v>425</v>
      </c>
      <c r="B28" s="131"/>
      <c r="C28" s="300" t="str">
        <f>IF(('Renewal Rates '!$B52+'Renewal Rates '!$B53+'Renewal Rates '!$B55+'Renewal Rates '!$B56+'Renewal Rates '!$B58+'Renewal Rates '!$B59+'Renewal Rates '!$B61+'Renewal Rates '!$B62+'Renewal Rates '!$B64+'Renewal Rates '!$B65)&lt;&gt;0, 'Cover Page'!$H$24, "")</f>
        <v/>
      </c>
      <c r="E28" s="305">
        <f>'Executive Summary'!F16</f>
        <v>0</v>
      </c>
      <c r="F28" s="133"/>
      <c r="G28" s="979">
        <f t="shared" si="0"/>
        <v>0</v>
      </c>
      <c r="H28" s="980"/>
      <c r="I28" s="305">
        <f>SUM(G28*M28)</f>
        <v>0</v>
      </c>
      <c r="J28" s="132"/>
      <c r="K28" s="300" t="str">
        <f>IF(('Renewal Rates '!$B52+'Renewal Rates '!$B53+'Renewal Rates '!$B55+'Renewal Rates '!$B56+'Renewal Rates '!$B58+'Renewal Rates '!$B59+'Renewal Rates '!$B61+'Renewal Rates '!$B62+'Renewal Rates '!$B64+'Renewal Rates '!$B65)&lt;&gt;0, 'Cover Page'!$F$23, "")</f>
        <v/>
      </c>
      <c r="M28" s="308">
        <v>0</v>
      </c>
      <c r="O28" s="147" t="s">
        <v>444</v>
      </c>
      <c r="P28" s="147"/>
      <c r="S28" s="991" t="s">
        <v>647</v>
      </c>
      <c r="T28" s="992"/>
      <c r="U28" s="992"/>
      <c r="V28" s="992"/>
      <c r="W28" s="992"/>
      <c r="X28" s="992"/>
      <c r="Y28" s="992"/>
      <c r="Z28" s="992"/>
      <c r="AA28" s="993"/>
    </row>
    <row r="29" spans="1:27" ht="13.5" customHeight="1">
      <c r="A29" s="298"/>
      <c r="B29" s="292"/>
      <c r="C29" s="303"/>
      <c r="D29" s="289"/>
      <c r="E29" s="306"/>
      <c r="F29" s="293"/>
      <c r="G29" s="981"/>
      <c r="H29" s="981"/>
      <c r="I29" s="306"/>
      <c r="J29" s="293"/>
      <c r="K29" s="303"/>
      <c r="L29" s="289"/>
      <c r="M29" s="309"/>
      <c r="N29"/>
      <c r="O29" s="145"/>
      <c r="P29" s="145"/>
      <c r="Q29"/>
      <c r="S29" s="994"/>
      <c r="T29" s="995"/>
      <c r="U29" s="995"/>
      <c r="V29" s="995"/>
      <c r="W29" s="995"/>
      <c r="X29" s="995"/>
      <c r="Y29" s="995"/>
      <c r="Z29" s="995"/>
      <c r="AA29" s="996"/>
    </row>
    <row r="30" spans="1:27" ht="13.5" customHeight="1" thickBot="1">
      <c r="A30" s="298" t="s">
        <v>110</v>
      </c>
      <c r="B30" s="131"/>
      <c r="C30" s="300" t="str">
        <f>IF(('Renewal Rates '!$B69+'Renewal Rates '!$B70+'Renewal Rates '!$B72+'Renewal Rates '!$B73+'Renewal Rates '!$B75+'Renewal Rates '!$B76+'Renewal Rates '!$B78+'Renewal Rates '!$B79+'Renewal Rates '!$B81+'Renewal Rates '!$B82)&lt;&gt;0, 'Cover Page'!$H$24, "")</f>
        <v/>
      </c>
      <c r="D30" s="289"/>
      <c r="E30" s="305">
        <f>'Executive Summary'!F17</f>
        <v>0</v>
      </c>
      <c r="F30" s="288"/>
      <c r="G30" s="979">
        <f t="shared" ref="G30" si="2">SUM(E30*12)</f>
        <v>0</v>
      </c>
      <c r="H30" s="980"/>
      <c r="I30" s="305">
        <f>SUM(G30*M30)</f>
        <v>0</v>
      </c>
      <c r="J30" s="132"/>
      <c r="K30" s="300" t="str">
        <f>IF(('Renewal Rates '!$B69+'Renewal Rates '!$B70+'Renewal Rates '!$B72+'Renewal Rates '!$B73+'Renewal Rates '!$B75+'Renewal Rates '!$B76+'Renewal Rates '!$B78+'Renewal Rates '!$B79+'Renewal Rates '!$B81+'Renewal Rates '!$B82)&lt;&gt;0, 'Cover Page'!$F$23, "")</f>
        <v/>
      </c>
      <c r="L30" s="289"/>
      <c r="M30" s="308">
        <v>0</v>
      </c>
      <c r="O30" s="147" t="s">
        <v>444</v>
      </c>
      <c r="P30" s="147"/>
      <c r="S30" s="997"/>
      <c r="T30" s="998"/>
      <c r="U30" s="998"/>
      <c r="V30" s="998"/>
      <c r="W30" s="998"/>
      <c r="X30" s="998"/>
      <c r="Y30" s="998"/>
      <c r="Z30" s="998"/>
      <c r="AA30" s="999"/>
    </row>
    <row r="31" spans="1:27" ht="13.5" customHeight="1" thickTop="1">
      <c r="A31" s="298"/>
      <c r="B31" s="289"/>
      <c r="C31" s="301"/>
      <c r="D31" s="289"/>
      <c r="E31" s="301"/>
      <c r="F31" s="289"/>
      <c r="G31" s="981"/>
      <c r="H31" s="981"/>
      <c r="I31" s="307"/>
      <c r="J31" s="290"/>
      <c r="K31" s="301"/>
      <c r="L31" s="289"/>
      <c r="M31" s="301"/>
    </row>
    <row r="32" spans="1:27">
      <c r="A32" s="298" t="s">
        <v>252</v>
      </c>
      <c r="B32" s="131"/>
      <c r="C32" s="300" t="str">
        <f>IF(('Renewal Rates '!$B86+'Renewal Rates '!$B87+'Renewal Rates '!$B89+'Renewal Rates '!$B90+'Renewal Rates '!$B92+'Renewal Rates '!$B93+'Renewal Rates '!$B95+'Renewal Rates '!$B96+'Renewal Rates '!$B98+'Renewal Rates '!$B99)&lt;&gt;0, 'Cover Page'!$H$24, "")</f>
        <v/>
      </c>
      <c r="E32" s="305">
        <f>'Executive Summary'!F18</f>
        <v>0</v>
      </c>
      <c r="F32" s="133"/>
      <c r="G32" s="979">
        <f t="shared" si="0"/>
        <v>0</v>
      </c>
      <c r="H32" s="980"/>
      <c r="I32" s="305">
        <f>SUM(G32*M32)</f>
        <v>0</v>
      </c>
      <c r="J32" s="132"/>
      <c r="K32" s="300" t="str">
        <f>IF(('Renewal Rates '!$B86+'Renewal Rates '!$B87+'Renewal Rates '!$B89+'Renewal Rates '!$B90+'Renewal Rates '!$B92+'Renewal Rates '!$B93+'Renewal Rates '!$B95+'Renewal Rates '!$B96+'Renewal Rates '!$B98+'Renewal Rates '!$B99)&lt;&gt;0, 'Cover Page'!$F$23, "")</f>
        <v/>
      </c>
      <c r="M32" s="308">
        <v>0</v>
      </c>
      <c r="O32" s="137" t="s">
        <v>331</v>
      </c>
      <c r="P32" s="116"/>
    </row>
    <row r="33" spans="1:16" ht="13.5" customHeight="1">
      <c r="A33" s="298"/>
      <c r="C33" s="301"/>
      <c r="E33" s="301"/>
      <c r="G33" s="981"/>
      <c r="H33" s="981"/>
      <c r="I33" s="307"/>
      <c r="J33" s="134"/>
      <c r="K33" s="301"/>
      <c r="M33" s="301"/>
      <c r="O33" s="137" t="s">
        <v>428</v>
      </c>
      <c r="P33" s="116" t="s">
        <v>444</v>
      </c>
    </row>
    <row r="34" spans="1:16">
      <c r="A34" s="298" t="s">
        <v>432</v>
      </c>
      <c r="B34" s="131"/>
      <c r="C34" s="300" t="str">
        <f>IF(('Renewal Rates '!$B103+'Renewal Rates '!$B104+'Renewal Rates '!$B106+'Renewal Rates '!$B107+'Renewal Rates '!$B109+'Renewal Rates '!$B110+'Renewal Rates '!$B112+'Renewal Rates '!$B113+'Renewal Rates '!$B115+'Renewal Rates '!$B116)&lt;&gt;0, 'Cover Page'!$H$30, "")</f>
        <v/>
      </c>
      <c r="E34" s="305">
        <f>'Executive Summary'!F19</f>
        <v>0</v>
      </c>
      <c r="F34" s="133"/>
      <c r="G34" s="979">
        <f>SUM(E34*12)</f>
        <v>0</v>
      </c>
      <c r="H34" s="980"/>
      <c r="I34" s="305">
        <f>SUM(G34*M34)</f>
        <v>0</v>
      </c>
      <c r="J34" s="132"/>
      <c r="K34" s="300" t="str">
        <f>IF(('Renewal Rates '!$B103+'Renewal Rates '!$B104+'Renewal Rates '!$B106+'Renewal Rates '!$B107+'Renewal Rates '!$B109+'Renewal Rates '!$B110+'Renewal Rates '!$B112+'Renewal Rates '!$B113+'Renewal Rates '!$B115+'Renewal Rates '!$B116)&lt;&gt;0, 'Cover Page'!$F$23, "")</f>
        <v/>
      </c>
      <c r="M34" s="308">
        <v>0</v>
      </c>
      <c r="O34" s="137" t="s">
        <v>430</v>
      </c>
      <c r="P34" s="116"/>
    </row>
    <row r="35" spans="1:16" ht="13.5" customHeight="1">
      <c r="A35" s="298"/>
      <c r="C35" s="301"/>
      <c r="E35" s="301"/>
      <c r="F35" s="117"/>
      <c r="G35" s="982"/>
      <c r="H35" s="983"/>
      <c r="I35" s="307"/>
      <c r="J35" s="134"/>
      <c r="K35" s="301"/>
      <c r="M35" s="301"/>
      <c r="O35" s="137" t="s">
        <v>431</v>
      </c>
      <c r="P35" s="116"/>
    </row>
    <row r="36" spans="1:16">
      <c r="A36" s="298" t="s">
        <v>427</v>
      </c>
      <c r="B36" s="131"/>
      <c r="C36" s="300" t="str">
        <f>IF(('Renewal Rates '!$B120+'Renewal Rates '!$B121+'Renewal Rates '!$B123+'Renewal Rates '!$B124+'Renewal Rates '!$B126+'Renewal Rates '!$B127+'Renewal Rates '!$B129+'Renewal Rates '!$B130+'Renewal Rates '!$B132+'Renewal Rates '!$B133)&lt;&gt;0, 'Cover Page'!$H$24, "")</f>
        <v/>
      </c>
      <c r="D36" s="117"/>
      <c r="E36" s="305">
        <f>'Executive Summary'!F20</f>
        <v>0</v>
      </c>
      <c r="F36" s="133"/>
      <c r="G36" s="979">
        <f t="shared" si="0"/>
        <v>0</v>
      </c>
      <c r="H36" s="980"/>
      <c r="I36" s="305">
        <f>SUM(G36*M36)</f>
        <v>0</v>
      </c>
      <c r="J36" s="132"/>
      <c r="K36" s="300" t="str">
        <f>IF(('Renewal Rates '!$B120+'Renewal Rates '!$B121+'Renewal Rates '!$B123+'Renewal Rates '!$B124+'Renewal Rates '!$B126+'Renewal Rates '!$B127+'Renewal Rates '!$B129+'Renewal Rates '!$B130+'Renewal Rates '!$B132+'Renewal Rates '!$B133)&lt;&gt;0, 'Cover Page'!$F$23, "")</f>
        <v/>
      </c>
      <c r="M36" s="308">
        <v>0</v>
      </c>
      <c r="O36" s="137" t="s">
        <v>433</v>
      </c>
      <c r="P36" s="116"/>
    </row>
    <row r="37" spans="1:16" ht="13.5" customHeight="1">
      <c r="A37" s="298"/>
      <c r="C37" s="301"/>
      <c r="E37" s="301"/>
      <c r="G37" s="981"/>
      <c r="H37" s="981"/>
      <c r="I37" s="307"/>
      <c r="J37" s="134"/>
      <c r="K37" s="307"/>
      <c r="M37" s="301"/>
      <c r="O37" s="137" t="s">
        <v>434</v>
      </c>
      <c r="P37" s="116"/>
    </row>
    <row r="38" spans="1:16">
      <c r="A38" s="298" t="s">
        <v>437</v>
      </c>
      <c r="B38" s="131"/>
      <c r="C38" s="300" t="str">
        <f>IF(('Renewal Rates '!$B137+'Renewal Rates '!$B138+'Renewal Rates '!$B140+'Renewal Rates '!$B141+'Renewal Rates '!$B143+'Renewal Rates '!$B144+'Renewal Rates '!$B146+'Renewal Rates '!$B147+'Renewal Rates '!$B149+'Renewal Rates '!$B150)&lt;&gt;0, 'Cover Page'!$H$36, "")</f>
        <v/>
      </c>
      <c r="E38" s="305">
        <f>'Executive Summary'!F21</f>
        <v>0</v>
      </c>
      <c r="F38" s="133"/>
      <c r="G38" s="979">
        <f t="shared" ref="G38" si="3">SUM(E38*12)</f>
        <v>0</v>
      </c>
      <c r="H38" s="980"/>
      <c r="I38" s="305">
        <f>SUM(G38*M38)</f>
        <v>0</v>
      </c>
      <c r="J38" s="132"/>
      <c r="K38" s="300" t="str">
        <f>IF(('Renewal Rates '!$B137+'Renewal Rates '!$B138+'Renewal Rates '!$B140+'Renewal Rates '!$B141+'Renewal Rates '!$B143+'Renewal Rates '!$B144+'Renewal Rates '!$B146+'Renewal Rates '!$B147+'Renewal Rates '!$B149+'Renewal Rates '!$B150)&lt;&gt;0, 'Cover Page'!$F$23, "")</f>
        <v/>
      </c>
      <c r="M38" s="308">
        <v>0</v>
      </c>
      <c r="O38" s="137" t="s">
        <v>435</v>
      </c>
      <c r="P38" s="116"/>
    </row>
    <row r="39" spans="1:16" ht="13.5" customHeight="1">
      <c r="A39" s="223"/>
      <c r="B39"/>
      <c r="C39" s="214"/>
      <c r="D39"/>
      <c r="E39" s="214"/>
      <c r="F39"/>
      <c r="G39" s="982"/>
      <c r="H39" s="983"/>
      <c r="I39" s="214"/>
      <c r="J39"/>
      <c r="K39" s="214"/>
      <c r="L39"/>
      <c r="M39" s="214"/>
    </row>
    <row r="40" spans="1:16">
      <c r="A40" s="298" t="s">
        <v>134</v>
      </c>
      <c r="B40" s="131"/>
      <c r="C40" s="300" t="str">
        <f>IF(('Renewal Rates '!$B153+'Renewal Rates '!$B154+'Renewal Rates '!$B155+'Renewal Rates '!$B156+'Renewal Rates '!$B157)&lt;&gt;0, 'Cover Page'!$H$32, "")</f>
        <v/>
      </c>
      <c r="E40" s="305">
        <f>'Executive Summary'!F22</f>
        <v>0</v>
      </c>
      <c r="F40" s="133"/>
      <c r="G40" s="979">
        <f t="shared" ref="G40:G46" si="4">SUM(E40*12)</f>
        <v>0</v>
      </c>
      <c r="H40" s="980"/>
      <c r="I40" s="305">
        <f>SUM(G40*M40)</f>
        <v>0</v>
      </c>
      <c r="J40" s="132"/>
      <c r="K40" s="300" t="str">
        <f>IF(('Renewal Rates '!$B153+'Renewal Rates '!$B154+'Renewal Rates '!$B155+'Renewal Rates '!$B156+'Renewal Rates '!$B157)&lt;&gt;0, 'Cover Page'!$F$23, "")</f>
        <v/>
      </c>
      <c r="M40" s="308">
        <v>0</v>
      </c>
    </row>
    <row r="41" spans="1:16" ht="13.5" customHeight="1">
      <c r="A41" s="298"/>
      <c r="B41" s="292"/>
      <c r="C41" s="303"/>
      <c r="D41" s="289"/>
      <c r="E41" s="306"/>
      <c r="F41" s="293"/>
      <c r="G41" s="982"/>
      <c r="H41" s="983"/>
      <c r="I41" s="306"/>
      <c r="J41" s="293"/>
      <c r="K41" s="303"/>
      <c r="L41" s="289"/>
      <c r="M41" s="309"/>
      <c r="N41"/>
    </row>
    <row r="42" spans="1:16">
      <c r="A42" s="298" t="s">
        <v>429</v>
      </c>
      <c r="B42" s="131"/>
      <c r="C42" s="300"/>
      <c r="E42" s="305">
        <v>0</v>
      </c>
      <c r="F42" s="133"/>
      <c r="G42" s="979">
        <f>SUM(E42*12)</f>
        <v>0</v>
      </c>
      <c r="H42" s="980"/>
      <c r="I42" s="305">
        <f>SUM(G42*M42)</f>
        <v>0</v>
      </c>
      <c r="J42" s="132"/>
      <c r="K42" s="300"/>
      <c r="M42" s="308">
        <v>0</v>
      </c>
      <c r="O42" s="112" t="s">
        <v>436</v>
      </c>
    </row>
    <row r="43" spans="1:16" ht="13.5" customHeight="1">
      <c r="A43" s="298"/>
      <c r="C43" s="301"/>
      <c r="E43" s="307"/>
      <c r="F43" s="136"/>
      <c r="G43" s="981"/>
      <c r="H43" s="981"/>
      <c r="I43" s="307"/>
      <c r="J43" s="134"/>
      <c r="K43" s="301"/>
      <c r="M43" s="301"/>
      <c r="N43"/>
      <c r="O43" s="112" t="s">
        <v>438</v>
      </c>
    </row>
    <row r="44" spans="1:16">
      <c r="A44" s="298" t="s">
        <v>49</v>
      </c>
      <c r="B44" s="131"/>
      <c r="C44" s="300"/>
      <c r="E44" s="305">
        <v>0</v>
      </c>
      <c r="F44" s="133"/>
      <c r="G44" s="979">
        <f t="shared" si="4"/>
        <v>0</v>
      </c>
      <c r="H44" s="980"/>
      <c r="I44" s="305">
        <f>SUM(G44*M44)</f>
        <v>0</v>
      </c>
      <c r="J44" s="132"/>
      <c r="K44" s="300"/>
      <c r="M44" s="308">
        <v>0</v>
      </c>
      <c r="O44" s="112" t="s">
        <v>439</v>
      </c>
    </row>
    <row r="45" spans="1:16" ht="13.5" customHeight="1">
      <c r="A45" s="223"/>
      <c r="B45"/>
      <c r="C45" s="214"/>
      <c r="D45"/>
      <c r="E45" s="214"/>
      <c r="F45"/>
      <c r="G45" s="982"/>
      <c r="H45" s="983"/>
      <c r="I45" s="214"/>
      <c r="J45"/>
      <c r="K45" s="214"/>
      <c r="L45"/>
      <c r="M45" s="214"/>
      <c r="N45"/>
    </row>
    <row r="46" spans="1:16">
      <c r="A46" s="298" t="s">
        <v>15</v>
      </c>
      <c r="B46" s="131"/>
      <c r="C46" s="300"/>
      <c r="E46" s="305">
        <v>0</v>
      </c>
      <c r="F46" s="133"/>
      <c r="G46" s="979">
        <f t="shared" si="4"/>
        <v>0</v>
      </c>
      <c r="H46" s="980"/>
      <c r="I46" s="305">
        <f>SUM(G46*M46)</f>
        <v>0</v>
      </c>
      <c r="J46" s="132"/>
      <c r="K46" s="300"/>
      <c r="M46" s="308">
        <v>0</v>
      </c>
    </row>
    <row r="47" spans="1:16" ht="13.5" customHeight="1">
      <c r="A47" s="223"/>
      <c r="B47"/>
      <c r="C47" s="214"/>
      <c r="D47"/>
      <c r="E47" s="214"/>
      <c r="F47"/>
      <c r="G47" s="982"/>
      <c r="H47" s="983"/>
      <c r="I47" s="214"/>
      <c r="J47"/>
      <c r="K47" s="214"/>
      <c r="L47"/>
      <c r="M47" s="214"/>
      <c r="N47"/>
    </row>
    <row r="48" spans="1:16">
      <c r="A48" s="298" t="s">
        <v>440</v>
      </c>
      <c r="B48" s="131"/>
      <c r="C48" s="300"/>
      <c r="E48" s="305">
        <v>0</v>
      </c>
      <c r="F48" s="133"/>
      <c r="G48" s="979">
        <f>SUM(E48*12)</f>
        <v>0</v>
      </c>
      <c r="H48" s="980"/>
      <c r="I48" s="305">
        <f>SUM(G48*M48)</f>
        <v>0</v>
      </c>
      <c r="J48" s="132"/>
      <c r="K48" s="300"/>
      <c r="M48" s="308">
        <v>0</v>
      </c>
    </row>
    <row r="49" spans="1:13" ht="15">
      <c r="A49" s="223"/>
      <c r="B49"/>
      <c r="C49" s="214"/>
      <c r="D49"/>
      <c r="E49" s="214"/>
      <c r="F49"/>
      <c r="G49" s="982"/>
      <c r="H49" s="983"/>
      <c r="I49" s="214"/>
      <c r="J49"/>
      <c r="K49" s="214"/>
      <c r="L49"/>
      <c r="M49" s="214"/>
    </row>
    <row r="50" spans="1:13">
      <c r="A50" s="298" t="s">
        <v>343</v>
      </c>
      <c r="B50" s="131"/>
      <c r="C50" s="300"/>
      <c r="E50" s="305">
        <v>0</v>
      </c>
      <c r="F50" s="133"/>
      <c r="G50" s="979">
        <f>SUM(E50*12)</f>
        <v>0</v>
      </c>
      <c r="H50" s="980"/>
      <c r="I50" s="305">
        <f>SUM(G50*M50)</f>
        <v>0</v>
      </c>
      <c r="J50" s="132"/>
      <c r="K50" s="300"/>
      <c r="M50" s="308">
        <v>0</v>
      </c>
    </row>
    <row r="51" spans="1:13" ht="15">
      <c r="A51" s="298"/>
      <c r="B51"/>
      <c r="C51" s="214"/>
      <c r="D51"/>
      <c r="E51" s="214"/>
      <c r="F51"/>
      <c r="G51" s="982"/>
      <c r="H51" s="983"/>
      <c r="I51" s="214"/>
      <c r="J51"/>
      <c r="K51" s="214"/>
      <c r="M51" s="310"/>
    </row>
    <row r="52" spans="1:13">
      <c r="A52" s="299" t="s">
        <v>441</v>
      </c>
      <c r="B52" s="115"/>
      <c r="C52" s="301"/>
      <c r="E52" s="305">
        <f>SUM(E15:E50)</f>
        <v>0</v>
      </c>
      <c r="G52" s="979">
        <f>SUM(G16:H50)</f>
        <v>0</v>
      </c>
      <c r="H52" s="980"/>
      <c r="I52" s="305">
        <f>SUM(I16:J50)</f>
        <v>0</v>
      </c>
      <c r="J52" s="134"/>
      <c r="K52" s="301"/>
      <c r="M52" s="308">
        <f>IFERROR(I52/G52,0)</f>
        <v>0</v>
      </c>
    </row>
    <row r="53" spans="1:13">
      <c r="A53" s="299"/>
      <c r="B53" s="115"/>
      <c r="C53" s="301"/>
      <c r="E53" s="301"/>
      <c r="G53" s="982"/>
      <c r="H53" s="983"/>
      <c r="I53" s="307"/>
      <c r="J53" s="134"/>
      <c r="K53" s="298"/>
      <c r="M53" s="298"/>
    </row>
    <row r="54" spans="1:13">
      <c r="A54" s="299" t="s">
        <v>442</v>
      </c>
      <c r="B54" s="115"/>
      <c r="C54" s="304"/>
      <c r="E54" s="301"/>
      <c r="G54" s="307"/>
      <c r="H54" s="307"/>
      <c r="I54" s="307"/>
      <c r="J54" s="134"/>
      <c r="K54" s="298"/>
      <c r="M54" s="298"/>
    </row>
    <row r="55" spans="1:13">
      <c r="A55" s="298"/>
      <c r="C55" s="301"/>
      <c r="E55" s="301"/>
      <c r="G55" s="301"/>
      <c r="H55" s="301"/>
      <c r="I55" s="298"/>
      <c r="K55" s="298"/>
      <c r="M55" s="298"/>
    </row>
    <row r="56" spans="1:13">
      <c r="A56" s="299" t="s">
        <v>443</v>
      </c>
      <c r="B56" s="115"/>
      <c r="C56" s="304"/>
      <c r="E56" s="298"/>
      <c r="G56" s="298"/>
      <c r="H56" s="298"/>
      <c r="I56" s="298"/>
      <c r="K56" s="298"/>
      <c r="M56" s="298"/>
    </row>
    <row r="57" spans="1:13">
      <c r="A57" s="115"/>
      <c r="B57" s="115"/>
      <c r="C57" s="115"/>
    </row>
    <row r="58" spans="1:13">
      <c r="A58" s="115"/>
      <c r="B58" s="115"/>
      <c r="C58" s="115"/>
    </row>
    <row r="69" spans="1:1">
      <c r="A69" s="115" t="s">
        <v>442</v>
      </c>
    </row>
    <row r="71" spans="1:1">
      <c r="A71" s="115" t="s">
        <v>443</v>
      </c>
    </row>
  </sheetData>
  <mergeCells count="46">
    <mergeCell ref="G53:H53"/>
    <mergeCell ref="G29:H29"/>
    <mergeCell ref="G30:H30"/>
    <mergeCell ref="G51:H51"/>
    <mergeCell ref="G16:H16"/>
    <mergeCell ref="G17:H17"/>
    <mergeCell ref="G18:H18"/>
    <mergeCell ref="G19:H19"/>
    <mergeCell ref="G20:H20"/>
    <mergeCell ref="G21:H21"/>
    <mergeCell ref="G22:H22"/>
    <mergeCell ref="G23:H23"/>
    <mergeCell ref="G26:H26"/>
    <mergeCell ref="G27:H27"/>
    <mergeCell ref="G50:H50"/>
    <mergeCell ref="G52:H52"/>
    <mergeCell ref="S28:AA30"/>
    <mergeCell ref="G45:H45"/>
    <mergeCell ref="G39:H39"/>
    <mergeCell ref="G47:H47"/>
    <mergeCell ref="G49:H49"/>
    <mergeCell ref="G32:H32"/>
    <mergeCell ref="G28:H28"/>
    <mergeCell ref="G31:H31"/>
    <mergeCell ref="G44:H44"/>
    <mergeCell ref="G33:H33"/>
    <mergeCell ref="G36:H36"/>
    <mergeCell ref="G37:H37"/>
    <mergeCell ref="G46:H46"/>
    <mergeCell ref="G48:H48"/>
    <mergeCell ref="G41:H41"/>
    <mergeCell ref="A1:P1"/>
    <mergeCell ref="C3:I3"/>
    <mergeCell ref="H5:I5"/>
    <mergeCell ref="H7:I7"/>
    <mergeCell ref="G15:H15"/>
    <mergeCell ref="P9:T9"/>
    <mergeCell ref="G14:H14"/>
    <mergeCell ref="G24:H24"/>
    <mergeCell ref="G25:H25"/>
    <mergeCell ref="G42:H42"/>
    <mergeCell ref="G43:H43"/>
    <mergeCell ref="G34:H34"/>
    <mergeCell ref="G35:H35"/>
    <mergeCell ref="G40:H40"/>
    <mergeCell ref="G38:H38"/>
  </mergeCells>
  <printOptions horizontalCentered="1"/>
  <pageMargins left="0.405092592592593" right="0.47453703703703698" top="0.39270833333333333" bottom="0.94488188976377996" header="0.31496062992126" footer="0.31496062992126"/>
  <pageSetup scale="29" fitToHeight="0" orientation="portrait" r:id="rId1"/>
  <headerFooter>
    <oddHeader>&amp;L&amp;"Arial,Regular"&amp;9NFP Canada&amp;R&amp;"Arial,Regular"&amp;9&amp;K000000Page &amp;P</oddHeader>
    <oddFooter>&amp;L&amp;"Arial,Bold"&amp;9&amp;K4C5B52Renewal Report. &amp;"Arial,Regular"Insurance services provided through NFP Canada, 
a subsidiary of NFP Corp. (NFP).&amp;R&amp;G</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9217" r:id="rId4" name="Button 1">
              <controlPr defaultSize="0" print="0" autoFill="0" autoPict="0" macro="[0]!Finalize">
                <anchor moveWithCells="1" sizeWithCells="1">
                  <from>
                    <xdr:col>14</xdr:col>
                    <xdr:colOff>38100</xdr:colOff>
                    <xdr:row>5</xdr:row>
                    <xdr:rowOff>25400</xdr:rowOff>
                  </from>
                  <to>
                    <xdr:col>15</xdr:col>
                    <xdr:colOff>558800</xdr:colOff>
                    <xdr:row>6</xdr:row>
                    <xdr:rowOff>419100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1">
    <tabColor rgb="FFFF0000"/>
  </sheetPr>
  <dimension ref="A1:Z82"/>
  <sheetViews>
    <sheetView showGridLines="0" view="pageLayout" zoomScale="90" zoomScaleNormal="100" zoomScalePageLayoutView="90" workbookViewId="0">
      <selection activeCell="F27" sqref="F27:I27"/>
    </sheetView>
  </sheetViews>
  <sheetFormatPr baseColWidth="10" defaultColWidth="9.1640625" defaultRowHeight="15"/>
  <cols>
    <col min="1" max="1" width="9.6640625" customWidth="1"/>
    <col min="2" max="2" width="8.5" customWidth="1"/>
    <col min="3" max="3" width="10" customWidth="1"/>
    <col min="4" max="4" width="9" customWidth="1"/>
    <col min="5" max="5" width="10" customWidth="1"/>
    <col min="6" max="6" width="9" customWidth="1"/>
    <col min="7" max="7" width="10" customWidth="1"/>
    <col min="8" max="8" width="9.6640625" customWidth="1"/>
    <col min="9" max="9" width="10" customWidth="1"/>
    <col min="10" max="10" width="10.1640625" customWidth="1"/>
    <col min="11" max="13" width="9.1640625" hidden="1" customWidth="1"/>
    <col min="14" max="14" width="10.5" hidden="1" customWidth="1"/>
    <col min="15" max="15" width="9.33203125" hidden="1" customWidth="1"/>
    <col min="16" max="16" width="7.5" hidden="1" customWidth="1"/>
    <col min="17" max="22" width="9.1640625" hidden="1" customWidth="1"/>
    <col min="23" max="23" width="7.1640625" hidden="1" customWidth="1"/>
    <col min="24" max="24" width="9.1640625" hidden="1" customWidth="1"/>
    <col min="25" max="25" width="8.1640625" hidden="1" customWidth="1"/>
    <col min="26" max="26" width="9.1640625" hidden="1" customWidth="1"/>
  </cols>
  <sheetData>
    <row r="1" spans="1:26" ht="23.25" customHeight="1"/>
    <row r="2" spans="1:26" s="1" customFormat="1" ht="6" customHeight="1">
      <c r="A2" s="1004" t="s">
        <v>10</v>
      </c>
      <c r="B2" s="1004"/>
      <c r="C2" s="1004"/>
      <c r="D2" s="1004"/>
      <c r="E2" s="1004"/>
      <c r="F2" s="1004"/>
      <c r="G2" s="1004"/>
      <c r="H2" s="1004"/>
      <c r="I2" s="1004"/>
      <c r="J2" s="1004"/>
    </row>
    <row r="3" spans="1:26" s="1" customFormat="1" ht="16.5" customHeight="1">
      <c r="A3" s="1004"/>
      <c r="B3" s="1004"/>
      <c r="C3" s="1004"/>
      <c r="D3" s="1004"/>
      <c r="E3" s="1004"/>
      <c r="F3" s="1004"/>
      <c r="G3" s="1004"/>
      <c r="H3" s="1004"/>
      <c r="I3" s="1004"/>
      <c r="J3" s="1004"/>
    </row>
    <row r="4" spans="1:26" s="1" customFormat="1" ht="15" customHeight="1">
      <c r="A4" s="1084" t="s">
        <v>801</v>
      </c>
      <c r="B4" s="1084"/>
      <c r="C4" s="1084"/>
      <c r="D4" s="1084"/>
      <c r="E4" s="1084"/>
      <c r="F4" s="1084"/>
      <c r="G4" s="1084"/>
      <c r="H4" s="1084"/>
      <c r="I4" s="1084"/>
      <c r="J4" s="1084"/>
    </row>
    <row r="5" spans="1:26" s="1" customFormat="1" ht="13.5" customHeight="1">
      <c r="A5" s="1084"/>
      <c r="B5" s="1084"/>
      <c r="C5" s="1084"/>
      <c r="D5" s="1084"/>
      <c r="E5" s="1084"/>
      <c r="F5" s="1084"/>
      <c r="G5" s="1084"/>
      <c r="H5" s="1084"/>
      <c r="I5" s="1084"/>
      <c r="J5" s="1084"/>
    </row>
    <row r="6" spans="1:26" s="1" customFormat="1" ht="15.75" hidden="1" customHeight="1">
      <c r="A6" s="1136"/>
      <c r="B6" s="1136"/>
      <c r="C6" s="1136"/>
      <c r="D6" s="1136"/>
      <c r="E6" s="1136"/>
      <c r="F6" s="1136"/>
      <c r="G6" s="1136"/>
      <c r="H6" s="1136"/>
      <c r="I6" s="1136"/>
      <c r="J6" s="1136"/>
    </row>
    <row r="7" spans="1:26" s="1" customFormat="1" ht="6" customHeight="1">
      <c r="A7" s="1136"/>
      <c r="B7" s="1136"/>
      <c r="C7" s="1136"/>
      <c r="D7" s="1136"/>
      <c r="E7" s="1136"/>
      <c r="F7" s="1136"/>
      <c r="G7" s="1136"/>
      <c r="H7" s="1136"/>
      <c r="I7" s="1136"/>
      <c r="J7" s="1136"/>
    </row>
    <row r="8" spans="1:26" s="1" customFormat="1" ht="4.5" hidden="1" customHeight="1" thickBot="1"/>
    <row r="9" spans="1:26" s="1" customFormat="1" ht="14.25" customHeight="1">
      <c r="A9" s="1129" t="s">
        <v>73</v>
      </c>
      <c r="B9" s="1124" t="s">
        <v>31</v>
      </c>
      <c r="C9" s="1124"/>
      <c r="D9" s="1124"/>
      <c r="E9" s="1124"/>
      <c r="F9" s="1125" t="s">
        <v>74</v>
      </c>
      <c r="G9" s="1125"/>
      <c r="H9" s="1125"/>
      <c r="I9" s="1125"/>
      <c r="J9" s="1043" t="s">
        <v>75</v>
      </c>
      <c r="Q9" s="1104" t="s">
        <v>31</v>
      </c>
      <c r="R9" s="1104"/>
      <c r="T9" s="1104" t="s">
        <v>657</v>
      </c>
      <c r="U9" s="1104"/>
    </row>
    <row r="10" spans="1:26" ht="14.25" customHeight="1">
      <c r="A10" s="1077"/>
      <c r="B10" s="1126" t="s">
        <v>462</v>
      </c>
      <c r="C10" s="1127"/>
      <c r="D10" s="1128" t="s">
        <v>466</v>
      </c>
      <c r="E10" s="1127"/>
      <c r="F10" s="1128" t="s">
        <v>462</v>
      </c>
      <c r="G10" s="1127"/>
      <c r="H10" s="1128" t="s">
        <v>466</v>
      </c>
      <c r="I10" s="1127"/>
      <c r="J10" s="1043"/>
      <c r="K10" s="149" t="s">
        <v>450</v>
      </c>
      <c r="L10" s="149" t="s">
        <v>31</v>
      </c>
      <c r="M10" s="149" t="s">
        <v>74</v>
      </c>
      <c r="N10" s="149" t="s">
        <v>77</v>
      </c>
      <c r="O10" s="149" t="s">
        <v>77</v>
      </c>
      <c r="P10" s="233"/>
      <c r="Q10" s="265" t="s">
        <v>658</v>
      </c>
      <c r="R10" s="265" t="s">
        <v>466</v>
      </c>
      <c r="S10" s="208"/>
      <c r="T10" s="265" t="s">
        <v>658</v>
      </c>
      <c r="U10" s="265" t="s">
        <v>466</v>
      </c>
      <c r="V10" s="208"/>
      <c r="W10" s="208"/>
      <c r="X10" s="208"/>
      <c r="Y10" s="1105" t="s">
        <v>39</v>
      </c>
      <c r="Z10" s="1105"/>
    </row>
    <row r="11" spans="1:26" ht="14.25" customHeight="1">
      <c r="A11" s="1130"/>
      <c r="B11" s="458" t="s">
        <v>76</v>
      </c>
      <c r="C11" s="458" t="s">
        <v>77</v>
      </c>
      <c r="D11" s="458" t="s">
        <v>76</v>
      </c>
      <c r="E11" s="458" t="s">
        <v>77</v>
      </c>
      <c r="F11" s="458" t="s">
        <v>76</v>
      </c>
      <c r="G11" s="458" t="s">
        <v>77</v>
      </c>
      <c r="H11" s="458" t="s">
        <v>76</v>
      </c>
      <c r="I11" s="459" t="s">
        <v>77</v>
      </c>
      <c r="J11" s="1043"/>
      <c r="K11" s="149"/>
      <c r="L11" s="149"/>
      <c r="M11" s="149"/>
      <c r="N11" s="149" t="s">
        <v>31</v>
      </c>
      <c r="O11" s="149" t="s">
        <v>74</v>
      </c>
      <c r="P11" s="233"/>
      <c r="Q11" s="266"/>
      <c r="R11" s="267"/>
      <c r="S11" s="268"/>
      <c r="T11" s="266"/>
      <c r="U11" s="267"/>
      <c r="V11" s="268"/>
      <c r="W11" s="268"/>
      <c r="X11" s="269"/>
      <c r="Y11" s="269" t="s">
        <v>462</v>
      </c>
      <c r="Z11" s="269" t="s">
        <v>466</v>
      </c>
    </row>
    <row r="12" spans="1:26" ht="14.25" customHeight="1">
      <c r="A12" s="479" t="s">
        <v>79</v>
      </c>
      <c r="B12" s="438">
        <v>0</v>
      </c>
      <c r="C12" s="385">
        <v>0</v>
      </c>
      <c r="D12" s="438">
        <v>0</v>
      </c>
      <c r="E12" s="385">
        <v>0</v>
      </c>
      <c r="F12" s="438">
        <v>0</v>
      </c>
      <c r="G12" s="385">
        <v>0</v>
      </c>
      <c r="H12" s="438">
        <v>0</v>
      </c>
      <c r="I12" s="385">
        <v>0</v>
      </c>
      <c r="J12" s="817" t="str">
        <f>IFERROR((C12+E12)/(I12+G12)-1,"n/a")</f>
        <v>n/a</v>
      </c>
      <c r="K12">
        <v>22.5</v>
      </c>
      <c r="L12">
        <f>ROUND((C12+E12)*K12,2)</f>
        <v>0</v>
      </c>
      <c r="M12">
        <f>ROUND((G12+I12)*K12,2)</f>
        <v>0</v>
      </c>
      <c r="N12" s="164">
        <f t="shared" ref="N12:N21" si="0">C12+E12</f>
        <v>0</v>
      </c>
      <c r="O12" s="164">
        <f t="shared" ref="O12:O21" si="1">G12+I12</f>
        <v>0</v>
      </c>
      <c r="P12" s="233"/>
      <c r="Q12" s="270">
        <f t="shared" ref="Q12:Q21" si="2">C12*Y12/1000</f>
        <v>0</v>
      </c>
      <c r="R12" s="271">
        <f t="shared" ref="R12:R21" si="3">E12*Z12/1000</f>
        <v>0</v>
      </c>
      <c r="S12" s="208"/>
      <c r="T12" s="270">
        <f t="shared" ref="T12:T21" si="4">G12*Y12/1000</f>
        <v>0</v>
      </c>
      <c r="U12" s="271">
        <f t="shared" ref="U12:U21" si="5">I12*Z12/1000</f>
        <v>0</v>
      </c>
      <c r="V12" s="208"/>
      <c r="W12" s="208"/>
      <c r="X12" s="269" t="s">
        <v>659</v>
      </c>
      <c r="Y12" s="269">
        <v>0.23158000000000001</v>
      </c>
      <c r="Z12" s="269">
        <v>0.33811000000000002</v>
      </c>
    </row>
    <row r="13" spans="1:26" ht="14.25" customHeight="1">
      <c r="A13" s="479" t="s">
        <v>80</v>
      </c>
      <c r="B13" s="438">
        <v>0</v>
      </c>
      <c r="C13" s="385">
        <v>0</v>
      </c>
      <c r="D13" s="438">
        <v>0</v>
      </c>
      <c r="E13" s="385">
        <v>0</v>
      </c>
      <c r="F13" s="438">
        <v>0</v>
      </c>
      <c r="G13" s="385">
        <v>0</v>
      </c>
      <c r="H13" s="438">
        <v>0</v>
      </c>
      <c r="I13" s="385">
        <v>0</v>
      </c>
      <c r="J13" s="817" t="str">
        <f t="shared" ref="J13:J22" si="6">IFERROR((C13+E13)/(I13+G13)-1,"n/a")</f>
        <v>n/a</v>
      </c>
      <c r="K13">
        <v>27</v>
      </c>
      <c r="L13">
        <f>ROUND((C13+E13)*K13,2)</f>
        <v>0</v>
      </c>
      <c r="M13">
        <f t="shared" ref="M13:M21" si="7">ROUND((G13+I13)*K13,2)</f>
        <v>0</v>
      </c>
      <c r="N13" s="164">
        <f t="shared" si="0"/>
        <v>0</v>
      </c>
      <c r="O13" s="164">
        <f t="shared" si="1"/>
        <v>0</v>
      </c>
      <c r="P13" s="233"/>
      <c r="Q13" s="270">
        <f t="shared" si="2"/>
        <v>0</v>
      </c>
      <c r="R13" s="271">
        <f t="shared" si="3"/>
        <v>0</v>
      </c>
      <c r="S13" s="208"/>
      <c r="T13" s="270">
        <f t="shared" si="4"/>
        <v>0</v>
      </c>
      <c r="U13" s="271">
        <f t="shared" si="5"/>
        <v>0</v>
      </c>
      <c r="V13" s="208"/>
      <c r="W13" s="208"/>
      <c r="X13" s="269" t="s">
        <v>660</v>
      </c>
      <c r="Y13" s="269">
        <v>0.28974</v>
      </c>
      <c r="Z13" s="269">
        <v>0.47227999999999998</v>
      </c>
    </row>
    <row r="14" spans="1:26" ht="14.25" customHeight="1">
      <c r="A14" s="479" t="s">
        <v>81</v>
      </c>
      <c r="B14" s="438">
        <v>0</v>
      </c>
      <c r="C14" s="385">
        <v>0</v>
      </c>
      <c r="D14" s="438">
        <v>0</v>
      </c>
      <c r="E14" s="385">
        <v>0</v>
      </c>
      <c r="F14" s="438">
        <v>0</v>
      </c>
      <c r="G14" s="385">
        <v>0</v>
      </c>
      <c r="H14" s="438">
        <v>0</v>
      </c>
      <c r="I14" s="385">
        <v>0</v>
      </c>
      <c r="J14" s="817" t="str">
        <f t="shared" si="6"/>
        <v>n/a</v>
      </c>
      <c r="K14">
        <v>32</v>
      </c>
      <c r="L14">
        <f t="shared" ref="L14:L21" si="8">ROUND((C14+E14)*K14,2)</f>
        <v>0</v>
      </c>
      <c r="M14">
        <f t="shared" si="7"/>
        <v>0</v>
      </c>
      <c r="N14" s="164">
        <f t="shared" si="0"/>
        <v>0</v>
      </c>
      <c r="O14" s="164">
        <f t="shared" si="1"/>
        <v>0</v>
      </c>
      <c r="P14" s="233"/>
      <c r="Q14" s="270">
        <f t="shared" si="2"/>
        <v>0</v>
      </c>
      <c r="R14" s="271">
        <f t="shared" si="3"/>
        <v>0</v>
      </c>
      <c r="S14" s="208"/>
      <c r="T14" s="270">
        <f t="shared" si="4"/>
        <v>0</v>
      </c>
      <c r="U14" s="271">
        <f t="shared" si="5"/>
        <v>0</v>
      </c>
      <c r="V14" s="208"/>
      <c r="W14" s="208"/>
      <c r="X14" s="269" t="s">
        <v>661</v>
      </c>
      <c r="Y14" s="269">
        <v>0.47039999999999998</v>
      </c>
      <c r="Z14" s="269">
        <v>0.80908999999999998</v>
      </c>
    </row>
    <row r="15" spans="1:26" ht="14.25" customHeight="1">
      <c r="A15" s="479" t="s">
        <v>82</v>
      </c>
      <c r="B15" s="438">
        <v>0</v>
      </c>
      <c r="C15" s="385">
        <v>0</v>
      </c>
      <c r="D15" s="438">
        <v>0</v>
      </c>
      <c r="E15" s="385">
        <v>0</v>
      </c>
      <c r="F15" s="438">
        <v>0</v>
      </c>
      <c r="G15" s="385">
        <v>0</v>
      </c>
      <c r="H15" s="438">
        <v>0</v>
      </c>
      <c r="I15" s="385">
        <v>0</v>
      </c>
      <c r="J15" s="817" t="str">
        <f t="shared" si="6"/>
        <v>n/a</v>
      </c>
      <c r="K15">
        <v>37</v>
      </c>
      <c r="L15">
        <f t="shared" si="8"/>
        <v>0</v>
      </c>
      <c r="M15">
        <f t="shared" si="7"/>
        <v>0</v>
      </c>
      <c r="N15" s="164">
        <f t="shared" si="0"/>
        <v>0</v>
      </c>
      <c r="O15" s="164">
        <f t="shared" si="1"/>
        <v>0</v>
      </c>
      <c r="P15" s="233"/>
      <c r="Q15" s="270">
        <f>C15*Y15/1000</f>
        <v>0</v>
      </c>
      <c r="R15" s="271">
        <f t="shared" si="3"/>
        <v>0</v>
      </c>
      <c r="S15" s="208"/>
      <c r="T15" s="270">
        <f t="shared" si="4"/>
        <v>0</v>
      </c>
      <c r="U15" s="271">
        <f t="shared" si="5"/>
        <v>0</v>
      </c>
      <c r="V15" s="208"/>
      <c r="W15" s="208"/>
      <c r="X15" s="269" t="s">
        <v>662</v>
      </c>
      <c r="Y15" s="269">
        <v>0.65051999999999999</v>
      </c>
      <c r="Z15" s="269">
        <v>1.0668500000000001</v>
      </c>
    </row>
    <row r="16" spans="1:26" ht="14.25" customHeight="1">
      <c r="A16" s="479" t="s">
        <v>83</v>
      </c>
      <c r="B16" s="438">
        <v>0</v>
      </c>
      <c r="C16" s="385">
        <v>0</v>
      </c>
      <c r="D16" s="438">
        <v>0</v>
      </c>
      <c r="E16" s="385">
        <v>0</v>
      </c>
      <c r="F16" s="438">
        <v>0</v>
      </c>
      <c r="G16" s="385">
        <v>0</v>
      </c>
      <c r="H16" s="438">
        <v>0</v>
      </c>
      <c r="I16" s="385">
        <v>0</v>
      </c>
      <c r="J16" s="817" t="str">
        <f t="shared" si="6"/>
        <v>n/a</v>
      </c>
      <c r="K16">
        <v>42</v>
      </c>
      <c r="L16">
        <f t="shared" si="8"/>
        <v>0</v>
      </c>
      <c r="M16">
        <f t="shared" si="7"/>
        <v>0</v>
      </c>
      <c r="N16" s="164">
        <f t="shared" si="0"/>
        <v>0</v>
      </c>
      <c r="O16" s="164">
        <f t="shared" si="1"/>
        <v>0</v>
      </c>
      <c r="P16" s="233"/>
      <c r="Q16" s="270">
        <f>C16*Y16/1000</f>
        <v>0</v>
      </c>
      <c r="R16" s="271">
        <f t="shared" si="3"/>
        <v>0</v>
      </c>
      <c r="S16" s="208"/>
      <c r="T16" s="270">
        <f t="shared" si="4"/>
        <v>0</v>
      </c>
      <c r="U16" s="271">
        <f t="shared" si="5"/>
        <v>0</v>
      </c>
      <c r="V16" s="208"/>
      <c r="W16" s="208"/>
      <c r="X16" s="269" t="s">
        <v>663</v>
      </c>
      <c r="Y16" s="269">
        <v>0.97270000000000001</v>
      </c>
      <c r="Z16" s="269">
        <v>1.6438600000000001</v>
      </c>
    </row>
    <row r="17" spans="1:26" ht="14.25" customHeight="1">
      <c r="A17" s="479" t="s">
        <v>84</v>
      </c>
      <c r="B17" s="438">
        <v>0</v>
      </c>
      <c r="C17" s="385">
        <v>0</v>
      </c>
      <c r="D17" s="438">
        <v>0</v>
      </c>
      <c r="E17" s="385">
        <v>0</v>
      </c>
      <c r="F17" s="438">
        <v>0</v>
      </c>
      <c r="G17" s="385">
        <v>0</v>
      </c>
      <c r="H17" s="438">
        <v>0</v>
      </c>
      <c r="I17" s="385">
        <v>0</v>
      </c>
      <c r="J17" s="817" t="str">
        <f t="shared" si="6"/>
        <v>n/a</v>
      </c>
      <c r="K17">
        <v>47</v>
      </c>
      <c r="L17">
        <f t="shared" si="8"/>
        <v>0</v>
      </c>
      <c r="M17">
        <f t="shared" si="7"/>
        <v>0</v>
      </c>
      <c r="N17" s="164">
        <f t="shared" si="0"/>
        <v>0</v>
      </c>
      <c r="O17" s="164">
        <f t="shared" si="1"/>
        <v>0</v>
      </c>
      <c r="P17" s="233"/>
      <c r="Q17" s="270">
        <f t="shared" si="2"/>
        <v>0</v>
      </c>
      <c r="R17" s="271">
        <f t="shared" si="3"/>
        <v>0</v>
      </c>
      <c r="S17" s="208"/>
      <c r="T17" s="270">
        <f t="shared" si="4"/>
        <v>0</v>
      </c>
      <c r="U17" s="271">
        <f t="shared" si="5"/>
        <v>0</v>
      </c>
      <c r="V17" s="208"/>
      <c r="W17" s="208"/>
      <c r="X17" s="269" t="s">
        <v>664</v>
      </c>
      <c r="Y17" s="269">
        <v>1.6023400000000001</v>
      </c>
      <c r="Z17" s="269">
        <v>2.2753199999999998</v>
      </c>
    </row>
    <row r="18" spans="1:26" ht="14.25" customHeight="1">
      <c r="A18" s="479" t="s">
        <v>85</v>
      </c>
      <c r="B18" s="438">
        <v>0</v>
      </c>
      <c r="C18" s="385">
        <v>0</v>
      </c>
      <c r="D18" s="438">
        <v>0</v>
      </c>
      <c r="E18" s="385">
        <v>0</v>
      </c>
      <c r="F18" s="438">
        <v>0</v>
      </c>
      <c r="G18" s="385">
        <v>0</v>
      </c>
      <c r="H18" s="438">
        <v>0</v>
      </c>
      <c r="I18" s="385">
        <v>0</v>
      </c>
      <c r="J18" s="817" t="str">
        <f t="shared" si="6"/>
        <v>n/a</v>
      </c>
      <c r="K18">
        <v>52</v>
      </c>
      <c r="L18">
        <f t="shared" si="8"/>
        <v>0</v>
      </c>
      <c r="M18">
        <f t="shared" si="7"/>
        <v>0</v>
      </c>
      <c r="N18" s="164">
        <f t="shared" si="0"/>
        <v>0</v>
      </c>
      <c r="O18" s="164">
        <f t="shared" si="1"/>
        <v>0</v>
      </c>
      <c r="P18" s="233"/>
      <c r="Q18" s="270">
        <f t="shared" si="2"/>
        <v>0</v>
      </c>
      <c r="R18" s="271">
        <f t="shared" si="3"/>
        <v>0</v>
      </c>
      <c r="S18" s="208"/>
      <c r="T18" s="270">
        <f t="shared" si="4"/>
        <v>0</v>
      </c>
      <c r="U18" s="271">
        <f t="shared" si="5"/>
        <v>0</v>
      </c>
      <c r="V18" s="208"/>
      <c r="W18" s="208"/>
      <c r="X18" s="269" t="s">
        <v>665</v>
      </c>
      <c r="Y18" s="269">
        <v>2.6268699999999998</v>
      </c>
      <c r="Z18" s="269">
        <v>2.9946299999999999</v>
      </c>
    </row>
    <row r="19" spans="1:26" ht="14.25" customHeight="1">
      <c r="A19" s="479" t="s">
        <v>86</v>
      </c>
      <c r="B19" s="438">
        <v>0</v>
      </c>
      <c r="C19" s="385">
        <v>0</v>
      </c>
      <c r="D19" s="438">
        <v>0</v>
      </c>
      <c r="E19" s="385">
        <v>0</v>
      </c>
      <c r="F19" s="438">
        <v>0</v>
      </c>
      <c r="G19" s="385">
        <v>0</v>
      </c>
      <c r="H19" s="438">
        <v>0</v>
      </c>
      <c r="I19" s="385">
        <v>0</v>
      </c>
      <c r="J19" s="817" t="str">
        <f t="shared" si="6"/>
        <v>n/a</v>
      </c>
      <c r="K19">
        <v>57</v>
      </c>
      <c r="L19">
        <f t="shared" si="8"/>
        <v>0</v>
      </c>
      <c r="M19">
        <f t="shared" si="7"/>
        <v>0</v>
      </c>
      <c r="N19" s="164">
        <f t="shared" si="0"/>
        <v>0</v>
      </c>
      <c r="O19" s="164">
        <f t="shared" si="1"/>
        <v>0</v>
      </c>
      <c r="P19" s="233"/>
      <c r="Q19" s="270">
        <f t="shared" si="2"/>
        <v>0</v>
      </c>
      <c r="R19" s="271">
        <f t="shared" si="3"/>
        <v>0</v>
      </c>
      <c r="S19" s="208"/>
      <c r="T19" s="270">
        <f t="shared" si="4"/>
        <v>0</v>
      </c>
      <c r="U19" s="271">
        <f t="shared" si="5"/>
        <v>0</v>
      </c>
      <c r="V19" s="208"/>
      <c r="W19" s="208"/>
      <c r="X19" s="269" t="s">
        <v>666</v>
      </c>
      <c r="Y19" s="269">
        <v>4.08094</v>
      </c>
      <c r="Z19" s="269">
        <v>3.7544599999999999</v>
      </c>
    </row>
    <row r="20" spans="1:26" ht="14.25" customHeight="1">
      <c r="A20" s="479" t="s">
        <v>87</v>
      </c>
      <c r="B20" s="438">
        <v>0</v>
      </c>
      <c r="C20" s="385">
        <v>0</v>
      </c>
      <c r="D20" s="438">
        <v>0</v>
      </c>
      <c r="E20" s="385">
        <v>0</v>
      </c>
      <c r="F20" s="438">
        <v>0</v>
      </c>
      <c r="G20" s="385">
        <v>0</v>
      </c>
      <c r="H20" s="438">
        <v>0</v>
      </c>
      <c r="I20" s="385">
        <v>0</v>
      </c>
      <c r="J20" s="817" t="str">
        <f t="shared" si="6"/>
        <v>n/a</v>
      </c>
      <c r="K20">
        <v>62</v>
      </c>
      <c r="L20">
        <f t="shared" si="8"/>
        <v>0</v>
      </c>
      <c r="M20">
        <f t="shared" si="7"/>
        <v>0</v>
      </c>
      <c r="N20" s="164">
        <f t="shared" si="0"/>
        <v>0</v>
      </c>
      <c r="O20" s="164">
        <f t="shared" si="1"/>
        <v>0</v>
      </c>
      <c r="P20" s="233"/>
      <c r="Q20" s="270">
        <f t="shared" si="2"/>
        <v>0</v>
      </c>
      <c r="R20" s="271">
        <f t="shared" si="3"/>
        <v>0</v>
      </c>
      <c r="S20" s="208"/>
      <c r="T20" s="270">
        <f t="shared" si="4"/>
        <v>0</v>
      </c>
      <c r="U20" s="271">
        <f t="shared" si="5"/>
        <v>0</v>
      </c>
      <c r="V20" s="208"/>
      <c r="W20" s="208"/>
      <c r="X20" s="269" t="s">
        <v>667</v>
      </c>
      <c r="Y20" s="269">
        <v>3.7176800000000001</v>
      </c>
      <c r="Z20" s="269">
        <v>3.3087399999999998</v>
      </c>
    </row>
    <row r="21" spans="1:26" ht="14.25" customHeight="1">
      <c r="A21" s="479" t="s">
        <v>860</v>
      </c>
      <c r="B21" s="438">
        <v>0</v>
      </c>
      <c r="C21" s="385">
        <v>0</v>
      </c>
      <c r="D21" s="438">
        <v>0</v>
      </c>
      <c r="E21" s="385">
        <v>0</v>
      </c>
      <c r="F21" s="438">
        <v>0</v>
      </c>
      <c r="G21" s="385">
        <v>0</v>
      </c>
      <c r="H21" s="438">
        <v>0</v>
      </c>
      <c r="I21" s="385">
        <v>0</v>
      </c>
      <c r="J21" s="817" t="str">
        <f t="shared" si="6"/>
        <v>n/a</v>
      </c>
      <c r="K21">
        <v>67</v>
      </c>
      <c r="L21">
        <f t="shared" si="8"/>
        <v>0</v>
      </c>
      <c r="M21">
        <f t="shared" si="7"/>
        <v>0</v>
      </c>
      <c r="N21" s="164">
        <f t="shared" si="0"/>
        <v>0</v>
      </c>
      <c r="O21" s="164">
        <f t="shared" si="1"/>
        <v>0</v>
      </c>
      <c r="P21" s="233"/>
      <c r="Q21" s="270">
        <f t="shared" si="2"/>
        <v>0</v>
      </c>
      <c r="R21" s="271">
        <f t="shared" si="3"/>
        <v>0</v>
      </c>
      <c r="S21" s="208"/>
      <c r="T21" s="270">
        <f t="shared" si="4"/>
        <v>0</v>
      </c>
      <c r="U21" s="271">
        <f t="shared" si="5"/>
        <v>0</v>
      </c>
      <c r="V21" s="208"/>
      <c r="W21" s="208"/>
      <c r="X21" s="269" t="s">
        <v>668</v>
      </c>
      <c r="Y21" s="269">
        <v>3.7176800000000001</v>
      </c>
      <c r="Z21" s="269">
        <v>3.3087399999999998</v>
      </c>
    </row>
    <row r="22" spans="1:26" ht="14.25" customHeight="1">
      <c r="A22" s="814" t="s">
        <v>66</v>
      </c>
      <c r="B22" s="815">
        <f t="shared" ref="B22:I22" si="9">SUM(B12:B21)</f>
        <v>0</v>
      </c>
      <c r="C22" s="417">
        <f t="shared" si="9"/>
        <v>0</v>
      </c>
      <c r="D22" s="815">
        <f t="shared" si="9"/>
        <v>0</v>
      </c>
      <c r="E22" s="417">
        <f t="shared" si="9"/>
        <v>0</v>
      </c>
      <c r="F22" s="815">
        <f t="shared" si="9"/>
        <v>0</v>
      </c>
      <c r="G22" s="417">
        <f t="shared" si="9"/>
        <v>0</v>
      </c>
      <c r="H22" s="815">
        <f t="shared" si="9"/>
        <v>0</v>
      </c>
      <c r="I22" s="417">
        <f t="shared" si="9"/>
        <v>0</v>
      </c>
      <c r="J22" s="418" t="str">
        <f t="shared" si="6"/>
        <v>n/a</v>
      </c>
      <c r="L22">
        <f>SUM(L12:L21)</f>
        <v>0</v>
      </c>
      <c r="M22">
        <f>SUM(M12:M21)</f>
        <v>0</v>
      </c>
      <c r="P22" s="233"/>
      <c r="Q22" s="274">
        <f>SUM(Q12:Q21)</f>
        <v>0</v>
      </c>
      <c r="R22" s="274">
        <f>SUM(R12:R21)</f>
        <v>0</v>
      </c>
      <c r="S22" s="275">
        <f>Q22+R22</f>
        <v>0</v>
      </c>
      <c r="T22" s="274">
        <f>SUM(T12:T21)</f>
        <v>0</v>
      </c>
      <c r="U22" s="274">
        <f>SUM(U12:U21)</f>
        <v>0</v>
      </c>
      <c r="V22" s="275">
        <f>T22+U22</f>
        <v>0</v>
      </c>
      <c r="W22" s="208"/>
      <c r="X22" s="208"/>
      <c r="Y22" s="208"/>
      <c r="Z22" s="269"/>
    </row>
    <row r="23" spans="1:26" ht="9.75" hidden="1" customHeight="1" thickBot="1">
      <c r="A23" s="1134"/>
      <c r="B23" s="1134"/>
      <c r="C23" s="1134"/>
      <c r="D23" s="1134"/>
      <c r="E23" s="1134"/>
      <c r="F23" s="1134"/>
      <c r="G23" s="1134"/>
      <c r="H23" s="1134"/>
      <c r="I23" s="1134"/>
      <c r="J23" s="1134"/>
      <c r="P23" s="233"/>
      <c r="Q23" s="276"/>
      <c r="R23" s="276"/>
      <c r="S23" s="277">
        <f>IFERROR(S22/(C22+E22),0)</f>
        <v>0</v>
      </c>
      <c r="T23" s="208"/>
      <c r="U23" s="208"/>
      <c r="V23" s="277">
        <f>IFERROR(V22/(G22+I22),0)</f>
        <v>0</v>
      </c>
      <c r="W23" s="208"/>
      <c r="X23" s="269"/>
      <c r="Y23" s="269"/>
      <c r="Z23" s="269"/>
    </row>
    <row r="24" spans="1:26" ht="14.25" customHeight="1">
      <c r="A24" s="818" t="s">
        <v>463</v>
      </c>
      <c r="B24" s="1112" t="e">
        <f>+L22/(C22+E22)</f>
        <v>#DIV/0!</v>
      </c>
      <c r="C24" s="1112"/>
      <c r="D24" s="1112"/>
      <c r="E24" s="1112"/>
      <c r="F24" s="1112" t="e">
        <f>+M22/(G22+I22)</f>
        <v>#DIV/0!</v>
      </c>
      <c r="G24" s="1112"/>
      <c r="H24" s="1112"/>
      <c r="I24" s="1112"/>
      <c r="J24" s="418" t="e">
        <f>B24/F24-1</f>
        <v>#DIV/0!</v>
      </c>
      <c r="P24" s="233"/>
      <c r="Q24" s="208"/>
      <c r="R24" s="208"/>
      <c r="S24" s="208"/>
      <c r="T24" s="208"/>
      <c r="U24" s="208"/>
      <c r="V24" s="208"/>
      <c r="W24" s="208"/>
      <c r="X24" s="269"/>
      <c r="Y24" s="269"/>
      <c r="Z24" s="269"/>
    </row>
    <row r="25" spans="1:26" ht="14.25" customHeight="1">
      <c r="A25" s="429" t="s">
        <v>211</v>
      </c>
      <c r="B25" s="1135" t="e">
        <f>D22/(B22+D22)</f>
        <v>#DIV/0!</v>
      </c>
      <c r="C25" s="1135"/>
      <c r="D25" s="1135"/>
      <c r="E25" s="1135"/>
      <c r="F25" s="1135" t="e">
        <f>H22/(F22+H22)</f>
        <v>#DIV/0!</v>
      </c>
      <c r="G25" s="1135"/>
      <c r="H25" s="1135"/>
      <c r="I25" s="1135"/>
      <c r="J25" s="418" t="e">
        <f>B25-F25</f>
        <v>#DIV/0!</v>
      </c>
      <c r="P25" s="233"/>
      <c r="Q25" s="208"/>
      <c r="R25" s="208"/>
      <c r="S25" s="208"/>
      <c r="T25" s="208"/>
      <c r="U25" s="208"/>
      <c r="V25" s="208"/>
      <c r="W25" s="208"/>
      <c r="X25" s="269" t="s">
        <v>670</v>
      </c>
      <c r="Y25" s="269"/>
      <c r="Z25" s="269"/>
    </row>
    <row r="26" spans="1:26" s="364" customFormat="1" ht="14.25" customHeight="1">
      <c r="A26" s="429" t="s">
        <v>89</v>
      </c>
      <c r="B26" s="1135" t="e">
        <f>1-B25</f>
        <v>#DIV/0!</v>
      </c>
      <c r="C26" s="1135"/>
      <c r="D26" s="1135"/>
      <c r="E26" s="1135"/>
      <c r="F26" s="1135" t="e">
        <f>1-F25</f>
        <v>#DIV/0!</v>
      </c>
      <c r="G26" s="1135"/>
      <c r="H26" s="1135"/>
      <c r="I26" s="1135"/>
      <c r="J26" s="418" t="e">
        <f>B26-F26</f>
        <v>#DIV/0!</v>
      </c>
      <c r="Q26" s="208"/>
      <c r="R26" s="208"/>
      <c r="S26" s="208"/>
      <c r="T26" s="208"/>
      <c r="U26" s="208"/>
      <c r="V26" s="208"/>
      <c r="W26" s="208"/>
      <c r="X26" s="269" t="s">
        <v>670</v>
      </c>
      <c r="Y26" s="269"/>
      <c r="Z26" s="269"/>
    </row>
    <row r="27" spans="1:26" ht="14.25" customHeight="1">
      <c r="A27" s="1097" t="s">
        <v>671</v>
      </c>
      <c r="B27" s="1098"/>
      <c r="C27" s="1098"/>
      <c r="D27" s="1098"/>
      <c r="E27" s="1099"/>
      <c r="F27" s="1096">
        <f>V27</f>
        <v>0</v>
      </c>
      <c r="G27" s="1096"/>
      <c r="H27" s="1096"/>
      <c r="I27" s="1096"/>
      <c r="J27" s="851"/>
      <c r="P27" s="233"/>
      <c r="Q27" s="208"/>
      <c r="R27" s="208"/>
      <c r="S27" s="1106" t="s">
        <v>671</v>
      </c>
      <c r="T27" s="1106"/>
      <c r="U27" s="1106"/>
      <c r="V27" s="278">
        <f>IFERROR(S23/V23-1,0)</f>
        <v>0</v>
      </c>
      <c r="W27" s="208"/>
      <c r="X27" s="269"/>
      <c r="Y27" s="269"/>
      <c r="Z27" s="269"/>
    </row>
    <row r="28" spans="1:26" ht="7.5" customHeight="1">
      <c r="A28" s="15"/>
      <c r="B28" s="15"/>
      <c r="C28" s="15"/>
      <c r="D28" s="15"/>
      <c r="E28" s="15"/>
      <c r="F28" s="15"/>
      <c r="G28" s="15"/>
      <c r="H28" s="15"/>
      <c r="I28" s="15"/>
      <c r="J28" s="15"/>
    </row>
    <row r="29" spans="1:26">
      <c r="A29" s="15"/>
      <c r="B29" s="15"/>
      <c r="C29" s="15"/>
      <c r="D29" s="15"/>
      <c r="E29" s="15"/>
      <c r="F29" s="15"/>
      <c r="G29" s="15"/>
      <c r="H29" s="15"/>
      <c r="I29" s="15"/>
      <c r="J29" s="15"/>
    </row>
    <row r="30" spans="1:26">
      <c r="A30" s="15"/>
      <c r="B30" s="15"/>
      <c r="C30" s="15"/>
      <c r="D30" s="163">
        <f>C12+E12</f>
        <v>0</v>
      </c>
      <c r="E30" s="163">
        <f t="shared" ref="E30:E39" si="10">G12+I12</f>
        <v>0</v>
      </c>
      <c r="F30" s="15"/>
      <c r="G30" s="15"/>
      <c r="H30" s="15"/>
      <c r="I30" s="15"/>
      <c r="J30" s="15"/>
    </row>
    <row r="31" spans="1:26">
      <c r="A31" s="15"/>
      <c r="B31" s="15"/>
      <c r="C31" s="15"/>
      <c r="D31" s="163">
        <f>C13+E13</f>
        <v>0</v>
      </c>
      <c r="E31" s="163">
        <f t="shared" si="10"/>
        <v>0</v>
      </c>
      <c r="F31" s="15"/>
      <c r="G31" s="15"/>
      <c r="H31" s="15"/>
      <c r="I31" s="15"/>
      <c r="J31" s="15"/>
    </row>
    <row r="32" spans="1:26">
      <c r="A32" s="15"/>
      <c r="B32" s="15"/>
      <c r="C32" s="15"/>
      <c r="D32" s="163">
        <f t="shared" ref="D32:D36" si="11">C14+E14</f>
        <v>0</v>
      </c>
      <c r="E32" s="163">
        <f t="shared" si="10"/>
        <v>0</v>
      </c>
      <c r="F32" s="15"/>
      <c r="G32" s="15"/>
      <c r="H32" s="15"/>
      <c r="I32" s="15"/>
      <c r="J32" s="15"/>
    </row>
    <row r="33" spans="1:10">
      <c r="A33" s="15"/>
      <c r="B33" s="15"/>
      <c r="C33" s="15"/>
      <c r="D33" s="163">
        <f t="shared" si="11"/>
        <v>0</v>
      </c>
      <c r="E33" s="163">
        <f t="shared" si="10"/>
        <v>0</v>
      </c>
      <c r="F33" s="15"/>
      <c r="G33" s="15"/>
      <c r="H33" s="15"/>
      <c r="I33" s="15"/>
      <c r="J33" s="15"/>
    </row>
    <row r="34" spans="1:10">
      <c r="A34" s="15"/>
      <c r="B34" s="15"/>
      <c r="C34" s="15"/>
      <c r="D34" s="163">
        <f t="shared" si="11"/>
        <v>0</v>
      </c>
      <c r="E34" s="163">
        <f t="shared" si="10"/>
        <v>0</v>
      </c>
      <c r="F34" s="15"/>
      <c r="G34" s="15"/>
      <c r="H34" s="15"/>
      <c r="I34" s="15"/>
      <c r="J34" s="15"/>
    </row>
    <row r="35" spans="1:10" ht="15.75" customHeight="1">
      <c r="A35" s="15"/>
      <c r="B35" s="15"/>
      <c r="C35" s="15"/>
      <c r="D35" s="163">
        <f t="shared" si="11"/>
        <v>0</v>
      </c>
      <c r="E35" s="163">
        <f t="shared" si="10"/>
        <v>0</v>
      </c>
      <c r="F35" s="15"/>
      <c r="G35" s="15"/>
      <c r="H35" s="15"/>
      <c r="I35" s="15"/>
      <c r="J35" s="15"/>
    </row>
    <row r="36" spans="1:10" ht="15.75" customHeight="1">
      <c r="A36" s="15"/>
      <c r="B36" s="15"/>
      <c r="C36" s="15"/>
      <c r="D36" s="163">
        <f t="shared" si="11"/>
        <v>0</v>
      </c>
      <c r="E36" s="163">
        <f t="shared" si="10"/>
        <v>0</v>
      </c>
      <c r="F36" s="15"/>
      <c r="G36" s="15"/>
      <c r="H36" s="15"/>
      <c r="I36" s="15"/>
      <c r="J36" s="15"/>
    </row>
    <row r="37" spans="1:10" ht="15.75" customHeight="1">
      <c r="A37" s="15"/>
      <c r="B37" s="15"/>
      <c r="C37" s="15"/>
      <c r="D37" s="163">
        <f>C19+E19</f>
        <v>0</v>
      </c>
      <c r="E37" s="163">
        <f t="shared" si="10"/>
        <v>0</v>
      </c>
      <c r="F37" s="15"/>
      <c r="G37" s="15"/>
      <c r="H37" s="15"/>
      <c r="I37" s="15"/>
      <c r="J37" s="15"/>
    </row>
    <row r="38" spans="1:10" ht="12.75" customHeight="1">
      <c r="A38" s="15"/>
      <c r="B38" s="15"/>
      <c r="C38" s="15"/>
      <c r="D38" s="163">
        <f t="shared" ref="D38" si="12">C20+E20</f>
        <v>0</v>
      </c>
      <c r="E38" s="163">
        <f t="shared" si="10"/>
        <v>0</v>
      </c>
      <c r="F38" s="15"/>
      <c r="G38" s="15"/>
      <c r="H38" s="15"/>
      <c r="I38" s="15"/>
      <c r="J38" s="15"/>
    </row>
    <row r="39" spans="1:10" ht="15" customHeight="1">
      <c r="A39" s="15"/>
      <c r="B39" s="15"/>
      <c r="C39" s="15"/>
      <c r="D39" s="163">
        <f>C21+E21</f>
        <v>0</v>
      </c>
      <c r="E39" s="163">
        <f t="shared" si="10"/>
        <v>0</v>
      </c>
      <c r="F39" s="15"/>
      <c r="G39" s="15"/>
      <c r="H39" s="15"/>
      <c r="I39" s="15"/>
      <c r="J39" s="15"/>
    </row>
    <row r="40" spans="1:10">
      <c r="A40" s="1100" t="s">
        <v>453</v>
      </c>
      <c r="B40" s="1100"/>
      <c r="D40" s="163" t="e">
        <f>#REF!+#REF!</f>
        <v>#REF!</v>
      </c>
      <c r="E40" s="163" t="e">
        <f>#REF!+#REF!</f>
        <v>#REF!</v>
      </c>
    </row>
    <row r="41" spans="1:10" ht="24.75" customHeight="1">
      <c r="A41" s="1064" t="s">
        <v>91</v>
      </c>
      <c r="B41" s="1065"/>
      <c r="C41" s="456" t="s">
        <v>92</v>
      </c>
      <c r="D41" s="456" t="s">
        <v>100</v>
      </c>
      <c r="E41" s="1071" t="s">
        <v>94</v>
      </c>
      <c r="F41" s="1095"/>
      <c r="G41" s="1071" t="s">
        <v>489</v>
      </c>
      <c r="H41" s="1095"/>
      <c r="I41" s="456" t="s">
        <v>490</v>
      </c>
      <c r="J41" s="452" t="s">
        <v>101</v>
      </c>
    </row>
    <row r="42" spans="1:10" ht="14.25" customHeight="1">
      <c r="A42" s="1091"/>
      <c r="B42" s="1091"/>
      <c r="C42" s="724"/>
      <c r="D42" s="725"/>
      <c r="E42" s="1087"/>
      <c r="F42" s="1087"/>
      <c r="G42" s="1087"/>
      <c r="H42" s="1087"/>
      <c r="I42" s="567"/>
      <c r="J42" s="753"/>
    </row>
    <row r="43" spans="1:10" ht="14.25" customHeight="1">
      <c r="A43" s="1139" t="s">
        <v>317</v>
      </c>
      <c r="B43" s="1139"/>
      <c r="C43" s="1139"/>
      <c r="D43" s="1139"/>
      <c r="E43" s="1140">
        <f>SUM(E42:F42)</f>
        <v>0</v>
      </c>
      <c r="F43" s="1140"/>
      <c r="G43" s="1140">
        <f>SUM(G42:H42)</f>
        <v>0</v>
      </c>
      <c r="H43" s="1140"/>
    </row>
    <row r="44" spans="1:10" ht="15" customHeight="1">
      <c r="A44" s="47" t="s">
        <v>468</v>
      </c>
    </row>
    <row r="45" spans="1:10" ht="3.75" customHeight="1">
      <c r="A45" s="173"/>
      <c r="B45" s="173"/>
      <c r="C45" s="173"/>
      <c r="D45" s="173"/>
      <c r="E45" s="177"/>
      <c r="F45" s="177"/>
      <c r="G45" s="177"/>
    </row>
    <row r="46" spans="1:10" s="233" customFormat="1" ht="9.75" customHeight="1">
      <c r="A46" s="1084" t="s">
        <v>656</v>
      </c>
      <c r="B46" s="1084"/>
      <c r="C46" s="1084"/>
      <c r="D46" s="1084"/>
      <c r="E46" s="1084"/>
      <c r="F46" s="1084"/>
      <c r="G46" s="1084"/>
      <c r="H46" s="1084"/>
      <c r="I46" s="1084"/>
      <c r="J46" s="1084"/>
    </row>
    <row r="47" spans="1:10" s="233" customFormat="1" ht="15" customHeight="1">
      <c r="A47" s="1084"/>
      <c r="B47" s="1084"/>
      <c r="C47" s="1084"/>
      <c r="D47" s="1084"/>
      <c r="E47" s="1084"/>
      <c r="F47" s="1084"/>
      <c r="G47" s="1084"/>
      <c r="H47" s="1084"/>
      <c r="I47" s="1084"/>
      <c r="J47" s="1084"/>
    </row>
    <row r="48" spans="1:10" s="233" customFormat="1" ht="3.75" customHeight="1">
      <c r="A48" s="173"/>
      <c r="B48" s="173"/>
      <c r="C48" s="173"/>
      <c r="D48" s="173"/>
      <c r="E48" s="177"/>
      <c r="F48" s="177"/>
      <c r="G48" s="177"/>
    </row>
    <row r="49" spans="1:10" ht="14" customHeight="1">
      <c r="E49" s="1095" t="s">
        <v>97</v>
      </c>
      <c r="F49" s="1118"/>
      <c r="G49" s="1089" t="s">
        <v>98</v>
      </c>
      <c r="H49" s="1066"/>
      <c r="I49" s="5"/>
      <c r="J49" s="5"/>
    </row>
    <row r="50" spans="1:10" ht="14" customHeight="1">
      <c r="E50" s="1121"/>
      <c r="F50" s="1118"/>
      <c r="G50" s="1118"/>
      <c r="H50" s="1066"/>
      <c r="I50" s="5"/>
      <c r="J50" s="5"/>
    </row>
    <row r="51" spans="1:10" ht="15.75" customHeight="1">
      <c r="C51" s="1094" t="s">
        <v>78</v>
      </c>
      <c r="D51" s="1094"/>
      <c r="E51" s="1141">
        <f>IF('Renewal Rates '!G33&gt;0, "+"&amp;TEXT('Renewal Rates '!$G33, "0.0%"), 'Renewal Rates '!G33)</f>
        <v>0</v>
      </c>
      <c r="F51" s="1142"/>
      <c r="G51" s="1142">
        <f>IF('Renewal Rates '!J33&gt;0, "+"&amp;TEXT('Renewal Rates '!$J33, "0.0%"), 'Renewal Rates '!J33)</f>
        <v>0</v>
      </c>
      <c r="H51" s="1142"/>
      <c r="I51" s="5"/>
      <c r="J51" s="5"/>
    </row>
    <row r="52" spans="1:10" ht="15.75" customHeight="1">
      <c r="C52" s="1093" t="s">
        <v>96</v>
      </c>
      <c r="D52" s="1093"/>
      <c r="E52" s="1137">
        <f>('Executive Summary'!D13-'Executive Summary'!C13)*12</f>
        <v>0</v>
      </c>
      <c r="F52" s="1138"/>
      <c r="G52" s="1138">
        <f>('Executive Summary'!F13-'Executive Summary'!C13)*12</f>
        <v>0</v>
      </c>
      <c r="H52" s="1138"/>
      <c r="I52" s="5"/>
      <c r="J52" s="5"/>
    </row>
    <row r="53" spans="1:10" ht="15.75" hidden="1" customHeight="1">
      <c r="A53" s="1110"/>
      <c r="B53" s="1110"/>
      <c r="C53" s="388"/>
      <c r="D53" s="388"/>
    </row>
    <row r="54" spans="1:10" ht="24" hidden="1" customHeight="1">
      <c r="A54" s="1111"/>
      <c r="B54" s="1111"/>
      <c r="C54" s="460"/>
      <c r="D54" s="460"/>
      <c r="E54" s="161"/>
      <c r="F54" s="161"/>
      <c r="G54" s="161"/>
      <c r="H54" s="161"/>
      <c r="I54" s="161"/>
      <c r="J54" s="158"/>
    </row>
    <row r="55" spans="1:10" ht="15.75" hidden="1" customHeight="1">
      <c r="A55" s="1132"/>
      <c r="B55" s="1132"/>
      <c r="C55" s="461"/>
      <c r="D55" s="461"/>
      <c r="E55" s="18"/>
      <c r="F55" s="18"/>
      <c r="G55" s="18"/>
      <c r="H55" s="18"/>
      <c r="I55" s="18"/>
      <c r="J55" s="162"/>
    </row>
    <row r="56" spans="1:10" ht="24" hidden="1" customHeight="1">
      <c r="A56" s="1133"/>
      <c r="B56" s="1133"/>
      <c r="C56" s="462"/>
      <c r="D56" s="462"/>
      <c r="E56" s="159"/>
      <c r="F56" s="159"/>
      <c r="G56" s="159"/>
      <c r="H56" s="159"/>
      <c r="I56" s="159"/>
      <c r="J56" s="154"/>
    </row>
    <row r="57" spans="1:10" hidden="1">
      <c r="A57" s="1131"/>
      <c r="B57" s="1131"/>
      <c r="C57" s="463"/>
      <c r="D57" s="464"/>
      <c r="E57" s="155"/>
      <c r="F57" s="155"/>
      <c r="G57" s="155"/>
      <c r="H57" s="155"/>
      <c r="I57" s="156"/>
      <c r="J57" s="157"/>
    </row>
    <row r="58" spans="1:10" ht="12" hidden="1" customHeight="1">
      <c r="A58" s="1131"/>
      <c r="B58" s="1131"/>
      <c r="C58" s="463"/>
      <c r="D58" s="464"/>
      <c r="E58" s="155"/>
      <c r="F58" s="155"/>
      <c r="G58" s="155"/>
      <c r="H58" s="155"/>
      <c r="I58" s="156"/>
      <c r="J58" s="157"/>
    </row>
    <row r="59" spans="1:10" hidden="1">
      <c r="C59" s="388"/>
      <c r="D59" s="388"/>
    </row>
    <row r="60" spans="1:10" hidden="1">
      <c r="C60" s="388"/>
      <c r="D60" s="388"/>
    </row>
    <row r="61" spans="1:10" hidden="1">
      <c r="C61" s="388"/>
      <c r="D61" s="388"/>
    </row>
    <row r="62" spans="1:10" hidden="1">
      <c r="C62" s="388"/>
      <c r="D62" s="388"/>
    </row>
    <row r="63" spans="1:10" hidden="1">
      <c r="C63" s="388"/>
      <c r="D63" s="388"/>
    </row>
    <row r="64" spans="1:10" hidden="1">
      <c r="C64" s="388"/>
      <c r="D64" s="388"/>
    </row>
    <row r="65" spans="3:4" hidden="1">
      <c r="C65" s="388"/>
      <c r="D65" s="388"/>
    </row>
    <row r="66" spans="3:4" hidden="1">
      <c r="C66" s="388"/>
      <c r="D66" s="388"/>
    </row>
    <row r="67" spans="3:4" hidden="1">
      <c r="C67" s="388"/>
      <c r="D67" s="388"/>
    </row>
    <row r="68" spans="3:4" hidden="1">
      <c r="C68" s="388"/>
      <c r="D68" s="388"/>
    </row>
    <row r="69" spans="3:4" hidden="1">
      <c r="C69" s="388"/>
      <c r="D69" s="388"/>
    </row>
    <row r="70" spans="3:4" hidden="1">
      <c r="C70" s="388"/>
      <c r="D70" s="388"/>
    </row>
    <row r="71" spans="3:4" hidden="1">
      <c r="C71" s="388"/>
      <c r="D71" s="388"/>
    </row>
    <row r="72" spans="3:4" hidden="1">
      <c r="C72" s="388"/>
      <c r="D72" s="388"/>
    </row>
    <row r="73" spans="3:4" hidden="1">
      <c r="C73" s="388"/>
      <c r="D73" s="388"/>
    </row>
    <row r="74" spans="3:4" hidden="1">
      <c r="C74" s="388"/>
      <c r="D74" s="388"/>
    </row>
    <row r="75" spans="3:4" hidden="1">
      <c r="C75" s="388"/>
      <c r="D75" s="388"/>
    </row>
    <row r="76" spans="3:4" hidden="1">
      <c r="C76" s="388"/>
      <c r="D76" s="388"/>
    </row>
    <row r="77" spans="3:4" hidden="1">
      <c r="C77" s="388"/>
      <c r="D77" s="388"/>
    </row>
    <row r="78" spans="3:4" hidden="1">
      <c r="C78" s="388"/>
      <c r="D78" s="388"/>
    </row>
    <row r="79" spans="3:4" hidden="1">
      <c r="C79" s="388"/>
      <c r="D79" s="388"/>
    </row>
    <row r="80" spans="3:4" hidden="1">
      <c r="C80" s="388"/>
      <c r="D80" s="388"/>
    </row>
    <row r="81" spans="3:4" hidden="1">
      <c r="C81" s="388"/>
      <c r="D81" s="388"/>
    </row>
    <row r="82" spans="3:4" hidden="1">
      <c r="C82" s="388"/>
      <c r="D82" s="388"/>
    </row>
  </sheetData>
  <mergeCells count="49">
    <mergeCell ref="A27:E27"/>
    <mergeCell ref="Q9:R9"/>
    <mergeCell ref="T9:U9"/>
    <mergeCell ref="Y10:Z10"/>
    <mergeCell ref="S27:U27"/>
    <mergeCell ref="B26:E26"/>
    <mergeCell ref="F26:I26"/>
    <mergeCell ref="C52:D52"/>
    <mergeCell ref="E52:F52"/>
    <mergeCell ref="G52:H52"/>
    <mergeCell ref="A43:D43"/>
    <mergeCell ref="E43:F43"/>
    <mergeCell ref="E49:F50"/>
    <mergeCell ref="G49:H50"/>
    <mergeCell ref="C51:D51"/>
    <mergeCell ref="E51:F51"/>
    <mergeCell ref="G51:H51"/>
    <mergeCell ref="G43:H43"/>
    <mergeCell ref="A46:J47"/>
    <mergeCell ref="E41:F41"/>
    <mergeCell ref="A42:B42"/>
    <mergeCell ref="E42:F42"/>
    <mergeCell ref="G41:H41"/>
    <mergeCell ref="G42:H42"/>
    <mergeCell ref="A41:B41"/>
    <mergeCell ref="A57:B57"/>
    <mergeCell ref="A58:B58"/>
    <mergeCell ref="A4:J5"/>
    <mergeCell ref="A53:B53"/>
    <mergeCell ref="A54:B54"/>
    <mergeCell ref="A55:B55"/>
    <mergeCell ref="A56:B56"/>
    <mergeCell ref="A23:J23"/>
    <mergeCell ref="B24:E24"/>
    <mergeCell ref="F24:I24"/>
    <mergeCell ref="B25:E25"/>
    <mergeCell ref="F25:I25"/>
    <mergeCell ref="F27:I27"/>
    <mergeCell ref="A6:J7"/>
    <mergeCell ref="J9:J11"/>
    <mergeCell ref="A40:B40"/>
    <mergeCell ref="A2:J3"/>
    <mergeCell ref="B9:E9"/>
    <mergeCell ref="F9:I9"/>
    <mergeCell ref="B10:C10"/>
    <mergeCell ref="D10:E10"/>
    <mergeCell ref="F10:G10"/>
    <mergeCell ref="H10:I10"/>
    <mergeCell ref="A9:A11"/>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67">
    <tabColor rgb="FF7030A0"/>
  </sheetPr>
  <dimension ref="A1:J37"/>
  <sheetViews>
    <sheetView showGridLines="0" view="pageLayout" zoomScaleNormal="100" workbookViewId="0">
      <selection activeCell="D4" sqref="D4"/>
    </sheetView>
  </sheetViews>
  <sheetFormatPr baseColWidth="10" defaultColWidth="9.1640625" defaultRowHeight="15"/>
  <cols>
    <col min="1" max="1" width="37.6640625" customWidth="1"/>
    <col min="2" max="5" width="14.6640625" customWidth="1"/>
    <col min="6" max="6" width="9.1640625" bestFit="1" customWidth="1"/>
    <col min="7" max="7" width="7.5" customWidth="1"/>
  </cols>
  <sheetData>
    <row r="1" spans="1:10" ht="24.75" customHeight="1"/>
    <row r="2" spans="1:10" s="1" customFormat="1" ht="23.25" customHeight="1">
      <c r="A2" s="371" t="s">
        <v>10</v>
      </c>
      <c r="B2" s="205"/>
      <c r="C2" s="205"/>
      <c r="D2" s="205"/>
      <c r="E2" s="205"/>
      <c r="F2" s="205"/>
      <c r="G2" s="205"/>
      <c r="H2" s="205"/>
      <c r="I2" s="205"/>
      <c r="J2" s="205"/>
    </row>
    <row r="3" spans="1:10" s="1" customFormat="1" ht="7.5" customHeight="1">
      <c r="A3" s="205"/>
      <c r="B3" s="205"/>
      <c r="C3" s="205"/>
      <c r="D3" s="205"/>
      <c r="E3" s="205"/>
      <c r="F3" s="205"/>
      <c r="G3" s="205"/>
      <c r="H3" s="205"/>
      <c r="I3" s="205"/>
      <c r="J3" s="205"/>
    </row>
    <row r="4" spans="1:10" s="1" customFormat="1" ht="15" customHeight="1"/>
    <row r="5" spans="1:10" s="1" customFormat="1" ht="15" customHeight="1">
      <c r="A5" s="224" t="s">
        <v>599</v>
      </c>
      <c r="B5" s="10"/>
      <c r="C5" s="10"/>
      <c r="D5" s="10"/>
      <c r="E5" s="10"/>
      <c r="F5" s="10"/>
    </row>
    <row r="6" spans="1:10">
      <c r="A6" s="17"/>
      <c r="B6" s="17"/>
      <c r="C6" s="17"/>
      <c r="D6" s="17"/>
      <c r="E6" s="17"/>
      <c r="F6" s="17"/>
    </row>
    <row r="7" spans="1:10">
      <c r="A7" s="455" t="s">
        <v>102</v>
      </c>
      <c r="B7" s="456" t="s">
        <v>60</v>
      </c>
      <c r="C7" s="453" t="s">
        <v>61</v>
      </c>
      <c r="D7" s="453" t="s">
        <v>318</v>
      </c>
      <c r="E7" s="452" t="s">
        <v>103</v>
      </c>
      <c r="F7" s="17"/>
    </row>
    <row r="8" spans="1:10">
      <c r="A8" s="709" t="str">
        <f>EP_Current</f>
        <v>MMM DD YYY - MMM DD YYYY</v>
      </c>
      <c r="B8" s="865">
        <f>'Experience Summary'!D14</f>
        <v>0</v>
      </c>
      <c r="C8" s="865">
        <f>'Experience Summary'!E14</f>
        <v>0</v>
      </c>
      <c r="D8" s="865">
        <v>0</v>
      </c>
      <c r="E8" s="710" t="e">
        <f t="shared" ref="E8:E13" si="0">D8/B8</f>
        <v>#DIV/0!</v>
      </c>
      <c r="F8" s="17"/>
    </row>
    <row r="9" spans="1:10" ht="15" customHeight="1">
      <c r="A9" s="709" t="str">
        <f>EP_P1</f>
        <v>MMM DD YYY - MMM DD YYYY</v>
      </c>
      <c r="B9" s="865">
        <v>0</v>
      </c>
      <c r="C9" s="865">
        <v>0</v>
      </c>
      <c r="D9" s="865">
        <v>0</v>
      </c>
      <c r="E9" s="710" t="e">
        <f t="shared" si="0"/>
        <v>#DIV/0!</v>
      </c>
      <c r="F9" s="17"/>
    </row>
    <row r="10" spans="1:10" ht="15" customHeight="1">
      <c r="A10" s="738" t="str">
        <f>EP_P2</f>
        <v>MMM DD YYY - MMM DD YYYY</v>
      </c>
      <c r="B10" s="862">
        <v>0</v>
      </c>
      <c r="C10" s="862">
        <v>0</v>
      </c>
      <c r="D10" s="862">
        <v>0</v>
      </c>
      <c r="E10" s="466" t="e">
        <f t="shared" si="0"/>
        <v>#DIV/0!</v>
      </c>
      <c r="F10" s="17"/>
    </row>
    <row r="11" spans="1:10" ht="15" customHeight="1">
      <c r="A11" s="738" t="str">
        <f>EP_P3</f>
        <v>MMM DD YYY - MMM DD YYYY</v>
      </c>
      <c r="B11" s="862">
        <v>0</v>
      </c>
      <c r="C11" s="862">
        <v>0</v>
      </c>
      <c r="D11" s="862">
        <v>0</v>
      </c>
      <c r="E11" s="466" t="e">
        <f t="shared" si="0"/>
        <v>#DIV/0!</v>
      </c>
      <c r="F11" s="17"/>
    </row>
    <row r="12" spans="1:10" ht="15" customHeight="1">
      <c r="A12" s="738" t="str">
        <f>EP_P4</f>
        <v>MMM DD YYY - MMM DD YYYY</v>
      </c>
      <c r="B12" s="862">
        <v>0</v>
      </c>
      <c r="C12" s="862">
        <v>0</v>
      </c>
      <c r="D12" s="862">
        <v>0</v>
      </c>
      <c r="E12" s="466" t="e">
        <f t="shared" si="0"/>
        <v>#DIV/0!</v>
      </c>
      <c r="F12" s="17"/>
    </row>
    <row r="13" spans="1:10" s="199" customFormat="1" ht="15" customHeight="1">
      <c r="A13" s="451" t="s">
        <v>66</v>
      </c>
      <c r="B13" s="868">
        <f>SUM(B8:B12)</f>
        <v>0</v>
      </c>
      <c r="C13" s="868">
        <f>SUM(C8:C12)</f>
        <v>0</v>
      </c>
      <c r="D13" s="868">
        <f>SUM(D8:D12)</f>
        <v>0</v>
      </c>
      <c r="E13" s="457" t="e">
        <f t="shared" si="0"/>
        <v>#DIV/0!</v>
      </c>
      <c r="F13" s="195"/>
    </row>
    <row r="14" spans="1:10">
      <c r="A14" s="10"/>
      <c r="F14" s="17"/>
    </row>
    <row r="15" spans="1:10">
      <c r="A15" s="5"/>
    </row>
    <row r="16" spans="1:10">
      <c r="A16" s="722" t="s">
        <v>105</v>
      </c>
      <c r="B16" s="1113">
        <v>0</v>
      </c>
      <c r="C16" s="1113"/>
      <c r="D16" s="79"/>
    </row>
    <row r="17" spans="1:7" s="233" customFormat="1" hidden="1">
      <c r="A17" s="722" t="s">
        <v>673</v>
      </c>
      <c r="B17" s="1113">
        <f>'Long Term Disability'!V27</f>
        <v>0</v>
      </c>
      <c r="C17" s="1113"/>
      <c r="D17" s="79"/>
    </row>
    <row r="18" spans="1:7">
      <c r="A18" s="427" t="s">
        <v>332</v>
      </c>
      <c r="B18" s="1113">
        <v>0</v>
      </c>
      <c r="C18" s="1113"/>
      <c r="D18" s="79"/>
    </row>
    <row r="19" spans="1:7">
      <c r="A19" s="5"/>
    </row>
    <row r="20" spans="1:7">
      <c r="A20" s="21"/>
      <c r="B20" s="21"/>
      <c r="C20" s="18"/>
      <c r="D20" s="18"/>
      <c r="E20" s="18"/>
      <c r="F20" s="18"/>
      <c r="G20" s="5"/>
    </row>
    <row r="21" spans="1:7">
      <c r="C21" s="19"/>
      <c r="D21" s="19"/>
      <c r="E21" s="18"/>
      <c r="F21" s="18"/>
    </row>
    <row r="22" spans="1:7">
      <c r="C22" s="19"/>
      <c r="D22" s="19"/>
      <c r="E22" s="18"/>
      <c r="F22" s="18"/>
    </row>
    <row r="23" spans="1:7">
      <c r="A23" s="18"/>
      <c r="C23" s="19"/>
      <c r="D23" s="19"/>
      <c r="E23" s="18"/>
      <c r="F23" s="18"/>
    </row>
    <row r="24" spans="1:7">
      <c r="A24" s="18"/>
      <c r="B24" s="18"/>
      <c r="C24" s="19"/>
      <c r="D24" s="19"/>
      <c r="E24" s="18"/>
      <c r="F24" s="18"/>
    </row>
    <row r="25" spans="1:7">
      <c r="A25" s="18"/>
      <c r="B25" s="18"/>
      <c r="C25" s="19"/>
      <c r="D25" s="19"/>
      <c r="E25" s="18"/>
      <c r="F25" s="18"/>
    </row>
    <row r="26" spans="1:7">
      <c r="A26" s="18"/>
      <c r="B26" s="18"/>
      <c r="C26" s="19"/>
      <c r="D26" s="19"/>
      <c r="E26" s="18"/>
      <c r="F26" s="18"/>
    </row>
    <row r="27" spans="1:7">
      <c r="A27" s="18"/>
      <c r="B27" s="18"/>
      <c r="C27" s="19"/>
      <c r="D27" s="19"/>
      <c r="E27" s="18"/>
      <c r="F27" s="18"/>
    </row>
    <row r="28" spans="1:7">
      <c r="A28" s="18"/>
      <c r="B28" s="18"/>
      <c r="C28" s="19"/>
      <c r="D28" s="19"/>
      <c r="E28" s="18"/>
      <c r="F28" s="18"/>
    </row>
    <row r="29" spans="1:7">
      <c r="A29" s="18"/>
      <c r="B29" s="18"/>
      <c r="C29" s="19"/>
      <c r="D29" s="19"/>
      <c r="E29" s="18"/>
      <c r="F29" s="18"/>
    </row>
    <row r="30" spans="1:7">
      <c r="A30" s="18"/>
      <c r="B30" s="18"/>
      <c r="C30" s="19"/>
      <c r="D30" s="19"/>
      <c r="E30" s="18"/>
      <c r="F30" s="18"/>
    </row>
    <row r="31" spans="1:7">
      <c r="A31" s="18"/>
      <c r="B31" s="18"/>
      <c r="C31" s="19"/>
      <c r="D31" s="19"/>
      <c r="E31" s="18"/>
      <c r="F31" s="18"/>
    </row>
    <row r="32" spans="1:7">
      <c r="A32" s="18"/>
      <c r="B32" s="18"/>
      <c r="C32" s="19"/>
      <c r="D32" s="19"/>
      <c r="E32" s="18"/>
      <c r="F32" s="18"/>
    </row>
    <row r="33" spans="1:6">
      <c r="A33" s="18"/>
      <c r="B33" s="18"/>
      <c r="C33" s="19"/>
      <c r="D33" s="19"/>
      <c r="E33" s="18"/>
      <c r="F33" s="18"/>
    </row>
    <row r="34" spans="1:6">
      <c r="A34" s="18"/>
      <c r="B34" s="18"/>
      <c r="C34" s="19"/>
      <c r="D34" s="19"/>
      <c r="E34" s="18"/>
      <c r="F34" s="18"/>
    </row>
    <row r="35" spans="1:6">
      <c r="A35" s="18"/>
      <c r="B35" s="18"/>
      <c r="C35" s="19"/>
      <c r="D35" s="19"/>
      <c r="E35" s="18"/>
      <c r="F35" s="18"/>
    </row>
    <row r="36" spans="1:6">
      <c r="A36" s="18"/>
      <c r="B36" s="18"/>
      <c r="C36" s="19"/>
      <c r="D36" s="19"/>
      <c r="E36" s="18"/>
      <c r="F36" s="18"/>
    </row>
    <row r="37" spans="1:6">
      <c r="A37" s="16"/>
      <c r="B37" s="16"/>
      <c r="C37" s="16"/>
      <c r="D37" s="16"/>
      <c r="E37" s="16"/>
      <c r="F37" s="16"/>
    </row>
  </sheetData>
  <mergeCells count="3">
    <mergeCell ref="B16:C16"/>
    <mergeCell ref="B18:C18"/>
    <mergeCell ref="B17:C17"/>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6">
    <tabColor rgb="FFFF0000"/>
  </sheetPr>
  <dimension ref="A1:J46"/>
  <sheetViews>
    <sheetView showGridLines="0" view="pageLayout" topLeftCell="A4" zoomScaleNormal="100" workbookViewId="0">
      <selection activeCell="H10" sqref="H10"/>
    </sheetView>
  </sheetViews>
  <sheetFormatPr baseColWidth="10" defaultColWidth="9.1640625" defaultRowHeight="15"/>
  <cols>
    <col min="1" max="1" width="26.33203125" customWidth="1"/>
    <col min="2" max="2" width="13.6640625" customWidth="1"/>
    <col min="3" max="4" width="13.5" customWidth="1"/>
    <col min="5" max="5" width="14.1640625" customWidth="1"/>
    <col min="6" max="6" width="9" customWidth="1"/>
    <col min="7" max="7" width="6.33203125" customWidth="1"/>
  </cols>
  <sheetData>
    <row r="1" spans="1:10" ht="24.75" customHeight="1"/>
    <row r="2" spans="1:10">
      <c r="A2" s="1004" t="s">
        <v>11</v>
      </c>
      <c r="B2" s="1149"/>
      <c r="C2" s="1149"/>
      <c r="D2" s="1149"/>
    </row>
    <row r="3" spans="1:10">
      <c r="A3" s="1004"/>
      <c r="B3" s="1149"/>
      <c r="C3" s="1149"/>
      <c r="D3" s="1149"/>
    </row>
    <row r="4" spans="1:10" ht="8.25" customHeight="1"/>
    <row r="5" spans="1:10" s="1" customFormat="1" ht="15" customHeight="1">
      <c r="A5" s="443" t="s">
        <v>12</v>
      </c>
    </row>
    <row r="6" spans="1:10" s="1" customFormat="1" ht="3" customHeight="1"/>
    <row r="7" spans="1:10" s="1" customFormat="1" ht="15" customHeight="1">
      <c r="A7" s="1021" t="s">
        <v>803</v>
      </c>
      <c r="B7" s="1021"/>
      <c r="C7" s="1021"/>
      <c r="D7" s="1021"/>
      <c r="E7" s="1021"/>
      <c r="F7" s="1021"/>
      <c r="G7" s="1021"/>
    </row>
    <row r="8" spans="1:10" s="1" customFormat="1" ht="15" customHeight="1">
      <c r="A8" s="17"/>
      <c r="B8" s="17"/>
      <c r="C8" s="17"/>
      <c r="D8" s="17"/>
      <c r="E8" s="17"/>
      <c r="F8" s="17"/>
      <c r="G8" s="17"/>
    </row>
    <row r="9" spans="1:10" ht="26">
      <c r="A9" s="455" t="s">
        <v>102</v>
      </c>
      <c r="B9" s="780" t="s">
        <v>804</v>
      </c>
      <c r="C9" s="456" t="s">
        <v>619</v>
      </c>
      <c r="D9" s="456" t="s">
        <v>620</v>
      </c>
      <c r="E9" s="456" t="s">
        <v>103</v>
      </c>
      <c r="F9" s="452" t="s">
        <v>104</v>
      </c>
    </row>
    <row r="10" spans="1:10">
      <c r="A10" s="778" t="str">
        <f>EP_Current</f>
        <v>MMM DD YYY - MMM DD YYYY</v>
      </c>
      <c r="B10" s="465">
        <f>'Experience Summary'!D19</f>
        <v>0</v>
      </c>
      <c r="C10" s="465">
        <v>0</v>
      </c>
      <c r="D10" s="465">
        <f>'Experience Summary'!E19</f>
        <v>0</v>
      </c>
      <c r="E10" s="466" t="e">
        <f>D10/B10</f>
        <v>#DIV/0!</v>
      </c>
      <c r="F10" s="707">
        <v>0</v>
      </c>
    </row>
    <row r="11" spans="1:10">
      <c r="A11" s="778" t="str">
        <f>EP_P1</f>
        <v>MMM DD YYY - MMM DD YYYY</v>
      </c>
      <c r="B11" s="465">
        <v>0</v>
      </c>
      <c r="C11" s="465">
        <v>0</v>
      </c>
      <c r="D11" s="465">
        <v>0</v>
      </c>
      <c r="E11" s="466" t="e">
        <f>D11/B11</f>
        <v>#DIV/0!</v>
      </c>
      <c r="F11" s="707">
        <v>0</v>
      </c>
      <c r="J11" s="767"/>
    </row>
    <row r="12" spans="1:10" ht="15" customHeight="1">
      <c r="A12" s="778" t="str">
        <f>EP_P2</f>
        <v>MMM DD YYY - MMM DD YYYY</v>
      </c>
      <c r="B12" s="465">
        <v>0</v>
      </c>
      <c r="C12" s="465">
        <v>0</v>
      </c>
      <c r="D12" s="465">
        <v>0</v>
      </c>
      <c r="E12" s="466" t="e">
        <f>D12/B12</f>
        <v>#DIV/0!</v>
      </c>
      <c r="F12" s="707">
        <v>0</v>
      </c>
      <c r="J12" s="768"/>
    </row>
    <row r="13" spans="1:10" ht="15" customHeight="1">
      <c r="A13" s="5"/>
    </row>
    <row r="14" spans="1:10">
      <c r="A14" s="722" t="s">
        <v>591</v>
      </c>
      <c r="B14" s="1150" t="s">
        <v>592</v>
      </c>
      <c r="C14" s="1150"/>
      <c r="E14" s="79"/>
    </row>
    <row r="15" spans="1:10">
      <c r="A15" s="722" t="s">
        <v>105</v>
      </c>
      <c r="B15" s="1113">
        <v>0</v>
      </c>
      <c r="C15" s="1113"/>
      <c r="E15" s="79"/>
    </row>
    <row r="16" spans="1:10">
      <c r="A16" s="722" t="s">
        <v>454</v>
      </c>
      <c r="B16" s="1113">
        <v>0</v>
      </c>
      <c r="C16" s="1113"/>
      <c r="E16" s="79"/>
    </row>
    <row r="17" spans="1:7">
      <c r="A17" s="427" t="s">
        <v>332</v>
      </c>
      <c r="B17" s="1113">
        <f>'Experience Summary'!D44</f>
        <v>0</v>
      </c>
      <c r="C17" s="1113"/>
      <c r="E17" s="79"/>
    </row>
    <row r="18" spans="1:7">
      <c r="A18" s="5"/>
    </row>
    <row r="19" spans="1:7">
      <c r="A19" s="1148" t="s">
        <v>341</v>
      </c>
      <c r="B19" s="1148"/>
      <c r="C19" s="1148"/>
      <c r="D19" s="223"/>
      <c r="E19" s="223"/>
      <c r="F19" s="223"/>
      <c r="G19" s="223"/>
    </row>
    <row r="20" spans="1:7">
      <c r="A20" s="908" t="s">
        <v>91</v>
      </c>
      <c r="B20" s="909" t="s">
        <v>92</v>
      </c>
      <c r="C20" s="909" t="s">
        <v>100</v>
      </c>
      <c r="D20" s="781" t="s">
        <v>94</v>
      </c>
      <c r="E20" s="1066" t="s">
        <v>101</v>
      </c>
      <c r="F20" s="1144"/>
      <c r="G20" s="223"/>
    </row>
    <row r="21" spans="1:7">
      <c r="A21" s="724"/>
      <c r="B21" s="754"/>
      <c r="C21" s="755"/>
      <c r="D21" s="869"/>
      <c r="E21" s="1122"/>
      <c r="F21" s="1122"/>
      <c r="G21" s="223"/>
    </row>
    <row r="22" spans="1:7">
      <c r="A22" s="724"/>
      <c r="B22" s="754"/>
      <c r="C22" s="755"/>
      <c r="D22" s="869"/>
      <c r="E22" s="1122"/>
      <c r="F22" s="1122"/>
      <c r="G22" s="223"/>
    </row>
    <row r="23" spans="1:7" ht="15" customHeight="1">
      <c r="A23" s="724"/>
      <c r="B23" s="754"/>
      <c r="C23" s="755"/>
      <c r="D23" s="869"/>
      <c r="E23" s="1122"/>
      <c r="F23" s="1122"/>
      <c r="G23" s="223"/>
    </row>
    <row r="24" spans="1:7">
      <c r="A24" s="1147" t="s">
        <v>317</v>
      </c>
      <c r="B24" s="1147"/>
      <c r="C24" s="1147"/>
      <c r="D24" s="870">
        <f>SUM(D21:D23)</f>
        <v>0</v>
      </c>
      <c r="E24" s="223"/>
      <c r="F24" s="1145"/>
      <c r="G24" s="1146"/>
    </row>
    <row r="25" spans="1:7">
      <c r="A25" s="21"/>
      <c r="B25" s="21"/>
      <c r="C25" s="21"/>
      <c r="D25" s="18"/>
      <c r="E25" s="18"/>
      <c r="F25" s="18"/>
      <c r="G25" s="18"/>
    </row>
    <row r="26" spans="1:7">
      <c r="E26" s="1143" t="s">
        <v>97</v>
      </c>
      <c r="F26" s="1071" t="s">
        <v>98</v>
      </c>
      <c r="G26" s="1144"/>
    </row>
    <row r="27" spans="1:7">
      <c r="E27" s="1067"/>
      <c r="F27" s="1066"/>
      <c r="G27" s="1144"/>
    </row>
    <row r="28" spans="1:7">
      <c r="D28" s="756" t="s">
        <v>78</v>
      </c>
      <c r="E28" s="757">
        <f>IF('Renewal Rates '!G49&gt;0, "+"&amp;TEXT('Renewal Rates '!$G49, "0.0%"), 'Renewal Rates '!G49)</f>
        <v>0</v>
      </c>
      <c r="F28" s="1114">
        <f>IF('Renewal Rates '!J49&gt;0, "+"&amp;TEXT('Renewal Rates '!$J49, "0.0%"), 'Renewal Rates '!J49)</f>
        <v>0</v>
      </c>
      <c r="G28" s="1114"/>
    </row>
    <row r="29" spans="1:7">
      <c r="D29" s="740" t="s">
        <v>96</v>
      </c>
      <c r="E29" s="861">
        <f>('Executive Summary'!D15-'Executive Summary'!C15)*12</f>
        <v>0</v>
      </c>
      <c r="F29" s="1088">
        <f>('Executive Summary'!F15-'Executive Summary'!C15)*12</f>
        <v>0</v>
      </c>
      <c r="G29" s="1088"/>
    </row>
    <row r="30" spans="1:7">
      <c r="D30" s="19"/>
      <c r="E30" s="19"/>
      <c r="F30" s="18"/>
      <c r="G30" s="18"/>
    </row>
    <row r="31" spans="1:7">
      <c r="D31" s="19"/>
      <c r="E31" s="19"/>
      <c r="F31" s="18"/>
      <c r="G31" s="18"/>
    </row>
    <row r="32" spans="1:7">
      <c r="A32" s="18"/>
      <c r="D32" s="19"/>
      <c r="E32" s="19"/>
      <c r="F32" s="18"/>
      <c r="G32" s="18"/>
    </row>
    <row r="33" spans="1:7">
      <c r="A33" s="18"/>
      <c r="B33" s="18"/>
      <c r="C33" s="18"/>
      <c r="D33" s="19"/>
      <c r="E33" s="19"/>
      <c r="F33" s="18"/>
      <c r="G33" s="18"/>
    </row>
    <row r="34" spans="1:7">
      <c r="A34" s="18"/>
      <c r="B34" s="18"/>
      <c r="C34" s="18"/>
      <c r="D34" s="19"/>
      <c r="E34" s="19"/>
      <c r="F34" s="18"/>
      <c r="G34" s="18"/>
    </row>
    <row r="35" spans="1:7">
      <c r="A35" s="18"/>
      <c r="B35" s="18"/>
      <c r="C35" s="18"/>
      <c r="D35" s="19"/>
      <c r="E35" s="19"/>
      <c r="F35" s="18"/>
      <c r="G35" s="18"/>
    </row>
    <row r="36" spans="1:7">
      <c r="A36" s="18"/>
      <c r="B36" s="18"/>
      <c r="C36" s="18"/>
      <c r="D36" s="19"/>
      <c r="E36" s="19"/>
      <c r="F36" s="18"/>
      <c r="G36" s="18"/>
    </row>
    <row r="37" spans="1:7">
      <c r="A37" s="18"/>
      <c r="B37" s="18"/>
      <c r="C37" s="18"/>
      <c r="D37" s="19"/>
      <c r="E37" s="19"/>
      <c r="F37" s="18"/>
      <c r="G37" s="18"/>
    </row>
    <row r="38" spans="1:7">
      <c r="A38" s="18"/>
      <c r="B38" s="18"/>
      <c r="C38" s="18"/>
      <c r="D38" s="19"/>
      <c r="E38" s="19"/>
      <c r="F38" s="18"/>
      <c r="G38" s="18"/>
    </row>
    <row r="39" spans="1:7">
      <c r="A39" s="18"/>
      <c r="B39" s="18"/>
      <c r="C39" s="18"/>
      <c r="D39" s="19"/>
      <c r="E39" s="19"/>
      <c r="F39" s="18"/>
      <c r="G39" s="18"/>
    </row>
    <row r="40" spans="1:7">
      <c r="A40" s="18"/>
      <c r="B40" s="18"/>
      <c r="C40" s="18"/>
      <c r="D40" s="19"/>
      <c r="E40" s="19"/>
      <c r="F40" s="18"/>
      <c r="G40" s="18"/>
    </row>
    <row r="41" spans="1:7">
      <c r="A41" s="18"/>
      <c r="B41" s="18"/>
      <c r="C41" s="18"/>
      <c r="D41" s="19"/>
      <c r="E41" s="19"/>
      <c r="F41" s="18"/>
      <c r="G41" s="18"/>
    </row>
    <row r="42" spans="1:7">
      <c r="A42" s="18"/>
      <c r="B42" s="18"/>
      <c r="C42" s="18"/>
      <c r="D42" s="19"/>
      <c r="E42" s="19"/>
      <c r="F42" s="18"/>
      <c r="G42" s="18"/>
    </row>
    <row r="43" spans="1:7">
      <c r="A43" s="18"/>
      <c r="B43" s="18"/>
      <c r="C43" s="18"/>
      <c r="D43" s="19"/>
      <c r="E43" s="19"/>
      <c r="F43" s="18"/>
      <c r="G43" s="18"/>
    </row>
    <row r="44" spans="1:7">
      <c r="A44" s="18"/>
      <c r="B44" s="18"/>
      <c r="C44" s="18"/>
      <c r="D44" s="19"/>
      <c r="E44" s="19"/>
      <c r="F44" s="18"/>
      <c r="G44" s="18"/>
    </row>
    <row r="45" spans="1:7">
      <c r="A45" s="18"/>
      <c r="B45" s="18"/>
      <c r="C45" s="18"/>
      <c r="D45" s="19"/>
      <c r="E45" s="19"/>
      <c r="F45" s="18"/>
      <c r="G45" s="18"/>
    </row>
    <row r="46" spans="1:7">
      <c r="A46" s="16"/>
      <c r="B46" s="16"/>
      <c r="C46" s="16"/>
      <c r="D46" s="16"/>
      <c r="E46" s="16"/>
      <c r="F46" s="16"/>
      <c r="G46" s="16"/>
    </row>
  </sheetData>
  <mergeCells count="17">
    <mergeCell ref="A24:C24"/>
    <mergeCell ref="E20:F20"/>
    <mergeCell ref="A19:C19"/>
    <mergeCell ref="A2:D3"/>
    <mergeCell ref="B17:C17"/>
    <mergeCell ref="B16:C16"/>
    <mergeCell ref="B15:C15"/>
    <mergeCell ref="B14:C14"/>
    <mergeCell ref="E23:F23"/>
    <mergeCell ref="E22:F22"/>
    <mergeCell ref="E21:F21"/>
    <mergeCell ref="A7:G7"/>
    <mergeCell ref="F29:G29"/>
    <mergeCell ref="E26:E27"/>
    <mergeCell ref="F26:G27"/>
    <mergeCell ref="F28:G28"/>
    <mergeCell ref="F24:G24"/>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1">
    <tabColor rgb="FFFF0000"/>
  </sheetPr>
  <dimension ref="A1:K51"/>
  <sheetViews>
    <sheetView showGridLines="0" view="pageLayout" topLeftCell="A5" zoomScaleNormal="100" workbookViewId="0">
      <selection activeCell="H10" sqref="H10"/>
    </sheetView>
  </sheetViews>
  <sheetFormatPr baseColWidth="10" defaultColWidth="9.1640625" defaultRowHeight="15" outlineLevelRow="1"/>
  <cols>
    <col min="1" max="1" width="26.83203125" customWidth="1"/>
    <col min="2" max="2" width="13.1640625" customWidth="1"/>
    <col min="3" max="3" width="15.5" customWidth="1"/>
    <col min="4" max="4" width="13.33203125" customWidth="1"/>
    <col min="5" max="5" width="18" customWidth="1"/>
    <col min="6" max="6" width="8.83203125" bestFit="1" customWidth="1"/>
  </cols>
  <sheetData>
    <row r="1" spans="1:11" ht="25.5" customHeight="1"/>
    <row r="2" spans="1:11" s="1" customFormat="1" ht="15" customHeight="1">
      <c r="A2" s="1032" t="s">
        <v>316</v>
      </c>
      <c r="B2" s="1032"/>
      <c r="C2" s="1032"/>
      <c r="D2" s="3"/>
      <c r="E2" s="3"/>
      <c r="F2" s="3"/>
      <c r="G2" s="3"/>
      <c r="H2" s="3"/>
    </row>
    <row r="3" spans="1:11" s="1" customFormat="1" ht="8.25" customHeight="1">
      <c r="A3" s="1032"/>
      <c r="B3" s="1032"/>
      <c r="C3" s="1032"/>
      <c r="D3" s="3"/>
      <c r="E3" s="3"/>
      <c r="F3" s="3"/>
      <c r="G3" s="3"/>
      <c r="H3" s="3"/>
    </row>
    <row r="4" spans="1:11" s="1" customFormat="1" ht="10.5" customHeight="1">
      <c r="A4" s="33"/>
      <c r="B4" s="33"/>
      <c r="C4" s="33"/>
      <c r="D4" s="3"/>
      <c r="E4" s="3"/>
      <c r="F4" s="3"/>
      <c r="G4" s="1151" t="s">
        <v>796</v>
      </c>
      <c r="H4" s="1151"/>
      <c r="I4" s="1151"/>
      <c r="J4" s="1151"/>
      <c r="K4" s="1151"/>
    </row>
    <row r="5" spans="1:11" s="1" customFormat="1" ht="19.5" customHeight="1">
      <c r="A5" s="440" t="s">
        <v>7</v>
      </c>
      <c r="B5" s="3"/>
      <c r="C5" s="3"/>
      <c r="D5" s="3"/>
      <c r="G5" s="1151"/>
      <c r="H5" s="1151"/>
      <c r="I5" s="1151"/>
      <c r="J5" s="1151"/>
      <c r="K5" s="1151"/>
    </row>
    <row r="6" spans="1:11" s="1" customFormat="1" ht="15" customHeight="1">
      <c r="A6" s="910" t="s">
        <v>90</v>
      </c>
      <c r="B6"/>
      <c r="C6" s="441"/>
      <c r="D6" s="441"/>
      <c r="E6" s="441"/>
      <c r="G6" s="1151"/>
      <c r="H6" s="1151"/>
      <c r="I6" s="1151"/>
      <c r="J6" s="1151"/>
      <c r="K6" s="1151"/>
    </row>
    <row r="7" spans="1:11" s="1" customFormat="1" ht="15" customHeight="1">
      <c r="A7" s="911" t="s">
        <v>91</v>
      </c>
      <c r="B7" s="445" t="s">
        <v>92</v>
      </c>
      <c r="C7" s="445" t="s">
        <v>93</v>
      </c>
      <c r="D7" s="445" t="s">
        <v>94</v>
      </c>
      <c r="E7" s="408" t="s">
        <v>309</v>
      </c>
    </row>
    <row r="8" spans="1:11" s="1" customFormat="1" ht="15" customHeight="1">
      <c r="A8" s="523"/>
      <c r="B8" s="713"/>
      <c r="C8" s="587"/>
      <c r="D8" s="862">
        <v>0</v>
      </c>
      <c r="E8" s="871">
        <v>0</v>
      </c>
    </row>
    <row r="9" spans="1:11">
      <c r="A9" s="523"/>
      <c r="B9" s="713"/>
      <c r="C9" s="587"/>
      <c r="D9" s="862">
        <v>0</v>
      </c>
      <c r="E9" s="871">
        <v>0</v>
      </c>
    </row>
    <row r="10" spans="1:11" s="233" customFormat="1">
      <c r="A10" s="1139" t="s">
        <v>317</v>
      </c>
      <c r="B10" s="1139"/>
      <c r="C10" s="1139"/>
      <c r="D10" s="868">
        <f>SUM(D8:D9)</f>
        <v>0</v>
      </c>
      <c r="E10" s="35"/>
    </row>
    <row r="11" spans="1:11" s="364" customFormat="1">
      <c r="A11"/>
      <c r="B11"/>
      <c r="C11"/>
      <c r="D11"/>
      <c r="E11" s="35"/>
    </row>
    <row r="12" spans="1:11" s="364" customFormat="1" hidden="1" outlineLevel="1">
      <c r="A12" s="11" t="s">
        <v>405</v>
      </c>
      <c r="B12"/>
      <c r="C12"/>
      <c r="D12"/>
      <c r="E12" s="35"/>
    </row>
    <row r="13" spans="1:11" ht="15" hidden="1" customHeight="1" outlineLevel="1">
      <c r="A13" s="5"/>
      <c r="B13" s="5"/>
      <c r="C13" s="5"/>
      <c r="D13" s="6"/>
    </row>
    <row r="14" spans="1:11" ht="19.5" customHeight="1" collapsed="1">
      <c r="A14" s="440" t="s">
        <v>8</v>
      </c>
    </row>
    <row r="15" spans="1:11">
      <c r="A15" s="910" t="s">
        <v>408</v>
      </c>
      <c r="C15" s="441"/>
      <c r="D15" s="441"/>
    </row>
    <row r="16" spans="1:11">
      <c r="A16" s="911" t="s">
        <v>91</v>
      </c>
      <c r="B16" s="407" t="s">
        <v>92</v>
      </c>
      <c r="C16" s="407" t="s">
        <v>449</v>
      </c>
      <c r="D16" s="408" t="s">
        <v>94</v>
      </c>
    </row>
    <row r="17" spans="1:5">
      <c r="A17" s="523"/>
      <c r="B17" s="713"/>
      <c r="C17" s="587"/>
      <c r="D17" s="862">
        <v>0</v>
      </c>
    </row>
    <row r="18" spans="1:5">
      <c r="A18" s="523"/>
      <c r="B18" s="713"/>
      <c r="C18" s="587"/>
      <c r="D18" s="862">
        <v>0</v>
      </c>
    </row>
    <row r="19" spans="1:5" s="233" customFormat="1">
      <c r="A19" s="1139" t="s">
        <v>317</v>
      </c>
      <c r="B19" s="1139"/>
      <c r="C19" s="1139"/>
      <c r="D19" s="868">
        <f>SUM(D17:D18)</f>
        <v>0</v>
      </c>
      <c r="E19" s="35"/>
    </row>
    <row r="20" spans="1:5" s="364" customFormat="1">
      <c r="A20"/>
      <c r="B20"/>
      <c r="C20"/>
      <c r="D20" s="367"/>
      <c r="E20" s="35"/>
    </row>
    <row r="21" spans="1:5" s="364" customFormat="1" hidden="1" outlineLevel="1">
      <c r="A21" s="11" t="s">
        <v>405</v>
      </c>
      <c r="B21"/>
      <c r="C21"/>
      <c r="D21" s="367"/>
      <c r="E21" s="35"/>
    </row>
    <row r="22" spans="1:5" hidden="1" outlineLevel="1"/>
    <row r="23" spans="1:5" ht="19.5" customHeight="1" collapsed="1">
      <c r="A23" s="440" t="s">
        <v>9</v>
      </c>
    </row>
    <row r="24" spans="1:5">
      <c r="A24" s="910" t="s">
        <v>99</v>
      </c>
      <c r="C24" s="441"/>
      <c r="D24" s="441"/>
    </row>
    <row r="25" spans="1:5">
      <c r="A25" s="911" t="s">
        <v>91</v>
      </c>
      <c r="B25" s="445" t="s">
        <v>92</v>
      </c>
      <c r="C25" s="445" t="s">
        <v>93</v>
      </c>
      <c r="D25" s="408" t="s">
        <v>94</v>
      </c>
    </row>
    <row r="26" spans="1:5">
      <c r="A26" s="523"/>
      <c r="B26" s="713"/>
      <c r="C26" s="587"/>
      <c r="D26" s="862">
        <v>0</v>
      </c>
    </row>
    <row r="27" spans="1:5">
      <c r="A27" s="523"/>
      <c r="B27" s="713"/>
      <c r="C27" s="587"/>
      <c r="D27" s="862">
        <v>0</v>
      </c>
    </row>
    <row r="28" spans="1:5" s="233" customFormat="1">
      <c r="A28" s="1139" t="s">
        <v>317</v>
      </c>
      <c r="B28" s="1139"/>
      <c r="C28" s="1139"/>
      <c r="D28" s="868">
        <f>SUM(D26:D27)</f>
        <v>0</v>
      </c>
      <c r="E28" s="35"/>
    </row>
    <row r="29" spans="1:5" s="364" customFormat="1">
      <c r="A29"/>
      <c r="B29"/>
      <c r="C29"/>
      <c r="D29" s="367"/>
      <c r="E29" s="35"/>
    </row>
    <row r="30" spans="1:5" s="364" customFormat="1" hidden="1" outlineLevel="1">
      <c r="A30" s="11" t="s">
        <v>405</v>
      </c>
      <c r="B30"/>
      <c r="C30"/>
      <c r="D30" s="367"/>
      <c r="E30" s="35"/>
    </row>
    <row r="31" spans="1:5" hidden="1" outlineLevel="1">
      <c r="C31" s="21"/>
    </row>
    <row r="32" spans="1:5" ht="20.25" customHeight="1" collapsed="1">
      <c r="A32" s="440" t="s">
        <v>10</v>
      </c>
    </row>
    <row r="33" spans="1:6">
      <c r="A33" s="910" t="s">
        <v>453</v>
      </c>
      <c r="C33" s="441"/>
      <c r="D33" s="441"/>
      <c r="E33" s="441"/>
    </row>
    <row r="34" spans="1:6">
      <c r="A34" s="911" t="s">
        <v>91</v>
      </c>
      <c r="B34" s="407" t="s">
        <v>92</v>
      </c>
      <c r="C34" s="407" t="s">
        <v>100</v>
      </c>
      <c r="D34" s="407" t="s">
        <v>94</v>
      </c>
      <c r="E34" s="445" t="s">
        <v>489</v>
      </c>
      <c r="F34" s="408" t="s">
        <v>101</v>
      </c>
    </row>
    <row r="35" spans="1:6">
      <c r="A35" s="523"/>
      <c r="B35" s="713"/>
      <c r="C35" s="587"/>
      <c r="D35" s="862">
        <v>0</v>
      </c>
      <c r="E35" s="862">
        <v>0</v>
      </c>
      <c r="F35" s="713"/>
    </row>
    <row r="36" spans="1:6">
      <c r="A36" s="523"/>
      <c r="B36" s="713"/>
      <c r="C36" s="587"/>
      <c r="D36" s="862">
        <v>0</v>
      </c>
      <c r="E36" s="862">
        <v>0</v>
      </c>
      <c r="F36" s="713"/>
    </row>
    <row r="37" spans="1:6" ht="15.75" customHeight="1">
      <c r="A37" s="523"/>
      <c r="B37" s="713"/>
      <c r="C37" s="587"/>
      <c r="D37" s="862">
        <v>0</v>
      </c>
      <c r="E37" s="862">
        <v>0</v>
      </c>
      <c r="F37" s="713"/>
    </row>
    <row r="38" spans="1:6">
      <c r="A38" s="1139" t="s">
        <v>317</v>
      </c>
      <c r="B38" s="1139"/>
      <c r="C38" s="1139"/>
      <c r="D38" s="868">
        <f>SUM(D35:D37)</f>
        <v>0</v>
      </c>
      <c r="E38" s="868">
        <f>SUM(E35:E37)</f>
        <v>0</v>
      </c>
    </row>
    <row r="39" spans="1:6" s="364" customFormat="1" hidden="1" outlineLevel="1">
      <c r="A39"/>
      <c r="B39"/>
      <c r="C39"/>
      <c r="D39" s="367"/>
      <c r="E39" s="35"/>
    </row>
    <row r="40" spans="1:6" s="364" customFormat="1" hidden="1" outlineLevel="1">
      <c r="A40" s="11" t="s">
        <v>405</v>
      </c>
      <c r="B40"/>
      <c r="C40"/>
      <c r="D40" s="367"/>
      <c r="E40" s="35"/>
    </row>
    <row r="41" spans="1:6" collapsed="1"/>
    <row r="42" spans="1:6" ht="21.75" customHeight="1">
      <c r="A42" s="440" t="s">
        <v>12</v>
      </c>
    </row>
    <row r="43" spans="1:6">
      <c r="A43" s="910" t="s">
        <v>341</v>
      </c>
      <c r="C43" s="441"/>
      <c r="D43" s="441"/>
      <c r="E43" s="441"/>
    </row>
    <row r="44" spans="1:6">
      <c r="A44" s="911" t="s">
        <v>91</v>
      </c>
      <c r="B44" s="445" t="s">
        <v>92</v>
      </c>
      <c r="C44" s="445" t="s">
        <v>100</v>
      </c>
      <c r="D44" s="445" t="s">
        <v>94</v>
      </c>
      <c r="E44" s="408" t="s">
        <v>101</v>
      </c>
    </row>
    <row r="45" spans="1:6">
      <c r="A45" s="523"/>
      <c r="B45" s="713"/>
      <c r="C45" s="587"/>
      <c r="D45" s="862">
        <v>0</v>
      </c>
      <c r="E45" s="713"/>
    </row>
    <row r="46" spans="1:6">
      <c r="A46" s="523"/>
      <c r="B46" s="713"/>
      <c r="C46" s="587"/>
      <c r="D46" s="862">
        <v>0</v>
      </c>
      <c r="E46" s="713"/>
    </row>
    <row r="47" spans="1:6" s="233" customFormat="1">
      <c r="A47" s="1139" t="s">
        <v>317</v>
      </c>
      <c r="B47" s="1139"/>
      <c r="C47" s="1139"/>
      <c r="D47" s="868">
        <f>SUM(D45:D46)</f>
        <v>0</v>
      </c>
      <c r="E47" s="35"/>
    </row>
    <row r="49" spans="1:1" outlineLevel="1">
      <c r="A49" s="726" t="s">
        <v>790</v>
      </c>
    </row>
    <row r="50" spans="1:1" outlineLevel="1"/>
    <row r="51" spans="1:1" s="364" customFormat="1" ht="15" customHeight="1">
      <c r="A51" s="47"/>
    </row>
  </sheetData>
  <mergeCells count="7">
    <mergeCell ref="G4:K6"/>
    <mergeCell ref="A2:C3"/>
    <mergeCell ref="A38:C38"/>
    <mergeCell ref="A47:C47"/>
    <mergeCell ref="A28:C28"/>
    <mergeCell ref="A19:C19"/>
    <mergeCell ref="A10:C10"/>
  </mergeCells>
  <printOptions horizontalCentered="1"/>
  <pageMargins left="0.27083333333333331"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5">
    <tabColor rgb="FFFF0000"/>
  </sheetPr>
  <dimension ref="A1:G42"/>
  <sheetViews>
    <sheetView showGridLines="0" view="pageLayout" zoomScaleNormal="100" workbookViewId="0">
      <selection activeCell="H10" sqref="H10"/>
    </sheetView>
  </sheetViews>
  <sheetFormatPr baseColWidth="10" defaultColWidth="9.1640625" defaultRowHeight="15"/>
  <cols>
    <col min="1" max="1" width="26.6640625" customWidth="1"/>
    <col min="2" max="2" width="13.6640625" hidden="1" customWidth="1"/>
    <col min="3" max="3" width="17.5" customWidth="1"/>
    <col min="4" max="4" width="15.6640625" customWidth="1"/>
    <col min="5" max="5" width="14.5" customWidth="1"/>
    <col min="6" max="6" width="9" customWidth="1"/>
    <col min="7" max="7" width="8.83203125" customWidth="1"/>
  </cols>
  <sheetData>
    <row r="1" spans="1:7" ht="22.5" customHeight="1"/>
    <row r="2" spans="1:7" ht="15" customHeight="1">
      <c r="A2" s="1004" t="s">
        <v>11</v>
      </c>
      <c r="B2" s="1149"/>
      <c r="C2" s="1149"/>
      <c r="D2" s="1149"/>
    </row>
    <row r="3" spans="1:7" ht="15" customHeight="1">
      <c r="A3" s="1149"/>
      <c r="B3" s="1149"/>
      <c r="C3" s="1149"/>
      <c r="D3" s="1149"/>
    </row>
    <row r="4" spans="1:7" s="1" customFormat="1" ht="15" customHeight="1">
      <c r="A4"/>
      <c r="B4"/>
      <c r="C4"/>
      <c r="D4"/>
      <c r="E4"/>
      <c r="F4"/>
      <c r="G4"/>
    </row>
    <row r="5" spans="1:7" s="1" customFormat="1" ht="16">
      <c r="A5" s="443" t="s">
        <v>13</v>
      </c>
    </row>
    <row r="6" spans="1:7" s="1" customFormat="1" ht="15" customHeight="1"/>
    <row r="7" spans="1:7" s="1" customFormat="1" ht="15" customHeight="1">
      <c r="A7" s="224" t="s">
        <v>803</v>
      </c>
      <c r="B7" s="10"/>
      <c r="C7" s="10"/>
      <c r="D7" s="10"/>
      <c r="E7" s="10"/>
      <c r="F7" s="10"/>
      <c r="G7" s="10"/>
    </row>
    <row r="8" spans="1:7">
      <c r="A8" s="17"/>
      <c r="B8" s="17"/>
      <c r="C8" s="17"/>
      <c r="D8" s="17"/>
      <c r="E8" s="17"/>
      <c r="F8" s="17"/>
      <c r="G8" s="17"/>
    </row>
    <row r="9" spans="1:7" ht="26">
      <c r="A9" s="723" t="s">
        <v>102</v>
      </c>
      <c r="B9" s="456"/>
      <c r="C9" s="456" t="s">
        <v>804</v>
      </c>
      <c r="D9" s="453" t="s">
        <v>61</v>
      </c>
      <c r="E9" s="739" t="s">
        <v>318</v>
      </c>
      <c r="F9" s="456" t="s">
        <v>103</v>
      </c>
      <c r="G9" s="715" t="s">
        <v>104</v>
      </c>
    </row>
    <row r="10" spans="1:7" ht="15.75" customHeight="1">
      <c r="A10" s="778" t="str">
        <f>EP_Current</f>
        <v>MMM DD YYY - MMM DD YYYY</v>
      </c>
      <c r="B10" s="465">
        <v>0</v>
      </c>
      <c r="C10" s="862">
        <f>'Experience Summary'!D21</f>
        <v>0</v>
      </c>
      <c r="D10" s="862">
        <v>0</v>
      </c>
      <c r="E10" s="862">
        <f>'Experience Summary'!E21</f>
        <v>0</v>
      </c>
      <c r="F10" s="466" t="e">
        <f>E10/C10</f>
        <v>#DIV/0!</v>
      </c>
      <c r="G10" s="707">
        <v>0</v>
      </c>
    </row>
    <row r="11" spans="1:7" ht="15.75" customHeight="1">
      <c r="A11" s="778" t="str">
        <f>EP_P1</f>
        <v>MMM DD YYY - MMM DD YYYY</v>
      </c>
      <c r="B11" s="465">
        <v>0</v>
      </c>
      <c r="C11" s="862">
        <v>0</v>
      </c>
      <c r="D11" s="862">
        <v>0</v>
      </c>
      <c r="E11" s="862">
        <v>0</v>
      </c>
      <c r="F11" s="466" t="e">
        <f>E11/C11</f>
        <v>#DIV/0!</v>
      </c>
      <c r="G11" s="707">
        <v>0</v>
      </c>
    </row>
    <row r="12" spans="1:7" ht="15.75" customHeight="1">
      <c r="A12" s="778" t="str">
        <f>EP_P2</f>
        <v>MMM DD YYY - MMM DD YYYY</v>
      </c>
      <c r="B12" s="465">
        <v>0</v>
      </c>
      <c r="C12" s="862">
        <v>0</v>
      </c>
      <c r="D12" s="862">
        <v>0</v>
      </c>
      <c r="E12" s="862">
        <v>0</v>
      </c>
      <c r="F12" s="466" t="e">
        <f>E12/C12</f>
        <v>#DIV/0!</v>
      </c>
      <c r="G12" s="707">
        <v>0</v>
      </c>
    </row>
    <row r="13" spans="1:7">
      <c r="A13" s="224" t="s">
        <v>584</v>
      </c>
    </row>
    <row r="14" spans="1:7">
      <c r="A14" s="5"/>
    </row>
    <row r="15" spans="1:7">
      <c r="A15" s="722" t="s">
        <v>591</v>
      </c>
      <c r="B15" s="1152" t="str">
        <f>'Additional Information'!B12</f>
        <v>x% of Claims</v>
      </c>
      <c r="C15" s="1152"/>
      <c r="E15" s="79"/>
    </row>
    <row r="16" spans="1:7" ht="14.5" customHeight="1">
      <c r="A16" s="722" t="s">
        <v>105</v>
      </c>
      <c r="B16" s="1152">
        <v>0</v>
      </c>
      <c r="C16" s="1152"/>
      <c r="E16" s="79"/>
    </row>
    <row r="17" spans="1:7">
      <c r="A17" s="427" t="s">
        <v>332</v>
      </c>
      <c r="B17" s="1152">
        <f>'Experience Summary'!D45</f>
        <v>0</v>
      </c>
      <c r="C17" s="1152"/>
      <c r="E17" s="79"/>
    </row>
    <row r="18" spans="1:7">
      <c r="A18" s="722" t="s">
        <v>454</v>
      </c>
      <c r="B18" s="1152">
        <v>0</v>
      </c>
      <c r="C18" s="1152"/>
      <c r="E18" s="79"/>
    </row>
    <row r="19" spans="1:7">
      <c r="A19" s="722" t="s">
        <v>106</v>
      </c>
      <c r="B19" s="1152" t="e">
        <f>'Trend Review'!F11</f>
        <v>#VALUE!</v>
      </c>
      <c r="C19" s="1152"/>
      <c r="E19" s="79"/>
    </row>
    <row r="20" spans="1:7">
      <c r="A20" s="5"/>
    </row>
    <row r="21" spans="1:7">
      <c r="C21" s="21"/>
      <c r="E21" s="1095" t="s">
        <v>97</v>
      </c>
      <c r="F21" s="1089" t="s">
        <v>98</v>
      </c>
      <c r="G21" s="1066"/>
    </row>
    <row r="22" spans="1:7">
      <c r="E22" s="1121"/>
      <c r="F22" s="1118"/>
      <c r="G22" s="1066"/>
    </row>
    <row r="23" spans="1:7" ht="15" customHeight="1">
      <c r="D23" s="722" t="s">
        <v>78</v>
      </c>
      <c r="E23" s="758" t="e">
        <f>IF(('Renewal Rates '!F66/'Renewal Rates '!D66-1)&gt;0, "+"&amp;TEXT(('Renewal Rates '!F66/'Renewal Rates '!D66-1),"0.0%"), 'Renewal Rates '!F66/'Renewal Rates '!D66-1)</f>
        <v>#DIV/0!</v>
      </c>
      <c r="F23" s="1085" t="e">
        <f>IF(('Renewal Rates '!I66/'Renewal Rates '!D66-1)&gt;0, "+"&amp;TEXT(('Renewal Rates '!I66/'Renewal Rates '!D66-1),"0.0%"), 'Renewal Rates '!I66/'Renewal Rates '!D66-1)</f>
        <v>#DIV/0!</v>
      </c>
      <c r="G23" s="1085"/>
    </row>
    <row r="24" spans="1:7">
      <c r="D24" s="740" t="s">
        <v>96</v>
      </c>
      <c r="E24" s="861">
        <f>('Executive Summary'!D16+'Executive Summary'!D19-'Executive Summary'!C16-'Executive Summary'!C19)*12</f>
        <v>0</v>
      </c>
      <c r="F24" s="1088">
        <f>('Executive Summary'!F16+'Executive Summary'!F19-'Executive Summary'!C16-'Executive Summary'!C19)*12</f>
        <v>0</v>
      </c>
      <c r="G24" s="1088"/>
    </row>
    <row r="25" spans="1:7">
      <c r="A25" s="21"/>
      <c r="B25" s="21"/>
      <c r="C25" s="21"/>
      <c r="D25" s="18"/>
      <c r="E25" s="18"/>
      <c r="F25" s="18"/>
      <c r="G25" s="18"/>
    </row>
    <row r="26" spans="1:7">
      <c r="D26" s="19"/>
      <c r="E26" s="19"/>
      <c r="F26" s="18"/>
      <c r="G26" s="18"/>
    </row>
    <row r="27" spans="1:7">
      <c r="D27" s="19"/>
      <c r="E27" s="19"/>
      <c r="F27" s="18"/>
      <c r="G27" s="18"/>
    </row>
    <row r="28" spans="1:7">
      <c r="A28" s="18"/>
      <c r="D28" s="19"/>
      <c r="E28" s="19"/>
      <c r="F28" s="18"/>
      <c r="G28" s="18"/>
    </row>
    <row r="29" spans="1:7">
      <c r="A29" s="18"/>
      <c r="B29" s="18"/>
      <c r="C29" s="18"/>
      <c r="D29" s="19"/>
      <c r="E29" s="19"/>
      <c r="F29" s="18"/>
      <c r="G29" s="18"/>
    </row>
    <row r="30" spans="1:7">
      <c r="A30" s="18"/>
      <c r="B30" s="18"/>
      <c r="C30" s="18"/>
      <c r="D30" s="19"/>
      <c r="E30" s="19"/>
      <c r="F30" s="18"/>
      <c r="G30" s="18"/>
    </row>
    <row r="31" spans="1:7">
      <c r="A31" s="18"/>
      <c r="B31" s="18"/>
      <c r="C31" s="18"/>
      <c r="D31" s="19"/>
      <c r="E31" s="19"/>
      <c r="F31" s="18"/>
      <c r="G31" s="18"/>
    </row>
    <row r="32" spans="1:7">
      <c r="A32" s="18"/>
      <c r="B32" s="18"/>
      <c r="C32" s="18"/>
      <c r="D32" s="19"/>
      <c r="E32" s="19"/>
      <c r="F32" s="18"/>
      <c r="G32" s="18"/>
    </row>
    <row r="33" spans="1:7">
      <c r="A33" s="18"/>
      <c r="B33" s="18"/>
      <c r="C33" s="18"/>
      <c r="D33" s="19"/>
      <c r="E33" s="19"/>
      <c r="F33" s="18"/>
      <c r="G33" s="18"/>
    </row>
    <row r="34" spans="1:7">
      <c r="A34" s="18"/>
      <c r="B34" s="18"/>
      <c r="C34" s="18"/>
      <c r="D34" s="19"/>
      <c r="E34" s="19"/>
      <c r="F34" s="18"/>
      <c r="G34" s="18"/>
    </row>
    <row r="35" spans="1:7">
      <c r="A35" s="18"/>
      <c r="B35" s="18"/>
      <c r="C35" s="18"/>
      <c r="D35" s="19"/>
      <c r="E35" s="19"/>
      <c r="F35" s="18"/>
      <c r="G35" s="18"/>
    </row>
    <row r="36" spans="1:7">
      <c r="A36" s="18"/>
      <c r="B36" s="18"/>
      <c r="C36" s="18"/>
      <c r="D36" s="19"/>
      <c r="E36" s="19"/>
      <c r="F36" s="18"/>
      <c r="G36" s="18"/>
    </row>
    <row r="37" spans="1:7">
      <c r="A37" s="18"/>
      <c r="B37" s="18"/>
      <c r="C37" s="18"/>
      <c r="D37" s="19"/>
      <c r="E37" s="19"/>
      <c r="F37" s="18"/>
      <c r="G37" s="18"/>
    </row>
    <row r="38" spans="1:7">
      <c r="A38" s="18"/>
      <c r="B38" s="18"/>
      <c r="C38" s="18"/>
      <c r="D38" s="19"/>
      <c r="E38" s="19"/>
      <c r="F38" s="18"/>
      <c r="G38" s="18"/>
    </row>
    <row r="39" spans="1:7">
      <c r="A39" s="18"/>
      <c r="B39" s="18"/>
      <c r="C39" s="18"/>
      <c r="D39" s="19"/>
      <c r="E39" s="19"/>
      <c r="F39" s="18"/>
      <c r="G39" s="18"/>
    </row>
    <row r="40" spans="1:7">
      <c r="A40" s="18"/>
      <c r="B40" s="18"/>
      <c r="C40" s="18"/>
      <c r="D40" s="19"/>
      <c r="E40" s="19"/>
      <c r="F40" s="18"/>
      <c r="G40" s="18"/>
    </row>
    <row r="41" spans="1:7">
      <c r="A41" s="18"/>
      <c r="B41" s="18"/>
      <c r="C41" s="18"/>
      <c r="D41" s="19"/>
      <c r="E41" s="19"/>
      <c r="F41" s="18"/>
      <c r="G41" s="18"/>
    </row>
    <row r="42" spans="1:7">
      <c r="A42" s="16"/>
      <c r="B42" s="16"/>
      <c r="C42" s="16"/>
      <c r="D42" s="16"/>
      <c r="E42" s="16"/>
      <c r="F42" s="16"/>
      <c r="G42" s="16"/>
    </row>
  </sheetData>
  <mergeCells count="10">
    <mergeCell ref="A2:D3"/>
    <mergeCell ref="E21:E22"/>
    <mergeCell ref="F21:G22"/>
    <mergeCell ref="F23:G23"/>
    <mergeCell ref="B15:C15"/>
    <mergeCell ref="F24:G24"/>
    <mergeCell ref="B19:C19"/>
    <mergeCell ref="B18:C18"/>
    <mergeCell ref="B17:C17"/>
    <mergeCell ref="B16:C16"/>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3">
    <tabColor rgb="FF49A942"/>
    <pageSetUpPr fitToPage="1"/>
  </sheetPr>
  <dimension ref="A1:O50"/>
  <sheetViews>
    <sheetView showGridLines="0" view="pageLayout" topLeftCell="A4" zoomScaleNormal="100" workbookViewId="0">
      <selection activeCell="E16" sqref="E16:F16"/>
    </sheetView>
  </sheetViews>
  <sheetFormatPr baseColWidth="10" defaultColWidth="9.1640625" defaultRowHeight="15"/>
  <cols>
    <col min="1" max="1" width="26.5" customWidth="1"/>
    <col min="2" max="2" width="13.33203125" customWidth="1"/>
    <col min="3" max="3" width="8" customWidth="1"/>
    <col min="4" max="4" width="2.5" customWidth="1"/>
    <col min="5" max="5" width="13.33203125" customWidth="1"/>
    <col min="6" max="6" width="8" customWidth="1"/>
    <col min="7" max="7" width="7.5" customWidth="1"/>
    <col min="8" max="8" width="1.5" customWidth="1"/>
    <col min="9" max="9" width="12.33203125" customWidth="1"/>
    <col min="10" max="10" width="3.1640625" customWidth="1"/>
    <col min="14" max="14" width="13.1640625" customWidth="1"/>
    <col min="15" max="15" width="12.5" customWidth="1"/>
  </cols>
  <sheetData>
    <row r="1" spans="1:15" ht="20.25" customHeight="1"/>
    <row r="2" spans="1:15" s="1" customFormat="1" ht="28.5" customHeight="1">
      <c r="A2" s="484" t="s">
        <v>14</v>
      </c>
    </row>
    <row r="3" spans="1:15" s="1" customFormat="1" ht="3" customHeight="1"/>
    <row r="4" spans="1:15" s="1" customFormat="1" ht="15" customHeight="1">
      <c r="A4" s="1021" t="s">
        <v>107</v>
      </c>
      <c r="B4" s="1021"/>
      <c r="C4" s="1021"/>
      <c r="D4" s="1021"/>
      <c r="E4" s="1021"/>
      <c r="F4" s="1021"/>
      <c r="G4" s="1021"/>
      <c r="H4" s="1021"/>
      <c r="I4" s="1021"/>
    </row>
    <row r="5" spans="1:15" s="1" customFormat="1" ht="8.25" customHeight="1">
      <c r="A5" s="17"/>
      <c r="B5" s="17"/>
      <c r="C5" s="17"/>
      <c r="D5" s="17"/>
      <c r="E5" s="17"/>
      <c r="F5" s="17"/>
      <c r="G5" s="17"/>
      <c r="H5" s="17"/>
      <c r="I5" s="17"/>
    </row>
    <row r="6" spans="1:15" ht="15.75" customHeight="1">
      <c r="A6" s="1155" t="s">
        <v>108</v>
      </c>
      <c r="B6" s="1156" t="s">
        <v>31</v>
      </c>
      <c r="C6" s="1157"/>
      <c r="D6" s="322"/>
      <c r="E6" s="1158" t="s">
        <v>74</v>
      </c>
      <c r="F6" s="1159"/>
      <c r="G6" s="1071" t="s">
        <v>36</v>
      </c>
      <c r="H6" s="322"/>
      <c r="I6" s="1160" t="s">
        <v>407</v>
      </c>
    </row>
    <row r="7" spans="1:15">
      <c r="A7" s="1155"/>
      <c r="B7" s="473" t="s">
        <v>109</v>
      </c>
      <c r="C7" s="472" t="s">
        <v>78</v>
      </c>
      <c r="D7" s="322"/>
      <c r="E7" s="478" t="s">
        <v>109</v>
      </c>
      <c r="F7" s="473" t="s">
        <v>78</v>
      </c>
      <c r="G7" s="1071"/>
      <c r="H7" s="322"/>
      <c r="I7" s="1160"/>
    </row>
    <row r="8" spans="1:15">
      <c r="A8" s="479" t="s">
        <v>110</v>
      </c>
      <c r="B8" s="435"/>
      <c r="C8" s="428" t="e">
        <f t="shared" ref="C8:C13" si="0">B8/B$14</f>
        <v>#DIV/0!</v>
      </c>
      <c r="D8" s="322"/>
      <c r="E8" s="435"/>
      <c r="F8" s="428" t="e">
        <f t="shared" ref="F8:F13" si="1">E8/E$14</f>
        <v>#DIV/0!</v>
      </c>
      <c r="G8" s="398" t="str">
        <f t="shared" ref="G8:G13" si="2">IFERROR(B8/E8-1,"n/a")</f>
        <v>n/a</v>
      </c>
      <c r="H8" s="322"/>
      <c r="I8" s="471">
        <v>0</v>
      </c>
    </row>
    <row r="9" spans="1:15">
      <c r="A9" s="479" t="s">
        <v>111</v>
      </c>
      <c r="B9" s="435">
        <f>'EHC Breakdown (2)'!$B$20</f>
        <v>0</v>
      </c>
      <c r="C9" s="428" t="e">
        <f t="shared" si="0"/>
        <v>#DIV/0!</v>
      </c>
      <c r="D9" s="322"/>
      <c r="E9" s="435">
        <f>'EHC Breakdown (2)'!$E$20</f>
        <v>0</v>
      </c>
      <c r="F9" s="428" t="e">
        <f t="shared" si="1"/>
        <v>#DIV/0!</v>
      </c>
      <c r="G9" s="398" t="str">
        <f t="shared" si="2"/>
        <v>n/a</v>
      </c>
      <c r="H9" s="322"/>
      <c r="I9" s="471">
        <v>0</v>
      </c>
    </row>
    <row r="10" spans="1:15">
      <c r="A10" s="479" t="s">
        <v>112</v>
      </c>
      <c r="B10" s="435"/>
      <c r="C10" s="428" t="e">
        <f t="shared" si="0"/>
        <v>#DIV/0!</v>
      </c>
      <c r="D10" s="322"/>
      <c r="E10" s="435"/>
      <c r="F10" s="428" t="e">
        <f t="shared" si="1"/>
        <v>#DIV/0!</v>
      </c>
      <c r="G10" s="398" t="str">
        <f t="shared" si="2"/>
        <v>n/a</v>
      </c>
      <c r="H10" s="322"/>
      <c r="I10" s="471">
        <v>0</v>
      </c>
    </row>
    <row r="11" spans="1:15">
      <c r="A11" s="479" t="s">
        <v>43</v>
      </c>
      <c r="B11" s="435"/>
      <c r="C11" s="428" t="e">
        <f t="shared" si="0"/>
        <v>#DIV/0!</v>
      </c>
      <c r="D11" s="322"/>
      <c r="E11" s="435"/>
      <c r="F11" s="428" t="e">
        <f t="shared" si="1"/>
        <v>#DIV/0!</v>
      </c>
      <c r="G11" s="398" t="str">
        <f t="shared" si="2"/>
        <v>n/a</v>
      </c>
      <c r="H11" s="322"/>
      <c r="I11" s="471">
        <v>0</v>
      </c>
    </row>
    <row r="12" spans="1:15">
      <c r="A12" s="479" t="s">
        <v>113</v>
      </c>
      <c r="B12" s="435"/>
      <c r="C12" s="428" t="e">
        <f t="shared" si="0"/>
        <v>#DIV/0!</v>
      </c>
      <c r="D12" s="322"/>
      <c r="E12" s="435"/>
      <c r="F12" s="428" t="e">
        <f t="shared" si="1"/>
        <v>#DIV/0!</v>
      </c>
      <c r="G12" s="398" t="str">
        <f t="shared" si="2"/>
        <v>n/a</v>
      </c>
      <c r="H12" s="322"/>
      <c r="I12" s="471">
        <v>0</v>
      </c>
      <c r="N12" s="327" t="s">
        <v>31</v>
      </c>
      <c r="O12" s="327" t="s">
        <v>707</v>
      </c>
    </row>
    <row r="13" spans="1:15">
      <c r="A13" s="479" t="s">
        <v>114</v>
      </c>
      <c r="B13" s="435"/>
      <c r="C13" s="428" t="e">
        <f t="shared" si="0"/>
        <v>#DIV/0!</v>
      </c>
      <c r="D13" s="322"/>
      <c r="E13" s="435"/>
      <c r="F13" s="428" t="e">
        <f t="shared" si="1"/>
        <v>#DIV/0!</v>
      </c>
      <c r="G13" s="398" t="str">
        <f t="shared" si="2"/>
        <v>n/a</v>
      </c>
      <c r="H13" s="322"/>
      <c r="I13" s="471">
        <v>0</v>
      </c>
      <c r="L13" s="279" t="s">
        <v>695</v>
      </c>
      <c r="M13" s="279"/>
      <c r="N13" s="281">
        <f>B14</f>
        <v>0</v>
      </c>
      <c r="O13" s="281">
        <f>E14</f>
        <v>0</v>
      </c>
    </row>
    <row r="14" spans="1:15">
      <c r="A14" s="475" t="s">
        <v>66</v>
      </c>
      <c r="B14" s="411">
        <f>SUM(B8:B13)</f>
        <v>0</v>
      </c>
      <c r="C14" s="474" t="e">
        <f>B14/B14</f>
        <v>#DIV/0!</v>
      </c>
      <c r="D14" s="322"/>
      <c r="E14" s="409">
        <f>SUM(E8:E13)</f>
        <v>0</v>
      </c>
      <c r="F14" s="467" t="e">
        <f>E14/E14</f>
        <v>#DIV/0!</v>
      </c>
      <c r="G14" s="444" t="e">
        <f>B14/E14-1</f>
        <v>#DIV/0!</v>
      </c>
      <c r="H14" s="322"/>
      <c r="I14" s="470"/>
      <c r="L14" s="279" t="s">
        <v>696</v>
      </c>
      <c r="M14" s="279"/>
      <c r="N14" s="281">
        <f>'Extended Health Care (EHC)'!D10</f>
        <v>0</v>
      </c>
      <c r="O14" s="281">
        <f>'Extended Health Care (EHC)'!D11</f>
        <v>0</v>
      </c>
    </row>
    <row r="15" spans="1:15" ht="7.5" customHeight="1">
      <c r="A15" s="476"/>
      <c r="B15" s="410"/>
      <c r="C15" s="410"/>
      <c r="D15" s="322"/>
      <c r="E15" s="410"/>
      <c r="F15" s="410"/>
      <c r="G15" s="469"/>
      <c r="H15" s="151"/>
      <c r="I15" s="151"/>
      <c r="L15" s="279"/>
      <c r="M15" s="279"/>
      <c r="N15" s="279"/>
      <c r="O15" s="279"/>
    </row>
    <row r="16" spans="1:15" ht="17" thickBot="1">
      <c r="A16" s="477" t="s">
        <v>115</v>
      </c>
      <c r="B16" s="1161"/>
      <c r="C16" s="1161"/>
      <c r="D16" s="322"/>
      <c r="E16" s="1161"/>
      <c r="F16" s="1161"/>
      <c r="G16" s="444" t="e">
        <f>B16/E16-1</f>
        <v>#DIV/0!</v>
      </c>
      <c r="H16" s="151"/>
      <c r="I16" s="151"/>
      <c r="L16" s="279" t="s">
        <v>69</v>
      </c>
      <c r="M16" s="279"/>
      <c r="N16" s="324">
        <f>'Stop Loss '!E11</f>
        <v>0</v>
      </c>
      <c r="O16" s="324">
        <f>'Stop Loss '!E12</f>
        <v>0</v>
      </c>
    </row>
    <row r="17" spans="1:15" ht="16" thickTop="1">
      <c r="A17" s="477" t="s">
        <v>507</v>
      </c>
      <c r="B17" s="1154" t="e">
        <f>B14/B16</f>
        <v>#DIV/0!</v>
      </c>
      <c r="C17" s="1154"/>
      <c r="D17" s="322"/>
      <c r="E17" s="1154" t="e">
        <f>E14/E16</f>
        <v>#DIV/0!</v>
      </c>
      <c r="F17" s="1154"/>
      <c r="G17" s="444" t="e">
        <f>B17/E17-1</f>
        <v>#DIV/0!</v>
      </c>
      <c r="H17" s="12"/>
      <c r="I17" s="12"/>
      <c r="L17" s="279" t="s">
        <v>700</v>
      </c>
      <c r="M17" s="279"/>
      <c r="N17" s="280">
        <f>N13-N14-N16</f>
        <v>0</v>
      </c>
      <c r="O17" s="280">
        <f>O13-O14-O16</f>
        <v>0</v>
      </c>
    </row>
    <row r="18" spans="1:15" s="233" customFormat="1">
      <c r="A18" s="320"/>
      <c r="B18" s="321"/>
      <c r="C18" s="321"/>
      <c r="D18" s="322"/>
      <c r="E18" s="321"/>
      <c r="F18" s="321"/>
      <c r="G18" s="323"/>
      <c r="H18" s="12"/>
      <c r="I18" s="12"/>
      <c r="L18" s="279"/>
      <c r="M18" s="279"/>
      <c r="N18" s="280"/>
      <c r="O18" s="280"/>
    </row>
    <row r="19" spans="1:15" s="233" customFormat="1">
      <c r="A19" s="320"/>
      <c r="B19" s="321"/>
      <c r="C19" s="321"/>
      <c r="D19" s="322"/>
      <c r="E19" s="321"/>
      <c r="F19" s="321"/>
      <c r="G19" s="323"/>
      <c r="H19" s="12"/>
      <c r="I19" s="12"/>
      <c r="L19" s="279"/>
      <c r="M19" s="279"/>
      <c r="N19" s="280"/>
      <c r="O19" s="280"/>
    </row>
    <row r="20" spans="1:15" s="233" customFormat="1">
      <c r="A20" s="320"/>
      <c r="B20" s="321"/>
      <c r="C20" s="321"/>
      <c r="D20" s="322"/>
      <c r="E20" s="321"/>
      <c r="F20" s="321"/>
      <c r="G20" s="323"/>
      <c r="H20" s="12"/>
      <c r="I20" s="12"/>
      <c r="L20" s="279"/>
      <c r="M20" s="279"/>
      <c r="N20" s="280"/>
      <c r="O20" s="280"/>
    </row>
    <row r="21" spans="1:15" s="233" customFormat="1">
      <c r="A21" s="320"/>
      <c r="B21" s="321"/>
      <c r="C21" s="321"/>
      <c r="D21" s="322"/>
      <c r="E21" s="321"/>
      <c r="F21" s="321"/>
      <c r="G21" s="323"/>
      <c r="H21" s="12"/>
      <c r="I21" s="12"/>
      <c r="L21" s="279"/>
      <c r="M21" s="279"/>
      <c r="N21" s="280"/>
      <c r="O21" s="280"/>
    </row>
    <row r="22" spans="1:15" s="233" customFormat="1">
      <c r="A22" s="320"/>
      <c r="B22" s="321"/>
      <c r="C22" s="321"/>
      <c r="D22" s="322"/>
      <c r="E22" s="321"/>
      <c r="F22" s="321"/>
      <c r="G22" s="323"/>
      <c r="H22" s="12"/>
      <c r="I22" s="12"/>
      <c r="L22" s="279"/>
      <c r="M22" s="279"/>
      <c r="N22" s="280"/>
      <c r="O22" s="280"/>
    </row>
    <row r="23" spans="1:15" s="233" customFormat="1">
      <c r="A23" s="320"/>
      <c r="B23" s="321"/>
      <c r="C23" s="321"/>
      <c r="D23" s="322"/>
      <c r="E23" s="321"/>
      <c r="F23" s="321"/>
      <c r="G23" s="323"/>
      <c r="H23" s="12"/>
      <c r="I23" s="12"/>
      <c r="L23" s="279"/>
      <c r="M23" s="279"/>
      <c r="N23" s="280"/>
      <c r="O23" s="280"/>
    </row>
    <row r="24" spans="1:15" s="233" customFormat="1">
      <c r="A24" s="320"/>
      <c r="B24" s="321"/>
      <c r="C24" s="321"/>
      <c r="D24" s="322"/>
      <c r="E24" s="321"/>
      <c r="F24" s="321"/>
      <c r="G24" s="323"/>
      <c r="H24" s="12"/>
      <c r="I24" s="12"/>
      <c r="L24" s="279"/>
      <c r="M24" s="279"/>
      <c r="N24" s="280"/>
      <c r="O24" s="280"/>
    </row>
    <row r="25" spans="1:15" s="233" customFormat="1">
      <c r="A25" s="320"/>
      <c r="B25" s="321"/>
      <c r="C25" s="321"/>
      <c r="D25" s="322"/>
      <c r="E25" s="321"/>
      <c r="F25" s="321"/>
      <c r="G25" s="323"/>
      <c r="H25" s="12"/>
      <c r="I25" s="12"/>
      <c r="L25" s="279"/>
      <c r="M25" s="279"/>
      <c r="N25" s="280"/>
      <c r="O25" s="280"/>
    </row>
    <row r="26" spans="1:15" s="233" customFormat="1">
      <c r="A26" s="320"/>
      <c r="B26" s="321"/>
      <c r="C26" s="321"/>
      <c r="D26" s="322"/>
      <c r="E26" s="321"/>
      <c r="F26" s="321"/>
      <c r="G26" s="323"/>
      <c r="H26" s="12"/>
      <c r="I26" s="12"/>
      <c r="L26" s="279"/>
      <c r="M26" s="279"/>
      <c r="N26" s="280"/>
      <c r="O26" s="280"/>
    </row>
    <row r="27" spans="1:15" s="233" customFormat="1">
      <c r="A27" s="320"/>
      <c r="B27" s="321"/>
      <c r="C27" s="321"/>
      <c r="D27" s="322"/>
      <c r="E27" s="321"/>
      <c r="F27" s="321"/>
      <c r="G27" s="323"/>
      <c r="H27" s="12"/>
      <c r="I27" s="12"/>
      <c r="L27" s="279"/>
      <c r="M27" s="279"/>
      <c r="N27" s="280"/>
      <c r="O27" s="280"/>
    </row>
    <row r="28" spans="1:15" s="233" customFormat="1">
      <c r="A28" s="320"/>
      <c r="B28" s="321"/>
      <c r="C28" s="321"/>
      <c r="D28" s="322"/>
      <c r="E28" s="321"/>
      <c r="F28" s="321"/>
      <c r="G28" s="323"/>
      <c r="H28" s="12"/>
      <c r="I28" s="12"/>
      <c r="L28" s="279"/>
      <c r="M28" s="279"/>
      <c r="N28" s="280"/>
      <c r="O28" s="280"/>
    </row>
    <row r="29" spans="1:15" s="233" customFormat="1">
      <c r="A29" s="320"/>
      <c r="B29" s="321"/>
      <c r="C29" s="321"/>
      <c r="D29" s="322"/>
      <c r="E29" s="321"/>
      <c r="F29" s="321"/>
      <c r="G29" s="323"/>
      <c r="H29" s="12"/>
      <c r="I29" s="12"/>
      <c r="L29" s="279"/>
      <c r="M29" s="279"/>
      <c r="N29" s="280"/>
      <c r="O29" s="280"/>
    </row>
    <row r="30" spans="1:15" s="233" customFormat="1">
      <c r="A30" s="320"/>
      <c r="B30" s="321"/>
      <c r="C30" s="321"/>
      <c r="D30" s="322"/>
      <c r="E30" s="321"/>
      <c r="F30" s="321"/>
      <c r="G30" s="323"/>
      <c r="H30" s="12"/>
      <c r="I30" s="12"/>
      <c r="L30" s="279"/>
      <c r="M30" s="279"/>
      <c r="N30" s="280"/>
      <c r="O30" s="280"/>
    </row>
    <row r="31" spans="1:15" s="233" customFormat="1">
      <c r="A31" s="320"/>
      <c r="B31" s="321"/>
      <c r="C31" s="321"/>
      <c r="D31" s="322"/>
      <c r="E31" s="321"/>
      <c r="F31" s="321"/>
      <c r="G31" s="323"/>
      <c r="H31" s="12"/>
      <c r="I31" s="12"/>
      <c r="L31" s="279"/>
      <c r="M31" s="279"/>
      <c r="N31" s="280"/>
      <c r="O31" s="280"/>
    </row>
    <row r="32" spans="1:15" s="233" customFormat="1">
      <c r="A32" s="320"/>
      <c r="B32" s="321"/>
      <c r="C32" s="321"/>
      <c r="D32" s="322"/>
      <c r="E32" s="321"/>
      <c r="F32" s="321"/>
      <c r="G32" s="323"/>
      <c r="H32" s="12"/>
      <c r="I32" s="12"/>
      <c r="L32" s="279"/>
      <c r="M32" s="279"/>
      <c r="N32" s="280"/>
      <c r="O32" s="280"/>
    </row>
    <row r="33" spans="1:15" s="233" customFormat="1">
      <c r="A33" s="320"/>
      <c r="B33" s="321"/>
      <c r="C33" s="321"/>
      <c r="D33" s="322"/>
      <c r="E33" s="321"/>
      <c r="F33" s="321"/>
      <c r="G33" s="323"/>
      <c r="H33" s="12"/>
      <c r="I33" s="12"/>
      <c r="L33" s="279"/>
      <c r="M33" s="279"/>
      <c r="N33" s="280"/>
      <c r="O33" s="280"/>
    </row>
    <row r="34" spans="1:15" s="233" customFormat="1">
      <c r="A34" s="320"/>
      <c r="B34" s="321"/>
      <c r="C34" s="321"/>
      <c r="D34" s="322"/>
      <c r="E34" s="321"/>
      <c r="F34" s="321"/>
      <c r="G34" s="323"/>
      <c r="H34" s="12"/>
      <c r="I34" s="12"/>
      <c r="L34" s="279"/>
      <c r="M34" s="279"/>
      <c r="N34" s="280"/>
      <c r="O34" s="280"/>
    </row>
    <row r="35" spans="1:15" s="233" customFormat="1">
      <c r="A35" s="320"/>
      <c r="B35" s="321"/>
      <c r="C35" s="321"/>
      <c r="D35" s="322"/>
      <c r="E35" s="321"/>
      <c r="F35" s="321"/>
      <c r="G35" s="323"/>
      <c r="H35" s="12"/>
      <c r="I35" s="12"/>
      <c r="L35" s="279"/>
      <c r="M35" s="279"/>
      <c r="N35" s="280"/>
      <c r="O35" s="280"/>
    </row>
    <row r="36" spans="1:15" s="233" customFormat="1">
      <c r="A36" s="320"/>
      <c r="B36" s="321"/>
      <c r="C36" s="321"/>
      <c r="D36" s="322"/>
      <c r="E36" s="321"/>
      <c r="F36" s="321"/>
      <c r="G36" s="323"/>
      <c r="H36" s="12"/>
      <c r="I36" s="12"/>
      <c r="L36" s="279"/>
      <c r="M36" s="279"/>
      <c r="N36" s="280"/>
      <c r="O36" s="280"/>
    </row>
    <row r="37" spans="1:15" s="233" customFormat="1">
      <c r="A37" s="320"/>
      <c r="B37" s="321"/>
      <c r="C37" s="321"/>
      <c r="D37" s="322"/>
      <c r="E37" s="321"/>
      <c r="F37" s="321"/>
      <c r="G37" s="323"/>
      <c r="H37" s="12"/>
      <c r="I37" s="12"/>
      <c r="L37" s="279"/>
      <c r="M37" s="279"/>
      <c r="N37" s="280"/>
      <c r="O37" s="280"/>
    </row>
    <row r="38" spans="1:15" s="233" customFormat="1">
      <c r="A38" s="320"/>
      <c r="B38" s="321"/>
      <c r="C38" s="321"/>
      <c r="D38" s="322"/>
      <c r="E38" s="321"/>
      <c r="F38" s="321"/>
      <c r="G38" s="323"/>
      <c r="H38" s="12"/>
      <c r="I38" s="12"/>
      <c r="L38" s="279"/>
      <c r="M38" s="279"/>
      <c r="N38" s="280"/>
      <c r="O38" s="280"/>
    </row>
    <row r="39" spans="1:15" s="233" customFormat="1">
      <c r="A39" s="320"/>
      <c r="B39" s="321"/>
      <c r="C39" s="321"/>
      <c r="D39" s="322"/>
      <c r="E39" s="321"/>
      <c r="F39" s="321"/>
      <c r="G39" s="323"/>
      <c r="H39" s="12"/>
      <c r="I39" s="12"/>
      <c r="L39" s="279"/>
      <c r="M39" s="279"/>
      <c r="N39" s="280"/>
      <c r="O39" s="280"/>
    </row>
    <row r="40" spans="1:15" s="233" customFormat="1">
      <c r="A40" s="320"/>
      <c r="B40" s="321"/>
      <c r="C40" s="321"/>
      <c r="D40" s="322"/>
      <c r="E40" s="321"/>
      <c r="F40" s="321"/>
      <c r="G40" s="323"/>
      <c r="H40" s="12"/>
      <c r="I40" s="12"/>
      <c r="L40" s="279"/>
      <c r="M40" s="279"/>
      <c r="N40" s="280"/>
      <c r="O40" s="280"/>
    </row>
    <row r="41" spans="1:15" s="233" customFormat="1">
      <c r="A41" s="320"/>
      <c r="B41" s="321"/>
      <c r="C41" s="321"/>
      <c r="D41" s="322"/>
      <c r="E41" s="321"/>
      <c r="F41" s="321"/>
      <c r="G41" s="323"/>
      <c r="H41" s="12"/>
      <c r="I41" s="12"/>
      <c r="L41"/>
      <c r="M41"/>
      <c r="N41"/>
      <c r="O41"/>
    </row>
    <row r="42" spans="1:15">
      <c r="H42" s="12"/>
      <c r="I42" s="36"/>
    </row>
    <row r="43" spans="1:15">
      <c r="H43" s="12"/>
      <c r="I43" s="12"/>
    </row>
    <row r="44" spans="1:15">
      <c r="H44" s="12"/>
      <c r="I44" s="12"/>
    </row>
    <row r="46" spans="1:15" ht="38.25" customHeight="1">
      <c r="A46" s="1153" t="s">
        <v>491</v>
      </c>
      <c r="B46" s="1153"/>
      <c r="C46" s="1153"/>
      <c r="D46" s="1153"/>
      <c r="E46" s="1153"/>
      <c r="F46" s="1153"/>
      <c r="G46" s="1153"/>
      <c r="H46" s="1153"/>
      <c r="I46" s="1153"/>
    </row>
    <row r="47" spans="1:15">
      <c r="A47" s="18"/>
      <c r="B47" s="18"/>
      <c r="C47" s="19"/>
      <c r="D47" s="19"/>
      <c r="E47" s="18"/>
      <c r="F47" s="18"/>
      <c r="G47" s="18"/>
    </row>
    <row r="48" spans="1:15">
      <c r="A48" s="16"/>
      <c r="B48" s="16"/>
      <c r="C48" s="16"/>
      <c r="D48" s="16"/>
      <c r="E48" s="16"/>
      <c r="F48" s="16"/>
      <c r="G48" s="16"/>
    </row>
    <row r="49" spans="1:7">
      <c r="A49" s="16"/>
      <c r="B49" s="16"/>
      <c r="C49" s="16"/>
      <c r="D49" s="16"/>
      <c r="E49" s="16"/>
      <c r="F49" s="16"/>
      <c r="G49" s="16"/>
    </row>
    <row r="50" spans="1:7">
      <c r="A50" s="16"/>
      <c r="B50" s="16"/>
      <c r="C50" s="16"/>
      <c r="D50" s="16"/>
      <c r="E50" s="16"/>
      <c r="F50" s="16"/>
      <c r="G50" s="16"/>
    </row>
  </sheetData>
  <mergeCells count="11">
    <mergeCell ref="A46:I46"/>
    <mergeCell ref="B17:C17"/>
    <mergeCell ref="E17:F17"/>
    <mergeCell ref="A4:I4"/>
    <mergeCell ref="A6:A7"/>
    <mergeCell ref="B6:C6"/>
    <mergeCell ref="E6:F6"/>
    <mergeCell ref="G6:G7"/>
    <mergeCell ref="I6:I7"/>
    <mergeCell ref="B16:C16"/>
    <mergeCell ref="E16:F16"/>
  </mergeCells>
  <printOptions horizontalCentered="1"/>
  <pageMargins left="0.405092592592593" right="0.47453703703703698" top="0.55118110236220497" bottom="0.94488188976377996" header="0.31496062992126" footer="0.31496062992126"/>
  <pageSetup scale="61" orientation="portrait" r:id="rId1"/>
  <headerFooter scaleWithDoc="0">
    <oddHeader>&amp;C&amp;G</oddHeader>
    <oddFooter>&amp;C&amp;G</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63">
    <tabColor rgb="FF49A942"/>
    <pageSetUpPr fitToPage="1"/>
  </sheetPr>
  <dimension ref="A1:I25"/>
  <sheetViews>
    <sheetView showGridLines="0" view="pageLayout" zoomScaleNormal="100" workbookViewId="0">
      <selection activeCell="A32" sqref="A32:J38"/>
    </sheetView>
  </sheetViews>
  <sheetFormatPr baseColWidth="10" defaultColWidth="9.1640625" defaultRowHeight="15"/>
  <cols>
    <col min="1" max="1" width="26.5" customWidth="1"/>
    <col min="2" max="2" width="13.33203125" customWidth="1"/>
    <col min="3" max="3" width="8" customWidth="1"/>
    <col min="4" max="4" width="5.33203125" customWidth="1"/>
    <col min="5" max="5" width="13.33203125" customWidth="1"/>
    <col min="6" max="6" width="8" customWidth="1"/>
    <col min="7" max="7" width="7.5" customWidth="1"/>
    <col min="8" max="8" width="1.5" customWidth="1"/>
    <col min="9" max="9" width="12.33203125" customWidth="1"/>
    <col min="10" max="10" width="3.1640625" customWidth="1"/>
  </cols>
  <sheetData>
    <row r="1" spans="1:9" ht="20.25" customHeight="1"/>
    <row r="2" spans="1:9" s="1" customFormat="1" ht="15" customHeight="1">
      <c r="A2" s="484" t="s">
        <v>14</v>
      </c>
    </row>
    <row r="3" spans="1:9" s="1" customFormat="1" ht="3" customHeight="1"/>
    <row r="4" spans="1:9" s="1" customFormat="1" ht="15" customHeight="1">
      <c r="A4" s="1162" t="s">
        <v>107</v>
      </c>
      <c r="B4" s="1162"/>
      <c r="C4" s="1162"/>
      <c r="D4" s="1162"/>
      <c r="E4" s="1162"/>
      <c r="F4" s="1162"/>
      <c r="G4" s="1162"/>
      <c r="H4" s="1162"/>
      <c r="I4" s="1162"/>
    </row>
    <row r="5" spans="1:9" s="1" customFormat="1" ht="8.25" customHeight="1">
      <c r="A5" s="17"/>
      <c r="B5" s="17"/>
      <c r="C5" s="17"/>
      <c r="D5" s="17"/>
      <c r="E5" s="17"/>
      <c r="F5" s="17"/>
      <c r="G5" s="17"/>
      <c r="H5" s="17"/>
      <c r="I5" s="17"/>
    </row>
    <row r="6" spans="1:9" s="1" customFormat="1" ht="15" customHeight="1">
      <c r="A6" s="1163" t="s">
        <v>111</v>
      </c>
      <c r="B6" s="1164" t="s">
        <v>31</v>
      </c>
      <c r="C6" s="1164"/>
      <c r="D6" s="89"/>
      <c r="E6" s="1072" t="s">
        <v>74</v>
      </c>
      <c r="F6" s="1072"/>
      <c r="G6" s="1072" t="s">
        <v>36</v>
      </c>
      <c r="H6" s="17"/>
      <c r="I6" s="17"/>
    </row>
    <row r="7" spans="1:9">
      <c r="A7" s="1163"/>
      <c r="B7" s="404" t="s">
        <v>109</v>
      </c>
      <c r="C7" s="403" t="s">
        <v>78</v>
      </c>
      <c r="D7" s="89"/>
      <c r="E7" s="404" t="s">
        <v>109</v>
      </c>
      <c r="F7" s="404" t="s">
        <v>78</v>
      </c>
      <c r="G7" s="1072"/>
    </row>
    <row r="8" spans="1:9">
      <c r="A8" s="479" t="s">
        <v>116</v>
      </c>
      <c r="B8" s="465"/>
      <c r="C8" s="466" t="e">
        <f t="shared" ref="C8:C19" si="0">B8/B$20</f>
        <v>#DIV/0!</v>
      </c>
      <c r="D8" s="89"/>
      <c r="E8" s="435"/>
      <c r="F8" s="428" t="e">
        <f t="shared" ref="F8:F19" si="1">E8/E$20</f>
        <v>#DIV/0!</v>
      </c>
      <c r="G8" s="398" t="str">
        <f t="shared" ref="G8:G19" si="2">IFERROR(B8/E8-1,"n/a")</f>
        <v>n/a</v>
      </c>
    </row>
    <row r="9" spans="1:9">
      <c r="A9" s="479" t="s">
        <v>117</v>
      </c>
      <c r="B9" s="465"/>
      <c r="C9" s="466" t="e">
        <f t="shared" si="0"/>
        <v>#DIV/0!</v>
      </c>
      <c r="D9" s="89"/>
      <c r="E9" s="435"/>
      <c r="F9" s="428" t="e">
        <f t="shared" si="1"/>
        <v>#DIV/0!</v>
      </c>
      <c r="G9" s="398" t="str">
        <f t="shared" si="2"/>
        <v>n/a</v>
      </c>
    </row>
    <row r="10" spans="1:9">
      <c r="A10" s="479" t="s">
        <v>118</v>
      </c>
      <c r="B10" s="465"/>
      <c r="C10" s="466" t="e">
        <f t="shared" si="0"/>
        <v>#DIV/0!</v>
      </c>
      <c r="D10" s="89"/>
      <c r="E10" s="435"/>
      <c r="F10" s="428" t="e">
        <f t="shared" si="1"/>
        <v>#DIV/0!</v>
      </c>
      <c r="G10" s="398" t="str">
        <f t="shared" si="2"/>
        <v>n/a</v>
      </c>
    </row>
    <row r="11" spans="1:9">
      <c r="A11" s="479" t="s">
        <v>119</v>
      </c>
      <c r="B11" s="465"/>
      <c r="C11" s="466" t="e">
        <f t="shared" si="0"/>
        <v>#DIV/0!</v>
      </c>
      <c r="D11" s="89"/>
      <c r="E11" s="435"/>
      <c r="F11" s="428" t="e">
        <f t="shared" si="1"/>
        <v>#DIV/0!</v>
      </c>
      <c r="G11" s="398" t="str">
        <f t="shared" si="2"/>
        <v>n/a</v>
      </c>
    </row>
    <row r="12" spans="1:9">
      <c r="A12" s="479" t="s">
        <v>120</v>
      </c>
      <c r="B12" s="465"/>
      <c r="C12" s="466" t="e">
        <f t="shared" si="0"/>
        <v>#DIV/0!</v>
      </c>
      <c r="D12" s="89"/>
      <c r="E12" s="435"/>
      <c r="F12" s="428" t="e">
        <f t="shared" si="1"/>
        <v>#DIV/0!</v>
      </c>
      <c r="G12" s="398" t="str">
        <f t="shared" si="2"/>
        <v>n/a</v>
      </c>
    </row>
    <row r="13" spans="1:9">
      <c r="A13" s="479" t="s">
        <v>121</v>
      </c>
      <c r="B13" s="465"/>
      <c r="C13" s="466" t="e">
        <f t="shared" si="0"/>
        <v>#DIV/0!</v>
      </c>
      <c r="D13" s="89"/>
      <c r="E13" s="435"/>
      <c r="F13" s="428" t="e">
        <f t="shared" si="1"/>
        <v>#DIV/0!</v>
      </c>
      <c r="G13" s="398" t="str">
        <f t="shared" si="2"/>
        <v>n/a</v>
      </c>
    </row>
    <row r="14" spans="1:9">
      <c r="A14" s="479" t="s">
        <v>310</v>
      </c>
      <c r="B14" s="465"/>
      <c r="C14" s="466" t="e">
        <f t="shared" si="0"/>
        <v>#DIV/0!</v>
      </c>
      <c r="D14" s="89"/>
      <c r="E14" s="435"/>
      <c r="F14" s="428" t="e">
        <f t="shared" si="1"/>
        <v>#DIV/0!</v>
      </c>
      <c r="G14" s="398" t="str">
        <f t="shared" si="2"/>
        <v>n/a</v>
      </c>
    </row>
    <row r="15" spans="1:9">
      <c r="A15" s="479" t="s">
        <v>311</v>
      </c>
      <c r="B15" s="465"/>
      <c r="C15" s="466" t="e">
        <f t="shared" si="0"/>
        <v>#DIV/0!</v>
      </c>
      <c r="D15" s="89"/>
      <c r="E15" s="435"/>
      <c r="F15" s="428" t="e">
        <f t="shared" si="1"/>
        <v>#DIV/0!</v>
      </c>
      <c r="G15" s="398" t="str">
        <f t="shared" si="2"/>
        <v>n/a</v>
      </c>
    </row>
    <row r="16" spans="1:9">
      <c r="A16" s="479" t="s">
        <v>312</v>
      </c>
      <c r="B16" s="465"/>
      <c r="C16" s="466" t="e">
        <f t="shared" si="0"/>
        <v>#DIV/0!</v>
      </c>
      <c r="D16" s="89"/>
      <c r="E16" s="435"/>
      <c r="F16" s="428" t="e">
        <f t="shared" si="1"/>
        <v>#DIV/0!</v>
      </c>
      <c r="G16" s="398" t="str">
        <f t="shared" si="2"/>
        <v>n/a</v>
      </c>
    </row>
    <row r="17" spans="1:7">
      <c r="A17" s="479" t="s">
        <v>313</v>
      </c>
      <c r="B17" s="465"/>
      <c r="C17" s="466" t="e">
        <f t="shared" si="0"/>
        <v>#DIV/0!</v>
      </c>
      <c r="D17" s="89"/>
      <c r="E17" s="435"/>
      <c r="F17" s="428" t="e">
        <f t="shared" si="1"/>
        <v>#DIV/0!</v>
      </c>
      <c r="G17" s="398" t="str">
        <f t="shared" si="2"/>
        <v>n/a</v>
      </c>
    </row>
    <row r="18" spans="1:7">
      <c r="A18" s="479" t="s">
        <v>314</v>
      </c>
      <c r="B18" s="465"/>
      <c r="C18" s="466" t="e">
        <f t="shared" si="0"/>
        <v>#DIV/0!</v>
      </c>
      <c r="D18" s="89"/>
      <c r="E18" s="435"/>
      <c r="F18" s="428" t="e">
        <f t="shared" si="1"/>
        <v>#DIV/0!</v>
      </c>
      <c r="G18" s="398" t="str">
        <f t="shared" si="2"/>
        <v>n/a</v>
      </c>
    </row>
    <row r="19" spans="1:7">
      <c r="A19" s="479" t="s">
        <v>315</v>
      </c>
      <c r="B19" s="465"/>
      <c r="C19" s="466" t="e">
        <f t="shared" si="0"/>
        <v>#DIV/0!</v>
      </c>
      <c r="D19" s="89"/>
      <c r="E19" s="435"/>
      <c r="F19" s="428" t="e">
        <f t="shared" si="1"/>
        <v>#DIV/0!</v>
      </c>
      <c r="G19" s="398" t="str">
        <f t="shared" si="2"/>
        <v>n/a</v>
      </c>
    </row>
    <row r="20" spans="1:7">
      <c r="A20" s="475" t="s">
        <v>66</v>
      </c>
      <c r="B20" s="411">
        <f>SUM(B8:B19)</f>
        <v>0</v>
      </c>
      <c r="C20" s="474" t="e">
        <f>B20/B20</f>
        <v>#DIV/0!</v>
      </c>
      <c r="D20" s="89"/>
      <c r="E20" s="409">
        <f>SUM(E8:E19)</f>
        <v>0</v>
      </c>
      <c r="F20" s="467" t="e">
        <f>E20/E20</f>
        <v>#DIV/0!</v>
      </c>
      <c r="G20" s="444" t="e">
        <f>B20/E20-1</f>
        <v>#DIV/0!</v>
      </c>
    </row>
    <row r="25" spans="1:7">
      <c r="A25" s="481" t="s">
        <v>557</v>
      </c>
    </row>
  </sheetData>
  <mergeCells count="5">
    <mergeCell ref="A4:I4"/>
    <mergeCell ref="A6:A7"/>
    <mergeCell ref="B6:C6"/>
    <mergeCell ref="E6:F6"/>
    <mergeCell ref="G6:G7"/>
  </mergeCells>
  <printOptions horizontalCentered="1"/>
  <pageMargins left="0.405092592592593" right="0.47453703703703698" top="0.55118110236220497" bottom="0.94488188976377996" header="0.31496062992126" footer="0.31496062992126"/>
  <pageSetup scale="95" orientation="portrait" r:id="rId1"/>
  <headerFooter scaleWithDoc="0">
    <oddHeader>&amp;C&amp;G</oddHeader>
    <oddFooter>&amp;C&amp;G</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tabColor rgb="FF4F9237"/>
  </sheetPr>
  <dimension ref="A1:O49"/>
  <sheetViews>
    <sheetView showGridLines="0" view="pageLayout" topLeftCell="A26" zoomScaleNormal="100" workbookViewId="0">
      <selection activeCell="H10" sqref="H10"/>
    </sheetView>
  </sheetViews>
  <sheetFormatPr baseColWidth="10" defaultColWidth="9.1640625" defaultRowHeight="15"/>
  <cols>
    <col min="1" max="1" width="26.5" customWidth="1"/>
    <col min="2" max="2" width="13.33203125" customWidth="1"/>
    <col min="3" max="3" width="8" customWidth="1"/>
    <col min="4" max="4" width="2.5" customWidth="1"/>
    <col min="5" max="5" width="13.33203125" customWidth="1"/>
    <col min="6" max="6" width="8" customWidth="1"/>
    <col min="7" max="7" width="8.5" customWidth="1"/>
    <col min="8" max="8" width="1.5" customWidth="1"/>
    <col min="9" max="9" width="12.33203125" customWidth="1"/>
    <col min="14" max="14" width="11.83203125" customWidth="1"/>
    <col min="15" max="15" width="13.5" customWidth="1"/>
  </cols>
  <sheetData>
    <row r="1" spans="1:15" ht="20.25" customHeight="1"/>
    <row r="2" spans="1:15" s="1" customFormat="1" ht="28.5" customHeight="1">
      <c r="A2" s="600" t="s">
        <v>14</v>
      </c>
    </row>
    <row r="3" spans="1:15" s="1" customFormat="1" ht="3" customHeight="1"/>
    <row r="4" spans="1:15" s="1" customFormat="1" ht="15" customHeight="1">
      <c r="A4" s="1021" t="s">
        <v>107</v>
      </c>
      <c r="B4" s="1021"/>
      <c r="C4" s="1021"/>
      <c r="D4" s="1021"/>
      <c r="E4" s="1021"/>
      <c r="F4" s="1021"/>
      <c r="G4" s="1021"/>
      <c r="H4" s="1021"/>
      <c r="I4" s="1021"/>
    </row>
    <row r="5" spans="1:15" s="1" customFormat="1" ht="8.25" customHeight="1">
      <c r="A5" s="17"/>
      <c r="B5" s="17"/>
      <c r="C5" s="17"/>
      <c r="D5" s="17"/>
      <c r="E5" s="17"/>
      <c r="F5" s="17"/>
      <c r="G5" s="17"/>
      <c r="H5" s="17"/>
      <c r="I5" s="17"/>
    </row>
    <row r="6" spans="1:15" ht="15.75" customHeight="1">
      <c r="A6" s="1170" t="s">
        <v>108</v>
      </c>
      <c r="B6" s="1169" t="s">
        <v>31</v>
      </c>
      <c r="C6" s="1158"/>
      <c r="D6" s="322"/>
      <c r="E6" s="1157" t="s">
        <v>74</v>
      </c>
      <c r="F6" s="1168"/>
      <c r="G6" s="1071" t="s">
        <v>36</v>
      </c>
      <c r="H6" s="322"/>
      <c r="I6" s="1160" t="s">
        <v>846</v>
      </c>
    </row>
    <row r="7" spans="1:15">
      <c r="A7" s="1170"/>
      <c r="B7" s="473" t="s">
        <v>832</v>
      </c>
      <c r="C7" s="482" t="s">
        <v>78</v>
      </c>
      <c r="D7" s="322"/>
      <c r="E7" s="812" t="s">
        <v>832</v>
      </c>
      <c r="F7" s="485" t="s">
        <v>78</v>
      </c>
      <c r="G7" s="1071"/>
      <c r="H7" s="322"/>
      <c r="I7" s="1160"/>
    </row>
    <row r="8" spans="1:15">
      <c r="A8" s="427" t="s">
        <v>110</v>
      </c>
      <c r="B8" s="884"/>
      <c r="C8" s="428" t="e">
        <f t="shared" ref="C8:C13" si="0">B8/B$14</f>
        <v>#DIV/0!</v>
      </c>
      <c r="D8" s="322"/>
      <c r="E8" s="884"/>
      <c r="F8" s="428" t="e">
        <f t="shared" ref="F8:F13" si="1">E8/E$14</f>
        <v>#DIV/0!</v>
      </c>
      <c r="G8" s="398" t="str">
        <f t="shared" ref="G8:G13" si="2">IFERROR(B8/E8-1,"n/a")</f>
        <v>n/a</v>
      </c>
      <c r="H8" s="322"/>
      <c r="I8" s="471">
        <v>0</v>
      </c>
    </row>
    <row r="9" spans="1:15">
      <c r="A9" s="427" t="s">
        <v>111</v>
      </c>
      <c r="B9" s="884">
        <f>'EHC Breakdown w S&amp;S (2)'!$B$20</f>
        <v>0</v>
      </c>
      <c r="C9" s="428" t="e">
        <f t="shared" si="0"/>
        <v>#DIV/0!</v>
      </c>
      <c r="D9" s="322"/>
      <c r="E9" s="884">
        <f>'EHC Breakdown w S&amp;S (2)'!$E$20</f>
        <v>0</v>
      </c>
      <c r="F9" s="428" t="e">
        <f t="shared" si="1"/>
        <v>#DIV/0!</v>
      </c>
      <c r="G9" s="398" t="str">
        <f t="shared" si="2"/>
        <v>n/a</v>
      </c>
      <c r="H9" s="322"/>
      <c r="I9" s="471">
        <v>0</v>
      </c>
    </row>
    <row r="10" spans="1:15">
      <c r="A10" s="427" t="s">
        <v>112</v>
      </c>
      <c r="B10" s="884">
        <f>'EHC Breakdown w S&amp;S (3)'!$B$16</f>
        <v>0</v>
      </c>
      <c r="C10" s="428" t="e">
        <f t="shared" si="0"/>
        <v>#DIV/0!</v>
      </c>
      <c r="D10" s="322"/>
      <c r="E10" s="884">
        <f>'EHC Breakdown w S&amp;S (3)'!$E$16</f>
        <v>0</v>
      </c>
      <c r="F10" s="428" t="e">
        <f t="shared" si="1"/>
        <v>#DIV/0!</v>
      </c>
      <c r="G10" s="398" t="str">
        <f t="shared" si="2"/>
        <v>n/a</v>
      </c>
      <c r="H10" s="322"/>
      <c r="I10" s="471">
        <v>0</v>
      </c>
    </row>
    <row r="11" spans="1:15">
      <c r="A11" s="427" t="s">
        <v>43</v>
      </c>
      <c r="B11" s="884"/>
      <c r="C11" s="428" t="e">
        <f t="shared" si="0"/>
        <v>#DIV/0!</v>
      </c>
      <c r="D11" s="322"/>
      <c r="E11" s="884"/>
      <c r="F11" s="428" t="e">
        <f t="shared" si="1"/>
        <v>#DIV/0!</v>
      </c>
      <c r="G11" s="398" t="str">
        <f t="shared" si="2"/>
        <v>n/a</v>
      </c>
      <c r="H11" s="322"/>
      <c r="I11" s="471">
        <v>0</v>
      </c>
    </row>
    <row r="12" spans="1:15">
      <c r="A12" s="427" t="s">
        <v>113</v>
      </c>
      <c r="B12" s="884"/>
      <c r="C12" s="428" t="e">
        <f t="shared" si="0"/>
        <v>#DIV/0!</v>
      </c>
      <c r="D12" s="322"/>
      <c r="E12" s="884"/>
      <c r="F12" s="428" t="e">
        <f t="shared" si="1"/>
        <v>#DIV/0!</v>
      </c>
      <c r="G12" s="398" t="str">
        <f t="shared" si="2"/>
        <v>n/a</v>
      </c>
      <c r="H12" s="322"/>
      <c r="I12" s="471">
        <v>0</v>
      </c>
      <c r="N12" s="327" t="s">
        <v>31</v>
      </c>
      <c r="O12" s="327" t="s">
        <v>74</v>
      </c>
    </row>
    <row r="13" spans="1:15">
      <c r="A13" s="427" t="s">
        <v>114</v>
      </c>
      <c r="B13" s="884"/>
      <c r="C13" s="428" t="e">
        <f t="shared" si="0"/>
        <v>#DIV/0!</v>
      </c>
      <c r="D13" s="322"/>
      <c r="E13" s="884"/>
      <c r="F13" s="428" t="e">
        <f t="shared" si="1"/>
        <v>#DIV/0!</v>
      </c>
      <c r="G13" s="398" t="str">
        <f t="shared" si="2"/>
        <v>n/a</v>
      </c>
      <c r="H13" s="322"/>
      <c r="I13" s="471">
        <v>0</v>
      </c>
      <c r="L13" s="279" t="s">
        <v>695</v>
      </c>
      <c r="M13" s="279"/>
      <c r="N13" s="281">
        <f>B14</f>
        <v>0</v>
      </c>
      <c r="O13" s="281">
        <f>E14</f>
        <v>0</v>
      </c>
    </row>
    <row r="14" spans="1:15">
      <c r="A14" s="819" t="s">
        <v>66</v>
      </c>
      <c r="B14" s="882">
        <f>SUM(B8:B13)</f>
        <v>0</v>
      </c>
      <c r="C14" s="821" t="e">
        <f>B14/B14</f>
        <v>#DIV/0!</v>
      </c>
      <c r="D14" s="322"/>
      <c r="E14" s="882">
        <f>SUM(E8:E13)</f>
        <v>0</v>
      </c>
      <c r="F14" s="821" t="e">
        <f>E14/E14</f>
        <v>#DIV/0!</v>
      </c>
      <c r="G14" s="822" t="e">
        <f t="shared" ref="G14:G17" si="3">B14/E14-1</f>
        <v>#DIV/0!</v>
      </c>
      <c r="H14" s="322"/>
      <c r="I14" s="470"/>
      <c r="L14" s="279" t="s">
        <v>699</v>
      </c>
      <c r="M14" s="279"/>
      <c r="N14" s="281">
        <f>'Extended Health Care (EHC)'!D10</f>
        <v>0</v>
      </c>
      <c r="O14" s="281">
        <f>'Extended Health Care (EHC)'!D11</f>
        <v>0</v>
      </c>
    </row>
    <row r="15" spans="1:15" ht="7.5" customHeight="1">
      <c r="A15" s="468"/>
      <c r="B15" s="410"/>
      <c r="C15" s="410"/>
      <c r="D15" s="322"/>
      <c r="E15" s="410"/>
      <c r="F15" s="410"/>
      <c r="G15" s="469"/>
      <c r="H15" s="151"/>
      <c r="I15" s="151"/>
      <c r="L15" s="279"/>
      <c r="M15" s="279"/>
      <c r="N15" s="279"/>
      <c r="O15" s="279"/>
    </row>
    <row r="16" spans="1:15" ht="17" thickBot="1">
      <c r="A16" s="823" t="s">
        <v>115</v>
      </c>
      <c r="B16" s="1167">
        <f>'EHC Breakdown'!B16</f>
        <v>0</v>
      </c>
      <c r="C16" s="1167"/>
      <c r="D16" s="322"/>
      <c r="E16" s="1167">
        <f>'EHC Breakdown'!E16</f>
        <v>0</v>
      </c>
      <c r="F16" s="1167"/>
      <c r="G16" s="824" t="e">
        <f t="shared" si="3"/>
        <v>#DIV/0!</v>
      </c>
      <c r="H16" s="151"/>
      <c r="I16" s="151"/>
      <c r="L16" s="279" t="s">
        <v>69</v>
      </c>
      <c r="M16" s="279"/>
      <c r="N16" s="324">
        <f>'Stop Loss '!E11</f>
        <v>0</v>
      </c>
      <c r="O16" s="324">
        <f>'Stop Loss '!E12</f>
        <v>0</v>
      </c>
    </row>
    <row r="17" spans="1:15" ht="16" thickTop="1">
      <c r="A17" s="823" t="s">
        <v>507</v>
      </c>
      <c r="B17" s="1165" t="e">
        <f>B14/B16</f>
        <v>#DIV/0!</v>
      </c>
      <c r="C17" s="1165"/>
      <c r="D17" s="322"/>
      <c r="E17" s="1165" t="e">
        <f>E14/E16</f>
        <v>#DIV/0!</v>
      </c>
      <c r="F17" s="1165"/>
      <c r="G17" s="824" t="e">
        <f t="shared" si="3"/>
        <v>#DIV/0!</v>
      </c>
      <c r="H17" s="12"/>
      <c r="I17" s="12"/>
      <c r="L17" s="279" t="s">
        <v>697</v>
      </c>
      <c r="M17" s="279"/>
      <c r="N17" s="280">
        <f>N13-N14-N16</f>
        <v>0</v>
      </c>
      <c r="O17" s="280">
        <f>O13-O14-O16</f>
        <v>0</v>
      </c>
    </row>
    <row r="18" spans="1:15" s="233" customFormat="1">
      <c r="A18" s="320"/>
      <c r="B18" s="321"/>
      <c r="C18" s="321"/>
      <c r="D18" s="322"/>
      <c r="E18" s="321"/>
      <c r="F18" s="321"/>
      <c r="G18" s="323"/>
      <c r="H18" s="12"/>
      <c r="I18" s="12"/>
      <c r="L18" s="279"/>
      <c r="M18" s="279"/>
      <c r="N18" s="280"/>
      <c r="O18" s="280"/>
    </row>
    <row r="19" spans="1:15" s="233" customFormat="1">
      <c r="A19" s="320"/>
      <c r="B19" s="321"/>
      <c r="C19" s="321"/>
      <c r="D19" s="322"/>
      <c r="E19" s="321"/>
      <c r="F19" s="321"/>
      <c r="G19" s="323"/>
      <c r="H19" s="12"/>
      <c r="I19" s="12"/>
      <c r="L19" s="279"/>
      <c r="M19" s="279"/>
      <c r="N19" s="280"/>
      <c r="O19" s="280"/>
    </row>
    <row r="20" spans="1:15" s="233" customFormat="1">
      <c r="A20" s="320"/>
      <c r="B20" s="321"/>
      <c r="C20" s="321"/>
      <c r="D20" s="322"/>
      <c r="E20" s="321"/>
      <c r="F20" s="321"/>
      <c r="G20" s="323"/>
      <c r="H20" s="12"/>
      <c r="I20" s="12"/>
      <c r="L20" s="279"/>
      <c r="M20" s="279"/>
      <c r="N20" s="280"/>
      <c r="O20" s="280"/>
    </row>
    <row r="21" spans="1:15" s="233" customFormat="1">
      <c r="A21" s="320"/>
      <c r="B21" s="321"/>
      <c r="C21" s="321"/>
      <c r="D21" s="322"/>
      <c r="E21" s="321"/>
      <c r="F21" s="321"/>
      <c r="G21" s="323"/>
      <c r="H21" s="12"/>
      <c r="I21" s="12"/>
      <c r="L21" s="279"/>
      <c r="M21" s="279"/>
      <c r="N21" s="280"/>
      <c r="O21" s="280"/>
    </row>
    <row r="22" spans="1:15" s="233" customFormat="1">
      <c r="A22" s="320"/>
      <c r="B22" s="321"/>
      <c r="C22" s="321"/>
      <c r="D22" s="322"/>
      <c r="E22" s="321"/>
      <c r="F22" s="321"/>
      <c r="G22" s="323"/>
      <c r="H22" s="12"/>
      <c r="I22" s="12"/>
      <c r="J22" s="1151" t="s">
        <v>797</v>
      </c>
      <c r="K22" s="1151"/>
      <c r="L22" s="1151"/>
      <c r="M22" s="1151"/>
      <c r="N22" s="1151"/>
      <c r="O22" s="280"/>
    </row>
    <row r="23" spans="1:15" s="233" customFormat="1">
      <c r="A23" s="320"/>
      <c r="B23" s="321"/>
      <c r="C23" s="321"/>
      <c r="D23" s="322"/>
      <c r="E23" s="321"/>
      <c r="F23" s="321"/>
      <c r="G23" s="323"/>
      <c r="H23" s="12"/>
      <c r="I23" s="12"/>
      <c r="J23" s="1151"/>
      <c r="K23" s="1151"/>
      <c r="L23" s="1151"/>
      <c r="M23" s="1151"/>
      <c r="N23" s="1151"/>
      <c r="O23" s="280"/>
    </row>
    <row r="24" spans="1:15" s="233" customFormat="1">
      <c r="A24" s="320"/>
      <c r="B24" s="321"/>
      <c r="C24" s="321"/>
      <c r="D24" s="322"/>
      <c r="E24" s="321"/>
      <c r="F24" s="321"/>
      <c r="G24" s="323"/>
      <c r="H24" s="12"/>
      <c r="I24" s="12"/>
      <c r="J24" s="1151"/>
      <c r="K24" s="1151"/>
      <c r="L24" s="1151"/>
      <c r="M24" s="1151"/>
      <c r="N24" s="1151"/>
      <c r="O24" s="280"/>
    </row>
    <row r="25" spans="1:15" s="233" customFormat="1">
      <c r="A25" s="320"/>
      <c r="B25" s="321"/>
      <c r="C25" s="321"/>
      <c r="D25" s="322"/>
      <c r="E25" s="321"/>
      <c r="F25" s="321"/>
      <c r="G25" s="323"/>
      <c r="H25" s="12"/>
      <c r="I25" s="12"/>
      <c r="L25" s="279"/>
      <c r="M25" s="279"/>
      <c r="N25" s="280"/>
      <c r="O25" s="280"/>
    </row>
    <row r="26" spans="1:15" s="233" customFormat="1">
      <c r="A26" s="320"/>
      <c r="B26" s="321"/>
      <c r="C26" s="321"/>
      <c r="D26" s="322"/>
      <c r="E26" s="321"/>
      <c r="F26" s="321"/>
      <c r="G26" s="323"/>
      <c r="H26" s="12"/>
      <c r="I26" s="12"/>
      <c r="L26" s="279"/>
      <c r="M26" s="279"/>
      <c r="N26" s="280"/>
      <c r="O26" s="280"/>
    </row>
    <row r="27" spans="1:15" s="233" customFormat="1">
      <c r="A27" s="320"/>
      <c r="B27" s="321"/>
      <c r="C27" s="321"/>
      <c r="D27" s="322"/>
      <c r="E27" s="321"/>
      <c r="F27" s="321"/>
      <c r="G27" s="323"/>
      <c r="H27" s="12"/>
      <c r="I27" s="12"/>
      <c r="L27" s="279"/>
      <c r="M27" s="279"/>
      <c r="N27" s="280"/>
      <c r="O27" s="280"/>
    </row>
    <row r="28" spans="1:15" s="233" customFormat="1">
      <c r="A28" s="320"/>
      <c r="B28" s="321"/>
      <c r="C28" s="321"/>
      <c r="D28" s="322"/>
      <c r="E28" s="321"/>
      <c r="F28" s="321"/>
      <c r="G28" s="323"/>
      <c r="H28" s="12"/>
      <c r="I28" s="12"/>
      <c r="L28" s="279"/>
      <c r="M28" s="279"/>
      <c r="N28" s="280"/>
      <c r="O28" s="280"/>
    </row>
    <row r="29" spans="1:15" s="233" customFormat="1">
      <c r="A29" s="320"/>
      <c r="B29" s="321"/>
      <c r="C29" s="321"/>
      <c r="D29" s="322"/>
      <c r="E29" s="321"/>
      <c r="F29" s="321"/>
      <c r="G29" s="323"/>
      <c r="H29" s="12"/>
      <c r="I29" s="12"/>
      <c r="L29" s="279"/>
      <c r="M29" s="279"/>
      <c r="N29" s="280"/>
      <c r="O29" s="280"/>
    </row>
    <row r="30" spans="1:15" s="233" customFormat="1">
      <c r="A30" s="320"/>
      <c r="B30" s="321"/>
      <c r="C30" s="321"/>
      <c r="D30" s="322"/>
      <c r="E30" s="321"/>
      <c r="F30" s="321"/>
      <c r="G30" s="323"/>
      <c r="H30" s="12"/>
      <c r="I30" s="12"/>
      <c r="L30" s="279"/>
      <c r="M30" s="279"/>
      <c r="N30" s="280"/>
      <c r="O30" s="280"/>
    </row>
    <row r="31" spans="1:15" s="233" customFormat="1">
      <c r="A31" s="320"/>
      <c r="B31" s="321"/>
      <c r="C31" s="321"/>
      <c r="D31" s="322"/>
      <c r="E31" s="321"/>
      <c r="F31" s="321"/>
      <c r="G31" s="323"/>
      <c r="H31" s="12"/>
      <c r="I31" s="12"/>
      <c r="L31" s="279"/>
      <c r="M31" s="279"/>
      <c r="N31" s="280"/>
      <c r="O31" s="280"/>
    </row>
    <row r="32" spans="1:15" s="233" customFormat="1">
      <c r="A32" s="320"/>
      <c r="B32" s="321"/>
      <c r="C32" s="321"/>
      <c r="D32" s="322"/>
      <c r="E32" s="321"/>
      <c r="F32" s="321"/>
      <c r="G32" s="323"/>
      <c r="H32" s="12"/>
      <c r="I32" s="12"/>
      <c r="L32" s="279"/>
      <c r="M32" s="279"/>
      <c r="N32" s="280"/>
      <c r="O32" s="280"/>
    </row>
    <row r="33" spans="1:15" s="233" customFormat="1">
      <c r="A33" s="320"/>
      <c r="B33" s="321"/>
      <c r="C33" s="321"/>
      <c r="D33" s="322"/>
      <c r="E33" s="321"/>
      <c r="F33" s="321"/>
      <c r="G33" s="323"/>
      <c r="H33" s="12"/>
      <c r="I33" s="12"/>
      <c r="L33" s="279"/>
      <c r="M33" s="279"/>
      <c r="N33" s="280"/>
      <c r="O33" s="280"/>
    </row>
    <row r="34" spans="1:15" s="233" customFormat="1">
      <c r="A34" s="320"/>
      <c r="B34" s="321"/>
      <c r="C34" s="321"/>
      <c r="D34" s="322"/>
      <c r="E34" s="321"/>
      <c r="F34" s="321"/>
      <c r="G34" s="323"/>
      <c r="H34" s="12"/>
      <c r="I34" s="12"/>
      <c r="L34" s="279"/>
      <c r="M34" s="279"/>
      <c r="N34" s="280"/>
      <c r="O34" s="280"/>
    </row>
    <row r="35" spans="1:15" s="233" customFormat="1">
      <c r="A35" s="320"/>
      <c r="B35" s="321"/>
      <c r="C35" s="321"/>
      <c r="D35" s="322"/>
      <c r="E35" s="321"/>
      <c r="F35" s="321"/>
      <c r="G35" s="323"/>
      <c r="H35" s="12"/>
      <c r="I35" s="12"/>
      <c r="L35" s="279"/>
      <c r="M35" s="279"/>
      <c r="N35" s="280"/>
      <c r="O35" s="280"/>
    </row>
    <row r="36" spans="1:15" s="233" customFormat="1">
      <c r="A36" s="320"/>
      <c r="B36" s="321"/>
      <c r="C36" s="321"/>
      <c r="D36" s="322"/>
      <c r="E36" s="321"/>
      <c r="F36" s="321"/>
      <c r="G36" s="323"/>
      <c r="H36" s="12"/>
      <c r="I36" s="12"/>
      <c r="L36" s="279"/>
      <c r="M36" s="279"/>
      <c r="N36" s="280"/>
      <c r="O36" s="280"/>
    </row>
    <row r="37" spans="1:15" s="233" customFormat="1">
      <c r="A37" s="320"/>
      <c r="B37" s="321"/>
      <c r="C37" s="321"/>
      <c r="D37" s="322"/>
      <c r="E37" s="321"/>
      <c r="F37" s="321"/>
      <c r="G37" s="323"/>
      <c r="H37" s="12"/>
      <c r="I37" s="12"/>
      <c r="L37" s="279"/>
      <c r="M37" s="279"/>
      <c r="N37" s="280"/>
      <c r="O37" s="280"/>
    </row>
    <row r="38" spans="1:15" s="233" customFormat="1">
      <c r="A38" s="320"/>
      <c r="B38" s="321"/>
      <c r="C38" s="321"/>
      <c r="D38" s="322"/>
      <c r="E38" s="321"/>
      <c r="F38" s="321"/>
      <c r="G38" s="323"/>
      <c r="H38" s="12"/>
      <c r="I38" s="12"/>
      <c r="L38" s="279"/>
      <c r="M38" s="279"/>
      <c r="N38" s="280"/>
      <c r="O38" s="280"/>
    </row>
    <row r="39" spans="1:15" s="233" customFormat="1">
      <c r="A39" s="320"/>
      <c r="B39" s="321"/>
      <c r="C39" s="321"/>
      <c r="D39" s="322"/>
      <c r="E39" s="321"/>
      <c r="F39" s="321"/>
      <c r="G39" s="323"/>
      <c r="H39" s="12"/>
      <c r="I39" s="12"/>
      <c r="L39"/>
      <c r="M39"/>
      <c r="N39"/>
      <c r="O39"/>
    </row>
    <row r="40" spans="1:15" ht="11.25" customHeight="1">
      <c r="A40" s="12"/>
      <c r="B40" s="12"/>
      <c r="C40" s="12"/>
      <c r="D40" s="12"/>
      <c r="E40" s="12"/>
      <c r="F40" s="12"/>
      <c r="G40" s="12"/>
      <c r="H40" s="12"/>
      <c r="I40" s="12"/>
    </row>
    <row r="41" spans="1:15">
      <c r="H41" s="12"/>
      <c r="I41" s="12"/>
    </row>
    <row r="43" spans="1:15" ht="15.75" customHeight="1"/>
    <row r="45" spans="1:15" ht="38.25" customHeight="1">
      <c r="A45" s="1166" t="s">
        <v>847</v>
      </c>
      <c r="B45" s="1166"/>
      <c r="C45" s="1166"/>
      <c r="D45" s="1166"/>
      <c r="E45" s="1166"/>
      <c r="F45" s="1166"/>
      <c r="G45" s="1166"/>
      <c r="H45" s="1166"/>
      <c r="I45" s="1166"/>
    </row>
    <row r="46" spans="1:15">
      <c r="A46" s="18"/>
      <c r="B46" s="18"/>
      <c r="C46" s="19"/>
      <c r="D46" s="19"/>
      <c r="E46" s="18"/>
      <c r="F46" s="18"/>
      <c r="G46" s="18"/>
    </row>
    <row r="47" spans="1:15">
      <c r="A47" s="16"/>
      <c r="B47" s="16"/>
      <c r="C47" s="16"/>
      <c r="D47" s="16"/>
      <c r="E47" s="16"/>
      <c r="F47" s="16"/>
      <c r="G47" s="16"/>
    </row>
    <row r="48" spans="1:15">
      <c r="A48" s="16"/>
      <c r="B48" s="16"/>
      <c r="C48" s="16"/>
      <c r="D48" s="16"/>
      <c r="E48" s="16"/>
      <c r="F48" s="16"/>
      <c r="G48" s="16"/>
    </row>
    <row r="49" spans="1:7">
      <c r="A49" s="16"/>
      <c r="B49" s="16"/>
      <c r="C49" s="16"/>
      <c r="D49" s="16"/>
      <c r="E49" s="16"/>
      <c r="F49" s="16"/>
      <c r="G49" s="16"/>
    </row>
  </sheetData>
  <mergeCells count="12">
    <mergeCell ref="J22:N24"/>
    <mergeCell ref="A4:I4"/>
    <mergeCell ref="E17:F17"/>
    <mergeCell ref="A45:I45"/>
    <mergeCell ref="B16:C16"/>
    <mergeCell ref="I6:I7"/>
    <mergeCell ref="G6:G7"/>
    <mergeCell ref="E6:F6"/>
    <mergeCell ref="B6:C6"/>
    <mergeCell ref="A6:A7"/>
    <mergeCell ref="E16:F16"/>
    <mergeCell ref="B17:C17"/>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64">
    <tabColor rgb="FF4F9237"/>
  </sheetPr>
  <dimension ref="A1:I24"/>
  <sheetViews>
    <sheetView showGridLines="0" view="pageLayout" zoomScaleNormal="100" workbookViewId="0">
      <selection activeCell="H10" sqref="H10"/>
    </sheetView>
  </sheetViews>
  <sheetFormatPr baseColWidth="10" defaultColWidth="9.1640625" defaultRowHeight="15"/>
  <cols>
    <col min="1" max="1" width="26.5" customWidth="1"/>
    <col min="2" max="2" width="13.33203125" customWidth="1"/>
    <col min="3" max="3" width="8" customWidth="1"/>
    <col min="4" max="4" width="5.33203125" customWidth="1"/>
    <col min="5" max="5" width="13.33203125" customWidth="1"/>
    <col min="6" max="6" width="8" customWidth="1"/>
    <col min="7" max="7" width="7.5" customWidth="1"/>
    <col min="8" max="8" width="2.83203125" customWidth="1"/>
    <col min="9" max="9" width="12.33203125" customWidth="1"/>
  </cols>
  <sheetData>
    <row r="1" spans="1:9" ht="28.5" customHeight="1"/>
    <row r="2" spans="1:9" s="1" customFormat="1" ht="15" customHeight="1">
      <c r="A2" s="484" t="s">
        <v>14</v>
      </c>
    </row>
    <row r="3" spans="1:9" s="1" customFormat="1" ht="3" customHeight="1"/>
    <row r="4" spans="1:9" s="1" customFormat="1" ht="15" customHeight="1">
      <c r="A4" s="1021" t="s">
        <v>107</v>
      </c>
      <c r="B4" s="1021"/>
      <c r="C4" s="1021"/>
      <c r="D4" s="1021"/>
      <c r="E4" s="1021"/>
      <c r="F4" s="1021"/>
      <c r="G4" s="1021"/>
      <c r="H4" s="1021"/>
      <c r="I4" s="1021"/>
    </row>
    <row r="5" spans="1:9" s="1" customFormat="1" ht="8.25" customHeight="1">
      <c r="A5" s="17"/>
      <c r="B5" s="17"/>
      <c r="C5" s="17"/>
      <c r="D5" s="17"/>
      <c r="E5" s="17"/>
      <c r="F5" s="17"/>
      <c r="G5" s="17"/>
      <c r="H5" s="17"/>
      <c r="I5" s="17"/>
    </row>
    <row r="6" spans="1:9" s="1" customFormat="1" ht="15" customHeight="1">
      <c r="A6" s="1171" t="s">
        <v>111</v>
      </c>
      <c r="B6" s="1172" t="s">
        <v>31</v>
      </c>
      <c r="C6" s="1173"/>
      <c r="D6" s="89"/>
      <c r="E6" s="1157" t="s">
        <v>74</v>
      </c>
      <c r="F6" s="1168"/>
      <c r="G6" s="1174" t="s">
        <v>36</v>
      </c>
      <c r="H6" s="17"/>
      <c r="I6" s="17"/>
    </row>
    <row r="7" spans="1:9">
      <c r="A7" s="1171"/>
      <c r="B7" s="473" t="s">
        <v>832</v>
      </c>
      <c r="C7" s="486" t="s">
        <v>78</v>
      </c>
      <c r="D7" s="89"/>
      <c r="E7" s="812" t="s">
        <v>832</v>
      </c>
      <c r="F7" s="473" t="s">
        <v>78</v>
      </c>
      <c r="G7" s="1174"/>
    </row>
    <row r="8" spans="1:9">
      <c r="A8" s="427" t="s">
        <v>116</v>
      </c>
      <c r="B8" s="885"/>
      <c r="C8" s="428" t="e">
        <f t="shared" ref="C8:C19" si="0">B8/B$20</f>
        <v>#DIV/0!</v>
      </c>
      <c r="D8" s="89"/>
      <c r="E8" s="885"/>
      <c r="F8" s="428" t="e">
        <f t="shared" ref="F8:F19" si="1">E8/E$20</f>
        <v>#DIV/0!</v>
      </c>
      <c r="G8" s="398" t="str">
        <f t="shared" ref="G8:G19" si="2">IFERROR(B8/E8-1,"n/a")</f>
        <v>n/a</v>
      </c>
    </row>
    <row r="9" spans="1:9">
      <c r="A9" s="427" t="s">
        <v>117</v>
      </c>
      <c r="B9" s="885"/>
      <c r="C9" s="428" t="e">
        <f t="shared" si="0"/>
        <v>#DIV/0!</v>
      </c>
      <c r="D9" s="89"/>
      <c r="E9" s="885"/>
      <c r="F9" s="428" t="e">
        <f t="shared" si="1"/>
        <v>#DIV/0!</v>
      </c>
      <c r="G9" s="398" t="str">
        <f t="shared" si="2"/>
        <v>n/a</v>
      </c>
    </row>
    <row r="10" spans="1:9">
      <c r="A10" s="427" t="s">
        <v>118</v>
      </c>
      <c r="B10" s="885"/>
      <c r="C10" s="428" t="e">
        <f t="shared" si="0"/>
        <v>#DIV/0!</v>
      </c>
      <c r="D10" s="89"/>
      <c r="E10" s="885"/>
      <c r="F10" s="428" t="e">
        <f t="shared" si="1"/>
        <v>#DIV/0!</v>
      </c>
      <c r="G10" s="398" t="str">
        <f t="shared" si="2"/>
        <v>n/a</v>
      </c>
    </row>
    <row r="11" spans="1:9">
      <c r="A11" s="427" t="s">
        <v>119</v>
      </c>
      <c r="B11" s="885"/>
      <c r="C11" s="428" t="e">
        <f t="shared" si="0"/>
        <v>#DIV/0!</v>
      </c>
      <c r="D11" s="89"/>
      <c r="E11" s="885"/>
      <c r="F11" s="428" t="e">
        <f t="shared" si="1"/>
        <v>#DIV/0!</v>
      </c>
      <c r="G11" s="398" t="str">
        <f t="shared" si="2"/>
        <v>n/a</v>
      </c>
    </row>
    <row r="12" spans="1:9">
      <c r="A12" s="427" t="s">
        <v>120</v>
      </c>
      <c r="B12" s="885"/>
      <c r="C12" s="428" t="e">
        <f t="shared" si="0"/>
        <v>#DIV/0!</v>
      </c>
      <c r="D12" s="89"/>
      <c r="E12" s="885"/>
      <c r="F12" s="428" t="e">
        <f t="shared" si="1"/>
        <v>#DIV/0!</v>
      </c>
      <c r="G12" s="398" t="str">
        <f t="shared" si="2"/>
        <v>n/a</v>
      </c>
    </row>
    <row r="13" spans="1:9">
      <c r="A13" s="427" t="s">
        <v>121</v>
      </c>
      <c r="B13" s="885"/>
      <c r="C13" s="428" t="e">
        <f t="shared" si="0"/>
        <v>#DIV/0!</v>
      </c>
      <c r="D13" s="89"/>
      <c r="E13" s="885"/>
      <c r="F13" s="428" t="e">
        <f t="shared" si="1"/>
        <v>#DIV/0!</v>
      </c>
      <c r="G13" s="398" t="str">
        <f t="shared" si="2"/>
        <v>n/a</v>
      </c>
    </row>
    <row r="14" spans="1:9">
      <c r="A14" s="427" t="s">
        <v>310</v>
      </c>
      <c r="B14" s="885"/>
      <c r="C14" s="428" t="e">
        <f t="shared" si="0"/>
        <v>#DIV/0!</v>
      </c>
      <c r="D14" s="89"/>
      <c r="E14" s="885"/>
      <c r="F14" s="428" t="e">
        <f t="shared" si="1"/>
        <v>#DIV/0!</v>
      </c>
      <c r="G14" s="398" t="str">
        <f t="shared" si="2"/>
        <v>n/a</v>
      </c>
    </row>
    <row r="15" spans="1:9">
      <c r="A15" s="427" t="s">
        <v>311</v>
      </c>
      <c r="B15" s="885"/>
      <c r="C15" s="428" t="e">
        <f t="shared" si="0"/>
        <v>#DIV/0!</v>
      </c>
      <c r="D15" s="89"/>
      <c r="E15" s="885"/>
      <c r="F15" s="428" t="e">
        <f t="shared" si="1"/>
        <v>#DIV/0!</v>
      </c>
      <c r="G15" s="398" t="str">
        <f t="shared" si="2"/>
        <v>n/a</v>
      </c>
    </row>
    <row r="16" spans="1:9">
      <c r="A16" s="427" t="s">
        <v>312</v>
      </c>
      <c r="B16" s="885"/>
      <c r="C16" s="428" t="e">
        <f t="shared" si="0"/>
        <v>#DIV/0!</v>
      </c>
      <c r="D16" s="89"/>
      <c r="E16" s="885"/>
      <c r="F16" s="428" t="e">
        <f t="shared" si="1"/>
        <v>#DIV/0!</v>
      </c>
      <c r="G16" s="398" t="str">
        <f t="shared" si="2"/>
        <v>n/a</v>
      </c>
    </row>
    <row r="17" spans="1:7">
      <c r="A17" s="427" t="s">
        <v>313</v>
      </c>
      <c r="B17" s="885"/>
      <c r="C17" s="428" t="e">
        <f t="shared" si="0"/>
        <v>#DIV/0!</v>
      </c>
      <c r="D17" s="89"/>
      <c r="E17" s="885"/>
      <c r="F17" s="428" t="e">
        <f t="shared" si="1"/>
        <v>#DIV/0!</v>
      </c>
      <c r="G17" s="398" t="str">
        <f t="shared" si="2"/>
        <v>n/a</v>
      </c>
    </row>
    <row r="18" spans="1:7">
      <c r="A18" s="427" t="s">
        <v>314</v>
      </c>
      <c r="B18" s="885"/>
      <c r="C18" s="428" t="e">
        <f t="shared" si="0"/>
        <v>#DIV/0!</v>
      </c>
      <c r="D18" s="89"/>
      <c r="E18" s="885"/>
      <c r="F18" s="428" t="e">
        <f t="shared" si="1"/>
        <v>#DIV/0!</v>
      </c>
      <c r="G18" s="398" t="str">
        <f t="shared" si="2"/>
        <v>n/a</v>
      </c>
    </row>
    <row r="19" spans="1:7">
      <c r="A19" s="427" t="s">
        <v>315</v>
      </c>
      <c r="B19" s="885"/>
      <c r="C19" s="428" t="e">
        <f t="shared" si="0"/>
        <v>#DIV/0!</v>
      </c>
      <c r="D19" s="89"/>
      <c r="E19" s="885"/>
      <c r="F19" s="428" t="e">
        <f t="shared" si="1"/>
        <v>#DIV/0!</v>
      </c>
      <c r="G19" s="398" t="str">
        <f t="shared" si="2"/>
        <v>n/a</v>
      </c>
    </row>
    <row r="20" spans="1:7">
      <c r="A20" s="819" t="s">
        <v>66</v>
      </c>
      <c r="B20" s="820">
        <f>SUM(B8:B19)</f>
        <v>0</v>
      </c>
      <c r="C20" s="821" t="e">
        <f>B20/B20</f>
        <v>#DIV/0!</v>
      </c>
      <c r="D20" s="89"/>
      <c r="E20" s="820">
        <f>SUM(E8:E19)</f>
        <v>0</v>
      </c>
      <c r="F20" s="821" t="e">
        <f>E20/E20</f>
        <v>#DIV/0!</v>
      </c>
      <c r="G20" s="822" t="e">
        <f>B20/E20-1</f>
        <v>#DIV/0!</v>
      </c>
    </row>
    <row r="22" spans="1:7">
      <c r="A22" s="481" t="s">
        <v>557</v>
      </c>
    </row>
    <row r="24" spans="1:7" ht="14.5" customHeight="1"/>
  </sheetData>
  <mergeCells count="5">
    <mergeCell ref="A4:I4"/>
    <mergeCell ref="A6:A7"/>
    <mergeCell ref="B6:C6"/>
    <mergeCell ref="E6:F6"/>
    <mergeCell ref="G6:G7"/>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drawing r:id="rId2"/>
  <legacyDrawingHF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72">
    <tabColor rgb="FFFFC000"/>
  </sheetPr>
  <dimension ref="A1:I16"/>
  <sheetViews>
    <sheetView showGridLines="0" view="pageLayout" topLeftCell="A4" zoomScaleNormal="100" workbookViewId="0">
      <selection activeCell="H10" sqref="H10"/>
    </sheetView>
  </sheetViews>
  <sheetFormatPr baseColWidth="10" defaultColWidth="9.1640625" defaultRowHeight="15"/>
  <cols>
    <col min="1" max="1" width="26.5" style="233" customWidth="1"/>
    <col min="2" max="2" width="13.33203125" style="233" customWidth="1"/>
    <col min="3" max="3" width="8" style="233" customWidth="1"/>
    <col min="4" max="4" width="5.33203125" style="233" customWidth="1"/>
    <col min="5" max="5" width="13.33203125" style="233" customWidth="1"/>
    <col min="6" max="6" width="8" style="233" customWidth="1"/>
    <col min="7" max="7" width="7.5" style="233" customWidth="1"/>
    <col min="8" max="8" width="2.83203125" style="233" customWidth="1"/>
    <col min="9" max="9" width="12.33203125" style="233" customWidth="1"/>
    <col min="10" max="16384" width="9.1640625" style="233"/>
  </cols>
  <sheetData>
    <row r="1" spans="1:9" ht="26.25" customHeight="1"/>
    <row r="2" spans="1:9" s="1" customFormat="1" ht="15" customHeight="1">
      <c r="A2" s="484" t="s">
        <v>14</v>
      </c>
    </row>
    <row r="3" spans="1:9" s="1" customFormat="1" ht="3" customHeight="1"/>
    <row r="4" spans="1:9" s="1" customFormat="1" ht="15" customHeight="1">
      <c r="A4" s="1021" t="s">
        <v>107</v>
      </c>
      <c r="B4" s="1021"/>
      <c r="C4" s="1021"/>
      <c r="D4" s="1021"/>
      <c r="E4" s="1021"/>
      <c r="F4" s="1021"/>
      <c r="G4" s="1021"/>
      <c r="H4" s="1021"/>
      <c r="I4" s="1021"/>
    </row>
    <row r="5" spans="1:9" s="1" customFormat="1" ht="8.25" customHeight="1">
      <c r="A5" s="17"/>
      <c r="B5" s="17"/>
      <c r="C5" s="17"/>
      <c r="D5" s="17"/>
      <c r="E5" s="17"/>
      <c r="F5" s="17"/>
      <c r="G5" s="17"/>
      <c r="H5" s="17"/>
      <c r="I5" s="17"/>
    </row>
    <row r="7" spans="1:9">
      <c r="A7" s="1175" t="s">
        <v>321</v>
      </c>
      <c r="B7" s="1177" t="s">
        <v>31</v>
      </c>
      <c r="C7" s="1178"/>
      <c r="D7" s="34"/>
      <c r="E7" s="1157" t="s">
        <v>74</v>
      </c>
      <c r="F7" s="1168"/>
      <c r="G7" s="1071" t="s">
        <v>36</v>
      </c>
    </row>
    <row r="8" spans="1:9">
      <c r="A8" s="1176"/>
      <c r="B8" s="473" t="s">
        <v>832</v>
      </c>
      <c r="C8" s="487" t="s">
        <v>78</v>
      </c>
      <c r="D8" s="319"/>
      <c r="E8" s="812" t="s">
        <v>832</v>
      </c>
      <c r="F8" s="485" t="s">
        <v>78</v>
      </c>
      <c r="G8" s="1071"/>
    </row>
    <row r="9" spans="1:9">
      <c r="A9" s="711" t="s">
        <v>322</v>
      </c>
      <c r="B9" s="885"/>
      <c r="C9" s="428" t="e">
        <f t="shared" ref="C9:C15" si="0">B9/B$16</f>
        <v>#DIV/0!</v>
      </c>
      <c r="D9" s="319"/>
      <c r="E9" s="885"/>
      <c r="F9" s="428" t="e">
        <f t="shared" ref="F9:F15" si="1">E9/E$16</f>
        <v>#DIV/0!</v>
      </c>
      <c r="G9" s="398" t="str">
        <f t="shared" ref="G9:G15" si="2">IFERROR(B9/E9-1,"n/a")</f>
        <v>n/a</v>
      </c>
    </row>
    <row r="10" spans="1:9">
      <c r="A10" s="711" t="s">
        <v>323</v>
      </c>
      <c r="B10" s="885"/>
      <c r="C10" s="428" t="e">
        <f t="shared" si="0"/>
        <v>#DIV/0!</v>
      </c>
      <c r="D10" s="319"/>
      <c r="E10" s="885"/>
      <c r="F10" s="428" t="e">
        <f t="shared" si="1"/>
        <v>#DIV/0!</v>
      </c>
      <c r="G10" s="398" t="str">
        <f t="shared" si="2"/>
        <v>n/a</v>
      </c>
    </row>
    <row r="11" spans="1:9">
      <c r="A11" s="711" t="s">
        <v>241</v>
      </c>
      <c r="B11" s="885"/>
      <c r="C11" s="428" t="e">
        <f t="shared" si="0"/>
        <v>#DIV/0!</v>
      </c>
      <c r="D11" s="319"/>
      <c r="E11" s="885"/>
      <c r="F11" s="428" t="e">
        <f t="shared" si="1"/>
        <v>#DIV/0!</v>
      </c>
      <c r="G11" s="398" t="str">
        <f t="shared" si="2"/>
        <v>n/a</v>
      </c>
    </row>
    <row r="12" spans="1:9">
      <c r="A12" s="711" t="s">
        <v>324</v>
      </c>
      <c r="B12" s="885"/>
      <c r="C12" s="428" t="e">
        <f t="shared" si="0"/>
        <v>#DIV/0!</v>
      </c>
      <c r="D12" s="319"/>
      <c r="E12" s="885"/>
      <c r="F12" s="428" t="e">
        <f t="shared" si="1"/>
        <v>#DIV/0!</v>
      </c>
      <c r="G12" s="398" t="str">
        <f t="shared" si="2"/>
        <v>n/a</v>
      </c>
    </row>
    <row r="13" spans="1:9">
      <c r="A13" s="711" t="s">
        <v>649</v>
      </c>
      <c r="B13" s="885"/>
      <c r="C13" s="428" t="e">
        <f t="shared" si="0"/>
        <v>#DIV/0!</v>
      </c>
      <c r="D13" s="319"/>
      <c r="E13" s="885"/>
      <c r="F13" s="428" t="e">
        <f t="shared" si="1"/>
        <v>#DIV/0!</v>
      </c>
      <c r="G13" s="398" t="str">
        <f t="shared" si="2"/>
        <v>n/a</v>
      </c>
    </row>
    <row r="14" spans="1:9" s="364" customFormat="1">
      <c r="A14" s="770"/>
      <c r="B14" s="885"/>
      <c r="C14" s="428" t="e">
        <f t="shared" ref="C14" si="3">B14/B$16</f>
        <v>#DIV/0!</v>
      </c>
      <c r="D14" s="319"/>
      <c r="E14" s="885"/>
      <c r="F14" s="428" t="e">
        <f t="shared" ref="F14" si="4">E14/E$16</f>
        <v>#DIV/0!</v>
      </c>
      <c r="G14" s="398" t="str">
        <f t="shared" ref="G14" si="5">IFERROR(B14/E14-1,"n/a")</f>
        <v>n/a</v>
      </c>
    </row>
    <row r="15" spans="1:9">
      <c r="A15" s="711"/>
      <c r="B15" s="885"/>
      <c r="C15" s="428" t="e">
        <f t="shared" si="0"/>
        <v>#DIV/0!</v>
      </c>
      <c r="D15" s="319"/>
      <c r="E15" s="885"/>
      <c r="F15" s="428" t="e">
        <f t="shared" si="1"/>
        <v>#DIV/0!</v>
      </c>
      <c r="G15" s="398" t="str">
        <f t="shared" si="2"/>
        <v>n/a</v>
      </c>
    </row>
    <row r="16" spans="1:9">
      <c r="A16" s="825" t="s">
        <v>66</v>
      </c>
      <c r="B16" s="820">
        <f>SUM(B9:B15)</f>
        <v>0</v>
      </c>
      <c r="C16" s="821" t="e">
        <f>B16/B16</f>
        <v>#DIV/0!</v>
      </c>
      <c r="D16" s="319"/>
      <c r="E16" s="820">
        <f>SUM(E9:E15)</f>
        <v>0</v>
      </c>
      <c r="F16" s="821" t="e">
        <f>E16/E16</f>
        <v>#DIV/0!</v>
      </c>
      <c r="G16" s="822" t="e">
        <f>B16/E16-1</f>
        <v>#DIV/0!</v>
      </c>
    </row>
  </sheetData>
  <mergeCells count="5">
    <mergeCell ref="A4:I4"/>
    <mergeCell ref="A7:A8"/>
    <mergeCell ref="B7:C7"/>
    <mergeCell ref="E7:F7"/>
    <mergeCell ref="G7:G8"/>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0000"/>
  </sheetPr>
  <dimension ref="B20:I38"/>
  <sheetViews>
    <sheetView showGridLines="0" view="pageLayout" zoomScale="90" zoomScaleNormal="100" zoomScalePageLayoutView="90" workbookViewId="0">
      <selection activeCell="H10" sqref="H10"/>
    </sheetView>
  </sheetViews>
  <sheetFormatPr baseColWidth="10" defaultColWidth="8.83203125" defaultRowHeight="15"/>
  <cols>
    <col min="1" max="9" width="10.6640625" customWidth="1"/>
  </cols>
  <sheetData>
    <row r="20" spans="2:9" ht="15" customHeight="1">
      <c r="B20" s="179"/>
      <c r="C20" s="179"/>
      <c r="D20" s="179"/>
    </row>
    <row r="21" spans="2:9" ht="15" customHeight="1">
      <c r="B21" s="179"/>
      <c r="C21" s="179"/>
      <c r="D21" s="179"/>
    </row>
    <row r="22" spans="2:9" ht="15" customHeight="1">
      <c r="B22" s="179"/>
      <c r="C22" s="213"/>
      <c r="D22" s="179"/>
    </row>
    <row r="23" spans="2:9" ht="16">
      <c r="B23" s="179"/>
      <c r="C23" s="179"/>
      <c r="D23" s="179"/>
      <c r="E23" s="263"/>
      <c r="F23" s="743" t="str">
        <f>Carrier</f>
        <v>Carrier</v>
      </c>
      <c r="G23" s="263"/>
      <c r="H23" s="263"/>
      <c r="I23" s="263"/>
    </row>
    <row r="24" spans="2:9" ht="16">
      <c r="B24" s="179"/>
      <c r="C24" s="179"/>
      <c r="D24" s="179"/>
      <c r="E24" s="263"/>
      <c r="F24" s="744" t="s">
        <v>502</v>
      </c>
      <c r="G24" s="263"/>
      <c r="H24" s="745" t="str">
        <f>PolicyNumber</f>
        <v>Policy Number</v>
      </c>
      <c r="I24" s="263"/>
    </row>
    <row r="25" spans="2:9" ht="16">
      <c r="B25" s="100"/>
      <c r="E25" s="263"/>
      <c r="F25" s="744"/>
      <c r="G25" s="263"/>
      <c r="H25" s="263"/>
      <c r="I25" s="263"/>
    </row>
    <row r="26" spans="2:9" ht="16">
      <c r="B26" s="100"/>
      <c r="C26" s="1000"/>
      <c r="D26" s="1000"/>
      <c r="E26" s="263"/>
      <c r="F26" s="743" t="s">
        <v>1</v>
      </c>
      <c r="G26" s="263"/>
      <c r="H26" s="263"/>
      <c r="I26" s="263"/>
    </row>
    <row r="27" spans="2:9" ht="16">
      <c r="B27" s="100"/>
      <c r="E27" s="263"/>
      <c r="F27" s="744" t="str">
        <f>AE1_Name</f>
        <v>AE 1 - Name</v>
      </c>
      <c r="G27" s="263"/>
      <c r="H27" s="263"/>
      <c r="I27" s="263"/>
    </row>
    <row r="28" spans="2:9" ht="16">
      <c r="E28" s="263"/>
      <c r="F28" s="744" t="str">
        <f>AE1_Title</f>
        <v>AE 1 - Title</v>
      </c>
      <c r="G28" s="263"/>
      <c r="H28" s="263"/>
      <c r="I28" s="263"/>
    </row>
    <row r="29" spans="2:9">
      <c r="E29" s="263"/>
      <c r="F29" s="263"/>
      <c r="G29" s="263"/>
      <c r="H29" s="263"/>
      <c r="I29" s="263"/>
    </row>
    <row r="30" spans="2:9" ht="16">
      <c r="E30" s="263"/>
      <c r="F30" s="744">
        <f>AE2_Name</f>
        <v>0</v>
      </c>
      <c r="G30" s="263"/>
      <c r="H30" s="263"/>
      <c r="I30" s="263"/>
    </row>
    <row r="31" spans="2:9" ht="16">
      <c r="E31" s="263"/>
      <c r="F31" s="744">
        <f>AE2_Title</f>
        <v>0</v>
      </c>
      <c r="G31" s="263"/>
      <c r="H31" s="263"/>
      <c r="I31" s="263"/>
    </row>
    <row r="32" spans="2:9">
      <c r="B32" s="1001"/>
      <c r="C32" s="1001"/>
      <c r="D32" s="1001"/>
      <c r="E32" s="263"/>
      <c r="F32" s="263"/>
      <c r="G32" s="263"/>
      <c r="H32" s="263"/>
      <c r="I32" s="263"/>
    </row>
    <row r="33" spans="2:9" ht="16">
      <c r="B33" s="1001"/>
      <c r="C33" s="1001"/>
      <c r="D33" s="1001"/>
      <c r="E33" s="263"/>
      <c r="F33" s="743" t="s">
        <v>555</v>
      </c>
      <c r="G33" s="263"/>
      <c r="H33" s="263"/>
      <c r="I33" s="263"/>
    </row>
    <row r="34" spans="2:9" ht="16">
      <c r="B34" s="1001"/>
      <c r="C34" s="1001"/>
      <c r="D34" s="1001"/>
      <c r="E34" s="263"/>
      <c r="F34" s="744" t="s">
        <v>556</v>
      </c>
      <c r="G34" s="263"/>
      <c r="H34" s="263"/>
      <c r="I34" s="263"/>
    </row>
    <row r="35" spans="2:9">
      <c r="B35" s="1001"/>
      <c r="C35" s="1001"/>
      <c r="D35" s="1001"/>
      <c r="E35" s="263"/>
      <c r="F35" s="263"/>
      <c r="G35" s="263"/>
      <c r="H35" s="263"/>
      <c r="I35" s="263"/>
    </row>
    <row r="36" spans="2:9">
      <c r="B36" s="1001"/>
      <c r="C36" s="1001"/>
      <c r="D36" s="1001"/>
      <c r="E36" s="263"/>
      <c r="F36" s="263"/>
      <c r="G36" s="263"/>
      <c r="H36" s="263"/>
      <c r="I36" s="263"/>
    </row>
    <row r="37" spans="2:9" ht="16">
      <c r="B37" s="100"/>
      <c r="E37" s="263"/>
      <c r="F37" s="263"/>
      <c r="G37" s="263"/>
      <c r="H37" s="263"/>
      <c r="I37" s="263"/>
    </row>
    <row r="38" spans="2:9" ht="16">
      <c r="B38" s="100"/>
      <c r="C38" s="1000"/>
      <c r="D38" s="1000"/>
      <c r="E38" s="263"/>
      <c r="F38" s="263"/>
      <c r="G38" s="263"/>
      <c r="H38" s="263"/>
      <c r="I38" s="263"/>
    </row>
  </sheetData>
  <mergeCells count="3">
    <mergeCell ref="C26:D26"/>
    <mergeCell ref="B32:D36"/>
    <mergeCell ref="C38:D38"/>
  </mergeCells>
  <printOptions horizontalCentered="1"/>
  <pageMargins left="0.39370078740157499" right="0.47244094488188998" top="0.55118110236220497" bottom="0.94488188976377996" header="0.31496062992126" footer="0.31496062992126"/>
  <pageSetup fitToHeight="0" orientation="portrait" r:id="rId1"/>
  <headerFooter scaleWithDoc="0">
    <oddFooter>&amp;R&amp;G</oddFooter>
  </headerFooter>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0">
    <tabColor rgb="FFFFC000"/>
  </sheetPr>
  <dimension ref="A1:N50"/>
  <sheetViews>
    <sheetView showGridLines="0" view="pageLayout" zoomScale="90" zoomScaleNormal="100" zoomScalePageLayoutView="90" workbookViewId="0">
      <selection activeCell="H10" sqref="H10"/>
    </sheetView>
  </sheetViews>
  <sheetFormatPr baseColWidth="10" defaultColWidth="9.1640625" defaultRowHeight="15"/>
  <cols>
    <col min="1" max="1" width="38.33203125" customWidth="1"/>
    <col min="2" max="3" width="15.33203125" customWidth="1"/>
    <col min="4" max="4" width="12.5" customWidth="1"/>
    <col min="5" max="5" width="15.33203125" customWidth="1"/>
    <col min="6" max="6" width="6.83203125" customWidth="1"/>
    <col min="7" max="7" width="7.5" customWidth="1"/>
  </cols>
  <sheetData>
    <row r="1" spans="1:14" ht="27" customHeight="1"/>
    <row r="2" spans="1:14" s="1" customFormat="1" ht="20">
      <c r="A2" s="600" t="s">
        <v>293</v>
      </c>
    </row>
    <row r="3" spans="1:14" s="1" customFormat="1" ht="3.75" customHeight="1"/>
    <row r="4" spans="1:14" s="1" customFormat="1" ht="15" customHeight="1">
      <c r="A4" s="1021" t="s">
        <v>294</v>
      </c>
      <c r="B4" s="1021"/>
      <c r="C4" s="1021"/>
      <c r="D4" s="1021"/>
      <c r="E4" s="1021"/>
      <c r="F4" s="17"/>
      <c r="G4" s="17"/>
    </row>
    <row r="5" spans="1:14">
      <c r="A5" s="7"/>
    </row>
    <row r="6" spans="1:14">
      <c r="A6" s="1179" t="s">
        <v>31</v>
      </c>
      <c r="B6" s="1179"/>
      <c r="C6" s="1179"/>
      <c r="D6" s="1179"/>
      <c r="E6" s="1179"/>
    </row>
    <row r="7" spans="1:14" ht="26">
      <c r="A7" s="491" t="s">
        <v>295</v>
      </c>
      <c r="B7" s="459" t="s">
        <v>296</v>
      </c>
      <c r="C7" s="459" t="s">
        <v>832</v>
      </c>
      <c r="D7" s="459" t="s">
        <v>297</v>
      </c>
      <c r="E7" s="492" t="s">
        <v>298</v>
      </c>
    </row>
    <row r="8" spans="1:14" ht="15" customHeight="1">
      <c r="A8" s="488"/>
      <c r="B8" s="489"/>
      <c r="C8" s="435">
        <v>0</v>
      </c>
      <c r="D8" s="439" t="e">
        <f>C8/$C$19</f>
        <v>#DIV/0!</v>
      </c>
      <c r="E8" s="439" t="e">
        <f>C8/'EHC Breakdown - w S&amp;S'!B$14</f>
        <v>#DIV/0!</v>
      </c>
    </row>
    <row r="9" spans="1:14" ht="15" customHeight="1">
      <c r="A9" s="488"/>
      <c r="B9" s="489"/>
      <c r="C9" s="885">
        <v>0</v>
      </c>
      <c r="D9" s="439" t="e">
        <f t="shared" ref="D9:D17" si="0">C9/$C$19</f>
        <v>#DIV/0!</v>
      </c>
      <c r="E9" s="439" t="e">
        <f>C9/'EHC Breakdown - w S&amp;S'!B$14</f>
        <v>#DIV/0!</v>
      </c>
    </row>
    <row r="10" spans="1:14">
      <c r="A10" s="488"/>
      <c r="B10" s="489"/>
      <c r="C10" s="435">
        <v>0</v>
      </c>
      <c r="D10" s="439" t="e">
        <f t="shared" si="0"/>
        <v>#DIV/0!</v>
      </c>
      <c r="E10" s="439" t="e">
        <f>C10/'EHC Breakdown - w S&amp;S'!B$14</f>
        <v>#DIV/0!</v>
      </c>
    </row>
    <row r="11" spans="1:14">
      <c r="A11" s="488"/>
      <c r="B11" s="489"/>
      <c r="C11" s="435">
        <v>0</v>
      </c>
      <c r="D11" s="439" t="e">
        <f t="shared" si="0"/>
        <v>#DIV/0!</v>
      </c>
      <c r="E11" s="439" t="e">
        <f>C11/'EHC Breakdown - w S&amp;S'!B$14</f>
        <v>#DIV/0!</v>
      </c>
    </row>
    <row r="12" spans="1:14">
      <c r="A12" s="488"/>
      <c r="B12" s="489"/>
      <c r="C12" s="435">
        <v>0</v>
      </c>
      <c r="D12" s="439" t="e">
        <f t="shared" si="0"/>
        <v>#DIV/0!</v>
      </c>
      <c r="E12" s="439" t="e">
        <f>C12/'EHC Breakdown - w S&amp;S'!B$14</f>
        <v>#DIV/0!</v>
      </c>
      <c r="H12" s="279"/>
      <c r="I12" s="233"/>
      <c r="J12" s="233"/>
      <c r="K12" s="233"/>
      <c r="L12" s="233"/>
      <c r="M12" s="233"/>
      <c r="N12" s="282"/>
    </row>
    <row r="13" spans="1:14">
      <c r="A13" s="488"/>
      <c r="B13" s="489"/>
      <c r="C13" s="435">
        <v>0</v>
      </c>
      <c r="D13" s="439" t="e">
        <f t="shared" si="0"/>
        <v>#DIV/0!</v>
      </c>
      <c r="E13" s="439" t="e">
        <f>C13/'EHC Breakdown - w S&amp;S'!B$14</f>
        <v>#DIV/0!</v>
      </c>
      <c r="L13" s="279"/>
      <c r="N13" s="369"/>
    </row>
    <row r="14" spans="1:14">
      <c r="A14" s="488"/>
      <c r="B14" s="489"/>
      <c r="C14" s="435">
        <v>0</v>
      </c>
      <c r="D14" s="439" t="e">
        <f t="shared" si="0"/>
        <v>#DIV/0!</v>
      </c>
      <c r="E14" s="439" t="e">
        <f>C14/'EHC Breakdown - w S&amp;S'!B$14</f>
        <v>#DIV/0!</v>
      </c>
    </row>
    <row r="15" spans="1:14">
      <c r="A15" s="488"/>
      <c r="B15" s="489"/>
      <c r="C15" s="435">
        <v>0</v>
      </c>
      <c r="D15" s="439" t="e">
        <f t="shared" si="0"/>
        <v>#DIV/0!</v>
      </c>
      <c r="E15" s="439" t="e">
        <f>C15/'EHC Breakdown - w S&amp;S'!B$14</f>
        <v>#DIV/0!</v>
      </c>
    </row>
    <row r="16" spans="1:14">
      <c r="A16" s="488"/>
      <c r="B16" s="489"/>
      <c r="C16" s="435">
        <v>0</v>
      </c>
      <c r="D16" s="439" t="e">
        <f t="shared" si="0"/>
        <v>#DIV/0!</v>
      </c>
      <c r="E16" s="439" t="e">
        <f>C16/'EHC Breakdown - w S&amp;S'!B$14</f>
        <v>#DIV/0!</v>
      </c>
    </row>
    <row r="17" spans="1:7">
      <c r="A17" s="488"/>
      <c r="B17" s="489"/>
      <c r="C17" s="435">
        <v>0</v>
      </c>
      <c r="D17" s="439" t="e">
        <f t="shared" si="0"/>
        <v>#DIV/0!</v>
      </c>
      <c r="E17" s="439" t="e">
        <f>C17/'EHC Breakdown - w S&amp;S'!B$14</f>
        <v>#DIV/0!</v>
      </c>
    </row>
    <row r="18" spans="1:7">
      <c r="A18" s="825" t="s">
        <v>299</v>
      </c>
      <c r="B18" s="826">
        <f>SUM(B8:B17)</f>
        <v>0</v>
      </c>
      <c r="C18" s="820">
        <f>SUM(C8:C17)</f>
        <v>0</v>
      </c>
      <c r="D18" s="827" t="e">
        <f>C18/$C$19</f>
        <v>#DIV/0!</v>
      </c>
      <c r="E18" s="827" t="e">
        <f>C18/'EHC Breakdown - w S&amp;S'!B$14</f>
        <v>#DIV/0!</v>
      </c>
    </row>
    <row r="19" spans="1:7">
      <c r="A19" s="825" t="s">
        <v>300</v>
      </c>
      <c r="B19" s="826">
        <v>0</v>
      </c>
      <c r="C19" s="820">
        <f>'EHC Breakdown - w S&amp;S'!$B$8</f>
        <v>0</v>
      </c>
      <c r="D19" s="827" t="e">
        <f>C19/$C$19</f>
        <v>#DIV/0!</v>
      </c>
      <c r="E19" s="827" t="e">
        <f>C19/'EHC Breakdown - w S&amp;S'!B$14</f>
        <v>#DIV/0!</v>
      </c>
    </row>
    <row r="20" spans="1:7">
      <c r="A20" s="7"/>
    </row>
    <row r="21" spans="1:7">
      <c r="A21" s="890" t="s">
        <v>247</v>
      </c>
      <c r="B21" s="445" t="s">
        <v>296</v>
      </c>
      <c r="C21" s="445" t="s">
        <v>301</v>
      </c>
      <c r="D21" s="888" t="s">
        <v>832</v>
      </c>
      <c r="E21" s="889" t="s">
        <v>301</v>
      </c>
    </row>
    <row r="22" spans="1:7">
      <c r="A22" s="711" t="s">
        <v>302</v>
      </c>
      <c r="B22" s="489">
        <v>0</v>
      </c>
      <c r="C22" s="439" t="e">
        <f>B22/B$19</f>
        <v>#DIV/0!</v>
      </c>
      <c r="D22" s="435">
        <v>0</v>
      </c>
      <c r="E22" s="439" t="e">
        <f>D22/C$19</f>
        <v>#DIV/0!</v>
      </c>
    </row>
    <row r="23" spans="1:7">
      <c r="A23" s="711" t="s">
        <v>455</v>
      </c>
      <c r="B23" s="489">
        <v>0</v>
      </c>
      <c r="C23" s="439" t="e">
        <f>B23/B$19</f>
        <v>#DIV/0!</v>
      </c>
      <c r="D23" s="435">
        <v>0</v>
      </c>
      <c r="E23" s="439" t="e">
        <f>D23/C$19</f>
        <v>#DIV/0!</v>
      </c>
    </row>
    <row r="24" spans="1:7">
      <c r="A24" s="711" t="s">
        <v>456</v>
      </c>
      <c r="B24" s="489">
        <v>0</v>
      </c>
      <c r="C24" s="439" t="e">
        <f>B24/B$19</f>
        <v>#DIV/0!</v>
      </c>
      <c r="D24" s="435">
        <v>0</v>
      </c>
      <c r="E24" s="439" t="e">
        <f>D24/C$19</f>
        <v>#DIV/0!</v>
      </c>
    </row>
    <row r="25" spans="1:7">
      <c r="A25" s="7"/>
    </row>
    <row r="26" spans="1:7">
      <c r="A26" s="1180" t="s">
        <v>74</v>
      </c>
      <c r="B26" s="1180"/>
      <c r="C26" s="1180"/>
      <c r="D26" s="1180"/>
      <c r="E26" s="1180"/>
    </row>
    <row r="27" spans="1:7" ht="26">
      <c r="A27" s="491" t="s">
        <v>295</v>
      </c>
      <c r="B27" s="458" t="s">
        <v>296</v>
      </c>
      <c r="C27" s="459" t="s">
        <v>832</v>
      </c>
      <c r="D27" s="458" t="s">
        <v>297</v>
      </c>
      <c r="E27" s="492" t="s">
        <v>298</v>
      </c>
    </row>
    <row r="28" spans="1:7">
      <c r="A28" s="488"/>
      <c r="B28" s="489"/>
      <c r="C28" s="435">
        <v>0</v>
      </c>
      <c r="D28" s="439" t="e">
        <f>C28/$C$39</f>
        <v>#DIV/0!</v>
      </c>
      <c r="E28" s="439" t="e">
        <f>C28/'EHC Breakdown - w S&amp;S'!E$14</f>
        <v>#DIV/0!</v>
      </c>
      <c r="F28" s="18"/>
      <c r="G28" s="5"/>
    </row>
    <row r="29" spans="1:7">
      <c r="A29" s="488"/>
      <c r="B29" s="489"/>
      <c r="C29" s="435">
        <v>0</v>
      </c>
      <c r="D29" s="439" t="e">
        <f t="shared" ref="D29:D37" si="1">C29/$C$39</f>
        <v>#DIV/0!</v>
      </c>
      <c r="E29" s="439" t="e">
        <f>C29/'EHC Breakdown - w S&amp;S'!E$14</f>
        <v>#DIV/0!</v>
      </c>
      <c r="F29" s="18"/>
      <c r="G29" s="5"/>
    </row>
    <row r="30" spans="1:7">
      <c r="A30" s="488"/>
      <c r="B30" s="489"/>
      <c r="C30" s="435">
        <v>0</v>
      </c>
      <c r="D30" s="439" t="e">
        <f t="shared" si="1"/>
        <v>#DIV/0!</v>
      </c>
      <c r="E30" s="439" t="e">
        <f>C30/'EHC Breakdown - w S&amp;S'!E$14</f>
        <v>#DIV/0!</v>
      </c>
      <c r="F30" s="18"/>
      <c r="G30" s="5"/>
    </row>
    <row r="31" spans="1:7">
      <c r="A31" s="488"/>
      <c r="B31" s="489"/>
      <c r="C31" s="435">
        <v>0</v>
      </c>
      <c r="D31" s="439" t="e">
        <f t="shared" si="1"/>
        <v>#DIV/0!</v>
      </c>
      <c r="E31" s="439" t="e">
        <f>C31/'EHC Breakdown - w S&amp;S'!E$14</f>
        <v>#DIV/0!</v>
      </c>
      <c r="F31" s="18"/>
      <c r="G31" s="5"/>
    </row>
    <row r="32" spans="1:7">
      <c r="A32" s="488"/>
      <c r="B32" s="489"/>
      <c r="C32" s="435">
        <v>0</v>
      </c>
      <c r="D32" s="439" t="e">
        <f t="shared" si="1"/>
        <v>#DIV/0!</v>
      </c>
      <c r="E32" s="439" t="e">
        <f>C32/'EHC Breakdown - w S&amp;S'!E$14</f>
        <v>#DIV/0!</v>
      </c>
      <c r="F32" s="18"/>
      <c r="G32" s="5"/>
    </row>
    <row r="33" spans="1:7">
      <c r="A33" s="488"/>
      <c r="B33" s="489"/>
      <c r="C33" s="435">
        <v>0</v>
      </c>
      <c r="D33" s="439" t="e">
        <f t="shared" si="1"/>
        <v>#DIV/0!</v>
      </c>
      <c r="E33" s="439" t="e">
        <f>C33/'EHC Breakdown - w S&amp;S'!E$14</f>
        <v>#DIV/0!</v>
      </c>
      <c r="F33" s="18"/>
      <c r="G33" s="5"/>
    </row>
    <row r="34" spans="1:7">
      <c r="A34" s="488"/>
      <c r="B34" s="489"/>
      <c r="C34" s="435">
        <v>0</v>
      </c>
      <c r="D34" s="439" t="e">
        <f t="shared" si="1"/>
        <v>#DIV/0!</v>
      </c>
      <c r="E34" s="439" t="e">
        <f>C34/'EHC Breakdown - w S&amp;S'!E$14</f>
        <v>#DIV/0!</v>
      </c>
      <c r="F34" s="18"/>
      <c r="G34" s="5"/>
    </row>
    <row r="35" spans="1:7">
      <c r="A35" s="488"/>
      <c r="B35" s="489"/>
      <c r="C35" s="435">
        <v>0</v>
      </c>
      <c r="D35" s="439" t="e">
        <f t="shared" si="1"/>
        <v>#DIV/0!</v>
      </c>
      <c r="E35" s="439" t="e">
        <f>C35/'EHC Breakdown - w S&amp;S'!E$14</f>
        <v>#DIV/0!</v>
      </c>
      <c r="F35" s="18"/>
      <c r="G35" s="5"/>
    </row>
    <row r="36" spans="1:7">
      <c r="A36" s="488"/>
      <c r="B36" s="489"/>
      <c r="C36" s="435">
        <v>0</v>
      </c>
      <c r="D36" s="439" t="e">
        <f t="shared" si="1"/>
        <v>#DIV/0!</v>
      </c>
      <c r="E36" s="439" t="e">
        <f>C36/'EHC Breakdown - w S&amp;S'!E$14</f>
        <v>#DIV/0!</v>
      </c>
      <c r="F36" s="18"/>
      <c r="G36" s="5"/>
    </row>
    <row r="37" spans="1:7">
      <c r="A37" s="488"/>
      <c r="B37" s="489"/>
      <c r="C37" s="435">
        <v>0</v>
      </c>
      <c r="D37" s="439" t="e">
        <f t="shared" si="1"/>
        <v>#DIV/0!</v>
      </c>
      <c r="E37" s="439" t="e">
        <f>C37/'EHC Breakdown - w S&amp;S'!E$14</f>
        <v>#DIV/0!</v>
      </c>
      <c r="F37" s="18"/>
      <c r="G37" s="5"/>
    </row>
    <row r="38" spans="1:7">
      <c r="A38" s="825" t="s">
        <v>299</v>
      </c>
      <c r="B38" s="826">
        <f>SUM(B28:B37)</f>
        <v>0</v>
      </c>
      <c r="C38" s="820">
        <f>SUM(C28:C37)</f>
        <v>0</v>
      </c>
      <c r="D38" s="827" t="e">
        <f>C38/$C$39</f>
        <v>#DIV/0!</v>
      </c>
      <c r="E38" s="827" t="e">
        <f>C38/'EHC Breakdown - w S&amp;S'!E$14</f>
        <v>#DIV/0!</v>
      </c>
      <c r="F38" s="18"/>
      <c r="G38" s="5"/>
    </row>
    <row r="39" spans="1:7">
      <c r="A39" s="825" t="s">
        <v>300</v>
      </c>
      <c r="B39" s="826">
        <v>0</v>
      </c>
      <c r="C39" s="820">
        <f>'EHC Breakdown - w S&amp;S'!$E$8</f>
        <v>0</v>
      </c>
      <c r="D39" s="827" t="e">
        <f>C39/$C$39</f>
        <v>#DIV/0!</v>
      </c>
      <c r="E39" s="827" t="e">
        <f>C39/'EHC Breakdown - w S&amp;S'!E$14</f>
        <v>#DIV/0!</v>
      </c>
      <c r="F39" s="18"/>
      <c r="G39" s="5"/>
    </row>
    <row r="40" spans="1:7">
      <c r="A40" s="18"/>
      <c r="B40" s="19"/>
      <c r="C40" s="19"/>
      <c r="D40" s="18"/>
      <c r="E40" s="18"/>
      <c r="F40" s="18"/>
      <c r="G40" s="5"/>
    </row>
    <row r="41" spans="1:7">
      <c r="A41" s="18"/>
      <c r="B41" s="19"/>
      <c r="C41" s="19"/>
      <c r="D41" s="18"/>
      <c r="E41" s="18"/>
      <c r="F41" s="18"/>
      <c r="G41" s="5"/>
    </row>
    <row r="42" spans="1:7">
      <c r="A42" s="18"/>
      <c r="B42" s="19"/>
      <c r="C42" s="19"/>
      <c r="D42" s="18"/>
      <c r="E42" s="18"/>
      <c r="F42" s="18"/>
      <c r="G42" s="5"/>
    </row>
    <row r="43" spans="1:7">
      <c r="A43" s="18"/>
      <c r="C43" s="19"/>
      <c r="D43" s="18"/>
      <c r="E43" s="18"/>
      <c r="F43" s="18"/>
      <c r="G43" s="5"/>
    </row>
    <row r="44" spans="1:7">
      <c r="A44" s="18"/>
      <c r="C44" s="19"/>
      <c r="D44" s="18"/>
      <c r="E44" s="18"/>
      <c r="F44" s="18"/>
      <c r="G44" s="5"/>
    </row>
    <row r="45" spans="1:7">
      <c r="A45" s="18"/>
      <c r="B45" s="19"/>
      <c r="C45" s="19"/>
      <c r="D45" s="18"/>
      <c r="E45" s="18"/>
      <c r="F45" s="18"/>
      <c r="G45" s="5"/>
    </row>
    <row r="46" spans="1:7">
      <c r="A46" s="18"/>
      <c r="B46" s="19"/>
      <c r="C46" s="19"/>
      <c r="D46" s="18"/>
      <c r="E46" s="18"/>
      <c r="F46" s="18"/>
      <c r="G46" s="5"/>
    </row>
    <row r="47" spans="1:7">
      <c r="A47" s="18"/>
      <c r="B47" s="19"/>
      <c r="C47" s="19"/>
      <c r="D47" s="18"/>
      <c r="E47" s="18"/>
      <c r="F47" s="18"/>
      <c r="G47" s="5"/>
    </row>
    <row r="48" spans="1:7">
      <c r="A48" s="18"/>
      <c r="B48" s="19"/>
      <c r="C48" s="19"/>
      <c r="D48" s="18"/>
      <c r="E48" s="18"/>
      <c r="F48" s="18"/>
      <c r="G48" s="5"/>
    </row>
    <row r="49" spans="1:7">
      <c r="A49" s="18"/>
      <c r="B49" s="19"/>
      <c r="C49" s="19"/>
      <c r="D49" s="18"/>
      <c r="E49" s="18"/>
      <c r="F49" s="18"/>
      <c r="G49" s="5"/>
    </row>
    <row r="50" spans="1:7">
      <c r="A50" s="16"/>
      <c r="B50" s="16"/>
      <c r="C50" s="16"/>
      <c r="D50" s="16"/>
      <c r="E50" s="16"/>
    </row>
  </sheetData>
  <mergeCells count="3">
    <mergeCell ref="A6:E6"/>
    <mergeCell ref="A26:E26"/>
    <mergeCell ref="A4:E4"/>
  </mergeCells>
  <conditionalFormatting sqref="N12">
    <cfRule type="cellIs" dxfId="3" priority="1" operator="lessThan">
      <formula>-0.2</formula>
    </cfRule>
    <cfRule type="cellIs" dxfId="2" priority="2" operator="greaterThan">
      <formula>0.2</formula>
    </cfRule>
  </conditionalFormatting>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2">
    <tabColor rgb="FFFFC000"/>
  </sheetPr>
  <dimension ref="A1:Q49"/>
  <sheetViews>
    <sheetView showGridLines="0" view="pageLayout" topLeftCell="A13" zoomScale="90" zoomScaleNormal="100" zoomScalePageLayoutView="90" workbookViewId="0">
      <selection activeCell="H10" sqref="H10"/>
    </sheetView>
  </sheetViews>
  <sheetFormatPr baseColWidth="10" defaultColWidth="9.1640625" defaultRowHeight="15"/>
  <cols>
    <col min="1" max="1" width="16.5" customWidth="1"/>
    <col min="2" max="2" width="22.1640625" customWidth="1"/>
    <col min="3" max="4" width="9.5" customWidth="1"/>
    <col min="5" max="5" width="15.33203125" customWidth="1"/>
    <col min="6" max="6" width="15.5" bestFit="1" customWidth="1"/>
    <col min="7" max="7" width="8.5" customWidth="1"/>
    <col min="8" max="8" width="6.83203125" customWidth="1"/>
    <col min="9" max="9" width="7.5" customWidth="1"/>
  </cols>
  <sheetData>
    <row r="1" spans="1:17" ht="25.5" customHeight="1"/>
    <row r="2" spans="1:17" s="1" customFormat="1" ht="20">
      <c r="A2" s="600" t="s">
        <v>293</v>
      </c>
      <c r="B2" s="14"/>
    </row>
    <row r="3" spans="1:17" s="1" customFormat="1" ht="3.75" customHeight="1"/>
    <row r="4" spans="1:17" s="1" customFormat="1" ht="15" customHeight="1">
      <c r="A4" s="1021" t="s">
        <v>294</v>
      </c>
      <c r="B4" s="1021"/>
      <c r="C4" s="1021"/>
      <c r="D4" s="1021"/>
      <c r="E4" s="1021"/>
      <c r="F4" s="1021"/>
      <c r="G4" s="1021"/>
      <c r="H4" s="17"/>
      <c r="I4" s="17"/>
    </row>
    <row r="5" spans="1:17">
      <c r="A5" s="7"/>
      <c r="B5" s="7"/>
    </row>
    <row r="6" spans="1:17">
      <c r="A6" s="1179" t="s">
        <v>31</v>
      </c>
      <c r="B6" s="1179"/>
      <c r="C6" s="1179"/>
      <c r="D6" s="1179"/>
      <c r="E6" s="1179"/>
      <c r="F6" s="1179"/>
      <c r="G6" s="1179"/>
    </row>
    <row r="7" spans="1:17" ht="26">
      <c r="A7" s="493" t="s">
        <v>818</v>
      </c>
      <c r="B7" s="494" t="s">
        <v>474</v>
      </c>
      <c r="C7" s="458" t="s">
        <v>70</v>
      </c>
      <c r="D7" s="458" t="s">
        <v>296</v>
      </c>
      <c r="E7" s="459" t="s">
        <v>832</v>
      </c>
      <c r="F7" s="458" t="s">
        <v>297</v>
      </c>
      <c r="G7" s="492" t="s">
        <v>298</v>
      </c>
    </row>
    <row r="8" spans="1:17" ht="15" customHeight="1">
      <c r="A8" s="495"/>
      <c r="B8" s="495"/>
      <c r="C8" s="496"/>
      <c r="D8" s="489"/>
      <c r="E8" s="435">
        <v>0</v>
      </c>
      <c r="F8" s="439" t="e">
        <f>E8/$E$19</f>
        <v>#DIV/0!</v>
      </c>
      <c r="G8" s="439" t="e">
        <f>E8/'EHC Breakdown - w S&amp;S'!B$14</f>
        <v>#DIV/0!</v>
      </c>
    </row>
    <row r="9" spans="1:17" ht="15" customHeight="1">
      <c r="A9" s="495"/>
      <c r="B9" s="495"/>
      <c r="C9" s="496"/>
      <c r="D9" s="489"/>
      <c r="E9" s="435">
        <v>0</v>
      </c>
      <c r="F9" s="439" t="e">
        <f t="shared" ref="F9:F19" si="0">E9/$E$19</f>
        <v>#DIV/0!</v>
      </c>
      <c r="G9" s="439" t="e">
        <f>E9/'EHC Breakdown - w S&amp;S'!B$14</f>
        <v>#DIV/0!</v>
      </c>
    </row>
    <row r="10" spans="1:17">
      <c r="A10" s="495"/>
      <c r="B10" s="495"/>
      <c r="C10" s="496"/>
      <c r="D10" s="489"/>
      <c r="E10" s="435">
        <v>0</v>
      </c>
      <c r="F10" s="439" t="e">
        <f t="shared" si="0"/>
        <v>#DIV/0!</v>
      </c>
      <c r="G10" s="439" t="e">
        <f>E10/'EHC Breakdown - w S&amp;S'!B$14</f>
        <v>#DIV/0!</v>
      </c>
    </row>
    <row r="11" spans="1:17">
      <c r="A11" s="495"/>
      <c r="B11" s="495"/>
      <c r="C11" s="496"/>
      <c r="D11" s="489"/>
      <c r="E11" s="435">
        <v>0</v>
      </c>
      <c r="F11" s="439" t="e">
        <f t="shared" si="0"/>
        <v>#DIV/0!</v>
      </c>
      <c r="G11" s="439" t="e">
        <f>E11/'EHC Breakdown - w S&amp;S'!B$14</f>
        <v>#DIV/0!</v>
      </c>
    </row>
    <row r="12" spans="1:17">
      <c r="A12" s="495"/>
      <c r="B12" s="495"/>
      <c r="C12" s="496"/>
      <c r="D12" s="489"/>
      <c r="E12" s="435">
        <v>0</v>
      </c>
      <c r="F12" s="439" t="e">
        <f t="shared" si="0"/>
        <v>#DIV/0!</v>
      </c>
      <c r="G12" s="439" t="e">
        <f>E12/'EHC Breakdown - w S&amp;S'!B$14</f>
        <v>#DIV/0!</v>
      </c>
      <c r="K12" s="279"/>
      <c r="L12" s="233"/>
      <c r="M12" s="233"/>
      <c r="N12" s="233"/>
      <c r="O12" s="233"/>
      <c r="P12" s="233"/>
      <c r="Q12" s="282"/>
    </row>
    <row r="13" spans="1:17">
      <c r="A13" s="495"/>
      <c r="B13" s="495"/>
      <c r="C13" s="496"/>
      <c r="D13" s="489"/>
      <c r="E13" s="435">
        <v>0</v>
      </c>
      <c r="F13" s="439" t="e">
        <f t="shared" si="0"/>
        <v>#DIV/0!</v>
      </c>
      <c r="G13" s="439" t="e">
        <f>E13/'EHC Breakdown - w S&amp;S'!B$14</f>
        <v>#DIV/0!</v>
      </c>
      <c r="O13" s="279"/>
      <c r="Q13" s="369"/>
    </row>
    <row r="14" spans="1:17">
      <c r="A14" s="495"/>
      <c r="B14" s="495"/>
      <c r="C14" s="496"/>
      <c r="D14" s="489"/>
      <c r="E14" s="435">
        <v>0</v>
      </c>
      <c r="F14" s="439" t="e">
        <f t="shared" si="0"/>
        <v>#DIV/0!</v>
      </c>
      <c r="G14" s="439" t="e">
        <f>E14/'EHC Breakdown - w S&amp;S'!B$14</f>
        <v>#DIV/0!</v>
      </c>
    </row>
    <row r="15" spans="1:17">
      <c r="A15" s="495"/>
      <c r="B15" s="495"/>
      <c r="C15" s="496"/>
      <c r="D15" s="489"/>
      <c r="E15" s="435">
        <v>0</v>
      </c>
      <c r="F15" s="439" t="e">
        <f t="shared" si="0"/>
        <v>#DIV/0!</v>
      </c>
      <c r="G15" s="439" t="e">
        <f>E15/'EHC Breakdown - w S&amp;S'!B$14</f>
        <v>#DIV/0!</v>
      </c>
    </row>
    <row r="16" spans="1:17">
      <c r="A16" s="495"/>
      <c r="B16" s="495"/>
      <c r="C16" s="496"/>
      <c r="D16" s="489"/>
      <c r="E16" s="435">
        <v>0</v>
      </c>
      <c r="F16" s="439" t="e">
        <f t="shared" si="0"/>
        <v>#DIV/0!</v>
      </c>
      <c r="G16" s="439" t="e">
        <f>E16/'EHC Breakdown - w S&amp;S'!B$14</f>
        <v>#DIV/0!</v>
      </c>
    </row>
    <row r="17" spans="1:9">
      <c r="A17" s="495"/>
      <c r="B17" s="495"/>
      <c r="C17" s="496"/>
      <c r="D17" s="489"/>
      <c r="E17" s="435">
        <v>0</v>
      </c>
      <c r="F17" s="439" t="e">
        <f t="shared" si="0"/>
        <v>#DIV/0!</v>
      </c>
      <c r="G17" s="439" t="e">
        <f>E17/'EHC Breakdown - w S&amp;S'!B$14</f>
        <v>#DIV/0!</v>
      </c>
    </row>
    <row r="18" spans="1:9">
      <c r="A18" s="1181" t="s">
        <v>473</v>
      </c>
      <c r="B18" s="1181"/>
      <c r="C18" s="826">
        <f>SUM(C8:C17)</f>
        <v>0</v>
      </c>
      <c r="D18" s="826">
        <f>SUM(D8:D17)</f>
        <v>0</v>
      </c>
      <c r="E18" s="820">
        <f>SUM(E8:E17)</f>
        <v>0</v>
      </c>
      <c r="F18" s="827" t="e">
        <f>E18/$E$19</f>
        <v>#DIV/0!</v>
      </c>
      <c r="G18" s="827" t="e">
        <f>E18/'EHC Breakdown - w S&amp;S'!B$14</f>
        <v>#DIV/0!</v>
      </c>
    </row>
    <row r="19" spans="1:9">
      <c r="A19" s="1181" t="s">
        <v>300</v>
      </c>
      <c r="B19" s="1181"/>
      <c r="C19" s="1181"/>
      <c r="D19" s="826">
        <f>'Drug Claim Analytics'!B19</f>
        <v>0</v>
      </c>
      <c r="E19" s="820">
        <f>'EHC Breakdown - w S&amp;S'!$B$8</f>
        <v>0</v>
      </c>
      <c r="F19" s="827" t="e">
        <f t="shared" si="0"/>
        <v>#DIV/0!</v>
      </c>
      <c r="G19" s="827" t="e">
        <f>E19/'EHC Breakdown - w S&amp;S'!B$14</f>
        <v>#DIV/0!</v>
      </c>
    </row>
    <row r="20" spans="1:9">
      <c r="A20" s="7"/>
      <c r="B20" s="7"/>
    </row>
    <row r="21" spans="1:9">
      <c r="A21" s="7"/>
      <c r="B21" s="7"/>
    </row>
    <row r="22" spans="1:9">
      <c r="A22" s="1180" t="s">
        <v>74</v>
      </c>
      <c r="B22" s="1180"/>
      <c r="C22" s="1157"/>
      <c r="D22" s="1180"/>
      <c r="E22" s="1180"/>
      <c r="F22" s="1180"/>
      <c r="G22" s="1180"/>
    </row>
    <row r="23" spans="1:9" ht="26">
      <c r="A23" s="493" t="s">
        <v>818</v>
      </c>
      <c r="B23" s="494" t="s">
        <v>474</v>
      </c>
      <c r="C23" s="458" t="s">
        <v>70</v>
      </c>
      <c r="D23" s="458" t="s">
        <v>296</v>
      </c>
      <c r="E23" s="459" t="s">
        <v>832</v>
      </c>
      <c r="F23" s="458" t="s">
        <v>297</v>
      </c>
      <c r="G23" s="492" t="s">
        <v>298</v>
      </c>
    </row>
    <row r="24" spans="1:9">
      <c r="A24" s="495"/>
      <c r="B24" s="495"/>
      <c r="C24" s="496"/>
      <c r="D24" s="489"/>
      <c r="E24" s="435">
        <v>0</v>
      </c>
      <c r="F24" s="439" t="e">
        <f>E24/$E$35</f>
        <v>#DIV/0!</v>
      </c>
      <c r="G24" s="439" t="e">
        <f>E24/'EHC Breakdown - w S&amp;S'!E$14</f>
        <v>#DIV/0!</v>
      </c>
    </row>
    <row r="25" spans="1:9">
      <c r="A25" s="495"/>
      <c r="B25" s="495"/>
      <c r="C25" s="496"/>
      <c r="D25" s="489"/>
      <c r="E25" s="435">
        <v>0</v>
      </c>
      <c r="F25" s="439" t="e">
        <f t="shared" ref="F25:F34" si="1">E25/$E$35</f>
        <v>#DIV/0!</v>
      </c>
      <c r="G25" s="439" t="e">
        <f>E25/'EHC Breakdown - w S&amp;S'!E$14</f>
        <v>#DIV/0!</v>
      </c>
    </row>
    <row r="26" spans="1:9">
      <c r="A26" s="495"/>
      <c r="B26" s="495"/>
      <c r="C26" s="496"/>
      <c r="D26" s="489"/>
      <c r="E26" s="435">
        <v>0</v>
      </c>
      <c r="F26" s="439" t="e">
        <f t="shared" si="1"/>
        <v>#DIV/0!</v>
      </c>
      <c r="G26" s="439" t="e">
        <f>E26/'EHC Breakdown - w S&amp;S'!E$14</f>
        <v>#DIV/0!</v>
      </c>
    </row>
    <row r="27" spans="1:9">
      <c r="A27" s="495"/>
      <c r="B27" s="495"/>
      <c r="C27" s="496"/>
      <c r="D27" s="489"/>
      <c r="E27" s="435">
        <v>0</v>
      </c>
      <c r="F27" s="439" t="e">
        <f t="shared" si="1"/>
        <v>#DIV/0!</v>
      </c>
      <c r="G27" s="439" t="e">
        <f>E27/'EHC Breakdown - w S&amp;S'!E$14</f>
        <v>#DIV/0!</v>
      </c>
    </row>
    <row r="28" spans="1:9">
      <c r="A28" s="495"/>
      <c r="B28" s="495"/>
      <c r="C28" s="496"/>
      <c r="D28" s="489"/>
      <c r="E28" s="435">
        <v>0</v>
      </c>
      <c r="F28" s="439" t="e">
        <f t="shared" si="1"/>
        <v>#DIV/0!</v>
      </c>
      <c r="G28" s="439" t="e">
        <f>E28/'EHC Breakdown - w S&amp;S'!E$14</f>
        <v>#DIV/0!</v>
      </c>
      <c r="H28" s="18"/>
      <c r="I28" s="5"/>
    </row>
    <row r="29" spans="1:9">
      <c r="A29" s="495"/>
      <c r="B29" s="495"/>
      <c r="C29" s="496"/>
      <c r="D29" s="489"/>
      <c r="E29" s="435">
        <v>0</v>
      </c>
      <c r="F29" s="439" t="e">
        <f t="shared" si="1"/>
        <v>#DIV/0!</v>
      </c>
      <c r="G29" s="439" t="e">
        <f>E29/'EHC Breakdown - w S&amp;S'!E$14</f>
        <v>#DIV/0!</v>
      </c>
      <c r="H29" s="18"/>
      <c r="I29" s="5"/>
    </row>
    <row r="30" spans="1:9">
      <c r="A30" s="495"/>
      <c r="B30" s="495"/>
      <c r="C30" s="496"/>
      <c r="D30" s="489"/>
      <c r="E30" s="435">
        <v>0</v>
      </c>
      <c r="F30" s="439" t="e">
        <f t="shared" si="1"/>
        <v>#DIV/0!</v>
      </c>
      <c r="G30" s="439" t="e">
        <f>E30/'EHC Breakdown - w S&amp;S'!E$14</f>
        <v>#DIV/0!</v>
      </c>
      <c r="H30" s="18"/>
      <c r="I30" s="5"/>
    </row>
    <row r="31" spans="1:9">
      <c r="A31" s="495"/>
      <c r="B31" s="495"/>
      <c r="C31" s="496"/>
      <c r="D31" s="489"/>
      <c r="E31" s="435">
        <v>0</v>
      </c>
      <c r="F31" s="439" t="e">
        <f t="shared" si="1"/>
        <v>#DIV/0!</v>
      </c>
      <c r="G31" s="439" t="e">
        <f>E31/'EHC Breakdown - w S&amp;S'!E$14</f>
        <v>#DIV/0!</v>
      </c>
      <c r="H31" s="18"/>
      <c r="I31" s="5"/>
    </row>
    <row r="32" spans="1:9">
      <c r="A32" s="495"/>
      <c r="B32" s="495"/>
      <c r="C32" s="496"/>
      <c r="D32" s="489"/>
      <c r="E32" s="435">
        <v>0</v>
      </c>
      <c r="F32" s="439" t="e">
        <f>E32/$E$35</f>
        <v>#DIV/0!</v>
      </c>
      <c r="G32" s="439" t="e">
        <f>E32/'EHC Breakdown - w S&amp;S'!E$14</f>
        <v>#DIV/0!</v>
      </c>
      <c r="H32" s="18"/>
      <c r="I32" s="5"/>
    </row>
    <row r="33" spans="1:9">
      <c r="A33" s="495"/>
      <c r="B33" s="495"/>
      <c r="C33" s="496"/>
      <c r="D33" s="489"/>
      <c r="E33" s="435">
        <v>0</v>
      </c>
      <c r="F33" s="439" t="e">
        <f t="shared" si="1"/>
        <v>#DIV/0!</v>
      </c>
      <c r="G33" s="439" t="e">
        <f>E33/'EHC Breakdown - w S&amp;S'!E$14</f>
        <v>#DIV/0!</v>
      </c>
      <c r="H33" s="18"/>
      <c r="I33" s="5"/>
    </row>
    <row r="34" spans="1:9">
      <c r="A34" s="1181" t="s">
        <v>473</v>
      </c>
      <c r="B34" s="1181"/>
      <c r="C34" s="826">
        <f>SUM(C24:C33)</f>
        <v>0</v>
      </c>
      <c r="D34" s="826">
        <f>SUM(D24:D33)</f>
        <v>0</v>
      </c>
      <c r="E34" s="820">
        <f>SUM(E24:E33)</f>
        <v>0</v>
      </c>
      <c r="F34" s="827" t="e">
        <f t="shared" si="1"/>
        <v>#DIV/0!</v>
      </c>
      <c r="G34" s="827" t="e">
        <f>E34/'EHC Breakdown - w S&amp;S'!E$14</f>
        <v>#DIV/0!</v>
      </c>
      <c r="H34" s="18"/>
      <c r="I34" s="5"/>
    </row>
    <row r="35" spans="1:9">
      <c r="A35" s="1181" t="s">
        <v>300</v>
      </c>
      <c r="B35" s="1181"/>
      <c r="C35" s="1181"/>
      <c r="D35" s="826">
        <f>'Drug Claim Analytics'!B39</f>
        <v>0</v>
      </c>
      <c r="E35" s="820">
        <f>'EHC Breakdown - w S&amp;S'!$E$8</f>
        <v>0</v>
      </c>
      <c r="F35" s="827" t="e">
        <f>E35/$E$35</f>
        <v>#DIV/0!</v>
      </c>
      <c r="G35" s="827" t="e">
        <f>E35/'EHC Breakdown - w S&amp;S'!E$14</f>
        <v>#DIV/0!</v>
      </c>
      <c r="H35" s="18"/>
      <c r="I35" s="5"/>
    </row>
    <row r="36" spans="1:9">
      <c r="A36" s="18"/>
      <c r="B36" s="18"/>
      <c r="C36" s="18"/>
      <c r="D36" s="19"/>
      <c r="E36" s="19"/>
      <c r="F36" s="18"/>
      <c r="G36" s="18"/>
      <c r="H36" s="18"/>
      <c r="I36" s="5"/>
    </row>
    <row r="37" spans="1:9">
      <c r="A37" s="18"/>
      <c r="B37" s="18"/>
      <c r="C37" s="18"/>
      <c r="D37" s="19"/>
      <c r="E37" s="19"/>
      <c r="F37" s="18"/>
      <c r="G37" s="18"/>
      <c r="H37" s="18"/>
      <c r="I37" s="5"/>
    </row>
    <row r="38" spans="1:9">
      <c r="A38" s="18"/>
      <c r="B38" s="18"/>
      <c r="C38" s="18"/>
      <c r="D38" s="19"/>
      <c r="E38" s="19"/>
      <c r="F38" s="18"/>
      <c r="G38" s="18"/>
      <c r="H38" s="18"/>
      <c r="I38" s="5"/>
    </row>
    <row r="39" spans="1:9">
      <c r="A39" s="18"/>
      <c r="B39" s="18"/>
      <c r="C39" s="18"/>
      <c r="E39" s="19"/>
      <c r="F39" s="18"/>
      <c r="G39" s="18"/>
      <c r="H39" s="18"/>
      <c r="I39" s="5"/>
    </row>
    <row r="40" spans="1:9">
      <c r="A40" s="18"/>
      <c r="B40" s="18"/>
      <c r="C40" s="18"/>
      <c r="E40" s="19"/>
      <c r="F40" s="18"/>
      <c r="G40" s="18"/>
      <c r="H40" s="18"/>
      <c r="I40" s="5"/>
    </row>
    <row r="41" spans="1:9">
      <c r="A41" s="18"/>
      <c r="B41" s="18"/>
      <c r="C41" s="18"/>
      <c r="D41" s="19"/>
      <c r="E41" s="19"/>
      <c r="F41" s="18"/>
      <c r="G41" s="18"/>
      <c r="H41" s="18"/>
      <c r="I41" s="5"/>
    </row>
    <row r="42" spans="1:9">
      <c r="A42" s="18"/>
      <c r="B42" s="18"/>
      <c r="C42" s="18"/>
      <c r="D42" s="19"/>
      <c r="E42" s="19"/>
      <c r="F42" s="18"/>
      <c r="G42" s="18"/>
      <c r="H42" s="18"/>
      <c r="I42" s="5"/>
    </row>
    <row r="43" spans="1:9">
      <c r="A43" s="18"/>
      <c r="B43" s="18"/>
      <c r="C43" s="18"/>
      <c r="D43" s="19"/>
      <c r="E43" s="19"/>
      <c r="F43" s="18"/>
      <c r="G43" s="18"/>
      <c r="H43" s="18"/>
      <c r="I43" s="5"/>
    </row>
    <row r="44" spans="1:9">
      <c r="A44" s="18"/>
      <c r="B44" s="18"/>
      <c r="C44" s="18"/>
      <c r="D44" s="19"/>
      <c r="E44" s="19"/>
      <c r="F44" s="18"/>
      <c r="G44" s="18"/>
      <c r="H44" s="18"/>
      <c r="I44" s="5"/>
    </row>
    <row r="45" spans="1:9">
      <c r="A45" s="18"/>
      <c r="B45" s="18"/>
      <c r="C45" s="18"/>
      <c r="D45" s="19"/>
      <c r="E45" s="19"/>
      <c r="F45" s="18"/>
      <c r="G45" s="18"/>
      <c r="H45" s="18"/>
      <c r="I45" s="5"/>
    </row>
    <row r="46" spans="1:9">
      <c r="A46" s="16"/>
      <c r="B46" s="16"/>
      <c r="C46" s="16"/>
      <c r="D46" s="16"/>
      <c r="E46" s="16"/>
      <c r="F46" s="16"/>
      <c r="G46" s="16"/>
      <c r="H46" s="18"/>
      <c r="I46" s="5"/>
    </row>
    <row r="47" spans="1:9">
      <c r="H47" s="18"/>
      <c r="I47" s="5"/>
    </row>
    <row r="48" spans="1:9">
      <c r="H48" s="18"/>
      <c r="I48" s="5"/>
    </row>
    <row r="49" spans="8:9">
      <c r="H49" s="18"/>
      <c r="I49" s="5"/>
    </row>
  </sheetData>
  <mergeCells count="7">
    <mergeCell ref="A35:C35"/>
    <mergeCell ref="A34:B34"/>
    <mergeCell ref="A4:G4"/>
    <mergeCell ref="A6:G6"/>
    <mergeCell ref="A22:G22"/>
    <mergeCell ref="A18:B18"/>
    <mergeCell ref="A19:C19"/>
  </mergeCells>
  <conditionalFormatting sqref="Q12">
    <cfRule type="cellIs" dxfId="1" priority="1" operator="lessThan">
      <formula>-0.2</formula>
    </cfRule>
    <cfRule type="cellIs" dxfId="0" priority="2" operator="greaterThan">
      <formula>0.2</formula>
    </cfRule>
  </conditionalFormatting>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1">
    <tabColor rgb="FF0070C0"/>
  </sheetPr>
  <dimension ref="A1:I46"/>
  <sheetViews>
    <sheetView showGridLines="0" view="pageLayout" topLeftCell="A7" zoomScaleNormal="100" workbookViewId="0">
      <selection activeCell="E18" sqref="E18"/>
    </sheetView>
  </sheetViews>
  <sheetFormatPr baseColWidth="10" defaultColWidth="9.1640625" defaultRowHeight="15"/>
  <cols>
    <col min="1" max="1" width="25.33203125" customWidth="1"/>
    <col min="2" max="2" width="15" customWidth="1"/>
    <col min="3" max="4" width="15.5" customWidth="1"/>
    <col min="5" max="5" width="15.83203125" customWidth="1"/>
    <col min="6" max="6" width="9.83203125" customWidth="1"/>
    <col min="7" max="7" width="7.5" customWidth="1"/>
    <col min="9" max="9" width="21" customWidth="1"/>
    <col min="10" max="10" width="11.33203125" bestFit="1" customWidth="1"/>
  </cols>
  <sheetData>
    <row r="1" spans="1:9" ht="27.75" customHeight="1"/>
    <row r="2" spans="1:9" s="1" customFormat="1" ht="20">
      <c r="A2" s="600" t="s">
        <v>15</v>
      </c>
    </row>
    <row r="3" spans="1:9" s="1" customFormat="1" ht="3" customHeight="1"/>
    <row r="4" spans="1:9" s="1" customFormat="1" ht="15" customHeight="1">
      <c r="A4" s="1084" t="s">
        <v>216</v>
      </c>
      <c r="B4" s="1084"/>
      <c r="C4" s="1084"/>
      <c r="D4" s="1084"/>
      <c r="E4" s="1084"/>
      <c r="F4" s="1084"/>
      <c r="G4" s="17"/>
    </row>
    <row r="5" spans="1:9" s="1" customFormat="1" ht="15" customHeight="1">
      <c r="A5" s="1084"/>
      <c r="B5" s="1084"/>
      <c r="C5" s="1084"/>
      <c r="D5" s="1084"/>
      <c r="E5" s="1084"/>
      <c r="F5" s="1084"/>
      <c r="G5" s="17"/>
    </row>
    <row r="6" spans="1:9" s="1" customFormat="1" ht="15" customHeight="1">
      <c r="A6" s="20"/>
      <c r="B6" s="20"/>
      <c r="C6" s="20"/>
      <c r="D6" s="20"/>
      <c r="E6" s="20"/>
      <c r="F6" s="20"/>
      <c r="G6" s="20"/>
    </row>
    <row r="7" spans="1:9" s="1" customFormat="1" ht="15" customHeight="1">
      <c r="A7" s="497" t="s">
        <v>627</v>
      </c>
      <c r="B7" s="430" t="str">
        <f>"In-Canada: " &amp;DOLLAR('Additional Information'!C9,0) &amp;" " &amp; 'Additional Information'!C10</f>
        <v>In-Canada: $10,000 Per Individual</v>
      </c>
      <c r="C7" s="20"/>
      <c r="D7" s="20"/>
      <c r="E7" s="20"/>
      <c r="F7" s="20"/>
      <c r="G7" s="20"/>
    </row>
    <row r="8" spans="1:9" s="1" customFormat="1" ht="15" customHeight="1">
      <c r="A8" s="497" t="s">
        <v>627</v>
      </c>
      <c r="B8" s="430" t="str">
        <f>"Out-of-Canada: " &amp; IF('Additional Information'!B11="Yes","1st dollar","Included in LAP")</f>
        <v>Out-of-Canada: 1st dollar</v>
      </c>
      <c r="C8" s="20"/>
      <c r="D8" s="20"/>
      <c r="E8" s="20"/>
      <c r="F8" s="20"/>
      <c r="G8" s="20"/>
      <c r="H8" s="769"/>
      <c r="I8" s="769"/>
    </row>
    <row r="9" spans="1:9" s="1" customFormat="1" ht="15" customHeight="1">
      <c r="A9" s="17"/>
      <c r="B9" s="17"/>
      <c r="C9" s="17"/>
      <c r="D9" s="17"/>
      <c r="E9" s="17"/>
      <c r="F9" s="17"/>
      <c r="G9" s="17"/>
    </row>
    <row r="10" spans="1:9" ht="24.75" customHeight="1">
      <c r="A10" s="455" t="s">
        <v>67</v>
      </c>
      <c r="B10" s="456" t="s">
        <v>149</v>
      </c>
      <c r="C10" s="498" t="s">
        <v>122</v>
      </c>
      <c r="D10" s="498" t="s">
        <v>123</v>
      </c>
      <c r="E10" s="456" t="s">
        <v>124</v>
      </c>
      <c r="F10" s="405" t="s">
        <v>845</v>
      </c>
    </row>
    <row r="11" spans="1:9">
      <c r="A11" s="727" t="str">
        <f>EP_Current</f>
        <v>MMM DD YYY - MMM DD YYYY</v>
      </c>
      <c r="B11" s="863">
        <f>'Experience Summary'!D40</f>
        <v>0</v>
      </c>
      <c r="C11" s="872">
        <v>0</v>
      </c>
      <c r="D11" s="872">
        <v>0</v>
      </c>
      <c r="E11" s="873">
        <f>SUM(C11:D11)</f>
        <v>0</v>
      </c>
      <c r="F11" s="742">
        <f>'Experience Summary'!F40</f>
        <v>0</v>
      </c>
    </row>
    <row r="12" spans="1:9">
      <c r="A12" s="727" t="str">
        <f>EP_P1</f>
        <v>MMM DD YYY - MMM DD YYYY</v>
      </c>
      <c r="B12" s="863">
        <v>0</v>
      </c>
      <c r="C12" s="872">
        <v>0</v>
      </c>
      <c r="D12" s="872">
        <v>0</v>
      </c>
      <c r="E12" s="873">
        <f>SUM(C12:D12)</f>
        <v>0</v>
      </c>
      <c r="F12" s="742">
        <v>0</v>
      </c>
    </row>
    <row r="13" spans="1:9" ht="15" customHeight="1">
      <c r="A13" s="727" t="str">
        <f>EP_P2</f>
        <v>MMM DD YYY - MMM DD YYYY</v>
      </c>
      <c r="B13" s="863">
        <v>0</v>
      </c>
      <c r="C13" s="872">
        <v>0</v>
      </c>
      <c r="D13" s="872">
        <v>0</v>
      </c>
      <c r="E13" s="873">
        <f>SUM(C13:D13)</f>
        <v>0</v>
      </c>
      <c r="F13" s="742">
        <v>0</v>
      </c>
    </row>
    <row r="14" spans="1:9" ht="15" customHeight="1">
      <c r="A14" s="5"/>
    </row>
    <row r="15" spans="1:9">
      <c r="A15" s="174" t="s">
        <v>1000</v>
      </c>
      <c r="B15" s="18"/>
      <c r="C15" s="19"/>
      <c r="D15" s="19"/>
      <c r="E15" s="18"/>
      <c r="F15" s="18"/>
      <c r="G15" s="5"/>
    </row>
    <row r="16" spans="1:9">
      <c r="A16" s="18"/>
      <c r="B16" s="18"/>
      <c r="C16" s="19"/>
      <c r="D16" s="19"/>
      <c r="E16" s="18"/>
      <c r="F16" s="18"/>
      <c r="G16" s="5"/>
    </row>
    <row r="17" spans="1:7" ht="15" customHeight="1">
      <c r="B17" s="454" t="s">
        <v>31</v>
      </c>
      <c r="C17" s="456" t="s">
        <v>95</v>
      </c>
      <c r="D17" s="405" t="s">
        <v>33</v>
      </c>
      <c r="E17" s="18"/>
      <c r="F17" s="18"/>
      <c r="G17" s="5"/>
    </row>
    <row r="18" spans="1:7">
      <c r="A18" s="763" t="s">
        <v>593</v>
      </c>
      <c r="B18" s="764" t="s">
        <v>596</v>
      </c>
      <c r="C18" s="764" t="s">
        <v>596</v>
      </c>
      <c r="D18" s="764" t="s">
        <v>596</v>
      </c>
      <c r="E18" s="18"/>
      <c r="F18" s="18"/>
      <c r="G18" s="5"/>
    </row>
    <row r="19" spans="1:7">
      <c r="A19" s="763" t="s">
        <v>594</v>
      </c>
      <c r="B19" s="764" t="s">
        <v>595</v>
      </c>
      <c r="C19" s="764" t="s">
        <v>595</v>
      </c>
      <c r="D19" s="764" t="s">
        <v>595</v>
      </c>
      <c r="E19" s="18"/>
      <c r="F19" s="18"/>
      <c r="G19" s="5"/>
    </row>
    <row r="20" spans="1:7">
      <c r="A20" s="763" t="s">
        <v>190</v>
      </c>
      <c r="B20" s="764" t="s">
        <v>596</v>
      </c>
      <c r="C20" s="764" t="s">
        <v>596</v>
      </c>
      <c r="D20" s="764" t="s">
        <v>596</v>
      </c>
      <c r="E20" s="18"/>
      <c r="F20" s="18"/>
      <c r="G20" s="5"/>
    </row>
    <row r="21" spans="1:7">
      <c r="A21" s="765" t="s">
        <v>598</v>
      </c>
      <c r="B21" s="1182" t="s">
        <v>597</v>
      </c>
      <c r="C21" s="1182"/>
      <c r="D21" s="1182"/>
      <c r="E21" s="18"/>
      <c r="F21" s="18"/>
      <c r="G21" s="5"/>
    </row>
    <row r="22" spans="1:7">
      <c r="A22" s="18"/>
      <c r="B22" s="18"/>
      <c r="C22" s="19"/>
      <c r="D22" s="19"/>
      <c r="E22" s="18"/>
      <c r="F22" s="18"/>
      <c r="G22" s="5"/>
    </row>
    <row r="23" spans="1:7">
      <c r="A23" s="18"/>
      <c r="B23" s="18"/>
      <c r="C23" s="19"/>
      <c r="D23" s="19"/>
      <c r="E23" s="18"/>
      <c r="F23" s="18"/>
      <c r="G23" s="5"/>
    </row>
    <row r="24" spans="1:7">
      <c r="A24" s="18"/>
      <c r="B24" s="18"/>
      <c r="C24" s="19"/>
      <c r="D24" s="19"/>
      <c r="E24" s="18"/>
      <c r="F24" s="18"/>
      <c r="G24" s="5"/>
    </row>
    <row r="25" spans="1:7">
      <c r="A25" s="18"/>
      <c r="B25" s="18"/>
      <c r="C25" s="19"/>
      <c r="D25" s="19"/>
      <c r="E25" s="18"/>
      <c r="F25" s="18"/>
      <c r="G25" s="5"/>
    </row>
    <row r="26" spans="1:7">
      <c r="A26" s="18"/>
      <c r="B26" s="18"/>
      <c r="C26" s="19"/>
      <c r="D26" s="19"/>
      <c r="E26" s="18"/>
      <c r="F26" s="18"/>
      <c r="G26" s="5"/>
    </row>
    <row r="27" spans="1:7">
      <c r="A27" s="18"/>
      <c r="B27" s="18"/>
      <c r="C27" s="19"/>
      <c r="D27" s="19"/>
      <c r="E27" s="18"/>
      <c r="F27" s="18"/>
      <c r="G27" s="5"/>
    </row>
    <row r="28" spans="1:7">
      <c r="A28" s="18"/>
      <c r="B28" s="18"/>
      <c r="C28" s="19"/>
      <c r="D28" s="19"/>
      <c r="E28" s="18"/>
      <c r="F28" s="18"/>
      <c r="G28" s="5"/>
    </row>
    <row r="29" spans="1:7">
      <c r="A29" s="18"/>
      <c r="B29" s="18"/>
      <c r="C29" s="19"/>
      <c r="D29" s="19"/>
      <c r="E29" s="18"/>
      <c r="F29" s="18"/>
      <c r="G29" s="5"/>
    </row>
    <row r="30" spans="1:7">
      <c r="A30" s="18"/>
      <c r="B30" s="18"/>
      <c r="C30" s="19"/>
      <c r="D30" s="19"/>
      <c r="E30" s="18"/>
      <c r="F30" s="18"/>
      <c r="G30" s="5"/>
    </row>
    <row r="31" spans="1:7">
      <c r="A31" s="18"/>
      <c r="B31" s="18"/>
      <c r="C31" s="19"/>
      <c r="D31" s="19"/>
      <c r="E31" s="18"/>
      <c r="F31" s="18"/>
      <c r="G31" s="5"/>
    </row>
    <row r="32" spans="1:7">
      <c r="A32" s="18"/>
      <c r="B32" s="18"/>
      <c r="C32" s="19"/>
      <c r="D32" s="19"/>
      <c r="E32" s="18"/>
      <c r="F32" s="18"/>
      <c r="G32" s="5"/>
    </row>
    <row r="33" spans="1:7">
      <c r="A33" s="18"/>
      <c r="B33" s="18"/>
      <c r="C33" s="19"/>
      <c r="D33" s="19"/>
      <c r="E33" s="18"/>
      <c r="F33" s="18"/>
      <c r="G33" s="5"/>
    </row>
    <row r="34" spans="1:7">
      <c r="A34" s="18"/>
      <c r="B34" s="18"/>
      <c r="C34" s="19"/>
      <c r="D34" s="19"/>
      <c r="E34" s="18"/>
      <c r="F34" s="18"/>
      <c r="G34" s="5"/>
    </row>
    <row r="35" spans="1:7">
      <c r="A35" s="18"/>
      <c r="B35" s="18"/>
      <c r="C35" s="19"/>
      <c r="D35" s="19"/>
      <c r="E35" s="18"/>
      <c r="F35" s="18"/>
      <c r="G35" s="5"/>
    </row>
    <row r="36" spans="1:7">
      <c r="A36" s="18"/>
      <c r="B36" s="18"/>
      <c r="C36" s="19"/>
      <c r="D36" s="19"/>
      <c r="E36" s="18"/>
      <c r="F36" s="18"/>
      <c r="G36" s="5"/>
    </row>
    <row r="37" spans="1:7">
      <c r="A37" s="18"/>
      <c r="B37" s="18"/>
      <c r="C37" s="19"/>
      <c r="D37" s="19"/>
      <c r="E37" s="18"/>
      <c r="F37" s="18"/>
      <c r="G37" s="5"/>
    </row>
    <row r="38" spans="1:7">
      <c r="A38" s="18"/>
      <c r="B38" s="18"/>
      <c r="C38" s="19"/>
      <c r="D38" s="19"/>
      <c r="E38" s="18"/>
      <c r="F38" s="18"/>
      <c r="G38" s="5"/>
    </row>
    <row r="39" spans="1:7">
      <c r="A39" s="18"/>
      <c r="B39" s="18"/>
      <c r="C39" s="19"/>
      <c r="D39" s="19"/>
      <c r="E39" s="18"/>
      <c r="F39" s="18"/>
      <c r="G39" s="5"/>
    </row>
    <row r="40" spans="1:7">
      <c r="A40" s="18"/>
      <c r="B40" s="18"/>
      <c r="C40" s="19"/>
      <c r="D40" s="19"/>
      <c r="E40" s="18"/>
      <c r="F40" s="18"/>
      <c r="G40" s="5"/>
    </row>
    <row r="41" spans="1:7">
      <c r="A41" s="18"/>
      <c r="B41" s="18"/>
      <c r="C41" s="19"/>
      <c r="D41" s="19"/>
      <c r="E41" s="18"/>
      <c r="F41" s="18"/>
      <c r="G41" s="5"/>
    </row>
    <row r="42" spans="1:7">
      <c r="A42" s="18"/>
      <c r="B42" s="18"/>
      <c r="C42" s="19"/>
      <c r="D42" s="19"/>
      <c r="E42" s="18"/>
      <c r="F42" s="18"/>
      <c r="G42" s="5"/>
    </row>
    <row r="43" spans="1:7">
      <c r="A43" s="18"/>
      <c r="B43" s="18"/>
      <c r="C43" s="19"/>
      <c r="D43" s="19"/>
      <c r="E43" s="18"/>
      <c r="F43" s="18"/>
      <c r="G43" s="5"/>
    </row>
    <row r="44" spans="1:7">
      <c r="A44" s="18"/>
      <c r="B44" s="18"/>
      <c r="C44" s="19"/>
      <c r="D44" s="19"/>
      <c r="E44" s="18"/>
      <c r="F44" s="18"/>
      <c r="G44" s="5"/>
    </row>
    <row r="45" spans="1:7">
      <c r="A45" s="18"/>
      <c r="B45" s="18"/>
      <c r="C45" s="19"/>
      <c r="D45" s="19"/>
      <c r="E45" s="18"/>
      <c r="F45" s="18"/>
      <c r="G45" s="5"/>
    </row>
    <row r="46" spans="1:7">
      <c r="A46" s="16"/>
      <c r="B46" s="16"/>
      <c r="C46" s="16"/>
      <c r="D46" s="16"/>
      <c r="E46" s="16"/>
      <c r="F46" s="16"/>
      <c r="G46" s="16"/>
    </row>
  </sheetData>
  <mergeCells count="2">
    <mergeCell ref="A4:F5"/>
    <mergeCell ref="B21:D21"/>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6">
    <tabColor rgb="FF0070C0"/>
  </sheetPr>
  <dimension ref="A1:G38"/>
  <sheetViews>
    <sheetView showGridLines="0" view="pageLayout" zoomScaleNormal="100" workbookViewId="0">
      <selection activeCell="H10" sqref="H10"/>
    </sheetView>
  </sheetViews>
  <sheetFormatPr baseColWidth="10" defaultColWidth="9.1640625" defaultRowHeight="15"/>
  <cols>
    <col min="1" max="1" width="28.6640625" customWidth="1"/>
    <col min="2" max="2" width="13.5" hidden="1" customWidth="1"/>
    <col min="3" max="4" width="15.1640625" customWidth="1"/>
    <col min="5" max="5" width="14.5" customWidth="1"/>
    <col min="6" max="6" width="7.5" customWidth="1"/>
    <col min="7" max="7" width="8.83203125" customWidth="1"/>
    <col min="8" max="8" width="5.5" customWidth="1"/>
  </cols>
  <sheetData>
    <row r="1" spans="1:7" ht="24" customHeight="1"/>
    <row r="2" spans="1:7" ht="8.25" customHeight="1"/>
    <row r="3" spans="1:7" s="1" customFormat="1" ht="20">
      <c r="A3" s="600" t="s">
        <v>125</v>
      </c>
    </row>
    <row r="4" spans="1:7" s="1" customFormat="1" ht="15" customHeight="1"/>
    <row r="5" spans="1:7">
      <c r="A5" s="224" t="s">
        <v>803</v>
      </c>
      <c r="B5" s="10"/>
      <c r="C5" s="10"/>
      <c r="D5" s="10"/>
      <c r="E5" s="10"/>
      <c r="F5" s="10"/>
      <c r="G5" s="10"/>
    </row>
    <row r="6" spans="1:7">
      <c r="A6" s="17"/>
      <c r="B6" s="17"/>
      <c r="C6" s="17"/>
      <c r="D6" s="17"/>
      <c r="E6" s="17"/>
      <c r="F6" s="17"/>
      <c r="G6" s="17"/>
    </row>
    <row r="7" spans="1:7" ht="26">
      <c r="A7" s="782" t="s">
        <v>102</v>
      </c>
      <c r="B7" s="780"/>
      <c r="C7" s="780" t="s">
        <v>804</v>
      </c>
      <c r="D7" s="780" t="s">
        <v>621</v>
      </c>
      <c r="E7" s="780" t="s">
        <v>318</v>
      </c>
      <c r="F7" s="780" t="s">
        <v>622</v>
      </c>
      <c r="G7" s="779" t="s">
        <v>104</v>
      </c>
    </row>
    <row r="8" spans="1:7" ht="15.75" customHeight="1">
      <c r="A8" s="778" t="str">
        <f>EP_Current</f>
        <v>MMM DD YYY - MMM DD YYYY</v>
      </c>
      <c r="B8" s="784">
        <v>0</v>
      </c>
      <c r="C8" s="862">
        <f>'Experience Summary'!D24</f>
        <v>0</v>
      </c>
      <c r="D8" s="862">
        <f>'Dental Care History'!B13</f>
        <v>0</v>
      </c>
      <c r="E8" s="862">
        <f>'Experience Summary'!E24</f>
        <v>0</v>
      </c>
      <c r="F8" s="466" t="e">
        <f>E8/C8</f>
        <v>#DIV/0!</v>
      </c>
      <c r="G8" s="707">
        <v>0</v>
      </c>
    </row>
    <row r="9" spans="1:7" ht="15.75" customHeight="1">
      <c r="A9" s="778" t="str">
        <f>EP_P1</f>
        <v>MMM DD YYY - MMM DD YYYY</v>
      </c>
      <c r="B9" s="784">
        <v>0</v>
      </c>
      <c r="C9" s="862">
        <v>0</v>
      </c>
      <c r="D9" s="862">
        <f>'Dental Care History'!E13</f>
        <v>0</v>
      </c>
      <c r="E9" s="862">
        <v>0</v>
      </c>
      <c r="F9" s="466" t="e">
        <f>E9/C9</f>
        <v>#DIV/0!</v>
      </c>
      <c r="G9" s="707">
        <v>0</v>
      </c>
    </row>
    <row r="10" spans="1:7" ht="15.75" customHeight="1">
      <c r="A10" s="778" t="str">
        <f>EP_P2</f>
        <v>MMM DD YYY - MMM DD YYYY</v>
      </c>
      <c r="B10" s="785">
        <v>0</v>
      </c>
      <c r="C10" s="863">
        <v>0</v>
      </c>
      <c r="D10" s="863">
        <v>0</v>
      </c>
      <c r="E10" s="863">
        <v>0</v>
      </c>
      <c r="F10" s="428" t="e">
        <f>E10/C10</f>
        <v>#DIV/0!</v>
      </c>
      <c r="G10" s="786">
        <v>0</v>
      </c>
    </row>
    <row r="11" spans="1:7">
      <c r="A11" s="5"/>
    </row>
    <row r="12" spans="1:7">
      <c r="A12" s="722" t="s">
        <v>591</v>
      </c>
      <c r="B12" s="1113" t="str">
        <f>'Additional Information'!B13</f>
        <v>x% of Claims</v>
      </c>
      <c r="C12" s="1113"/>
      <c r="E12" s="79"/>
    </row>
    <row r="13" spans="1:7">
      <c r="A13" s="722" t="s">
        <v>105</v>
      </c>
      <c r="B13" s="1113">
        <v>0</v>
      </c>
      <c r="C13" s="1113"/>
      <c r="E13" s="79"/>
    </row>
    <row r="14" spans="1:7">
      <c r="A14" s="427" t="s">
        <v>332</v>
      </c>
      <c r="B14" s="1113">
        <f>'Experience Summary'!D46</f>
        <v>0</v>
      </c>
      <c r="C14" s="1113"/>
      <c r="E14" s="79"/>
    </row>
    <row r="15" spans="1:7" ht="14.5" customHeight="1">
      <c r="A15" s="722" t="s">
        <v>457</v>
      </c>
      <c r="B15" s="1113">
        <v>0</v>
      </c>
      <c r="C15" s="1113"/>
      <c r="E15" s="79"/>
    </row>
    <row r="16" spans="1:7">
      <c r="A16" s="722" t="s">
        <v>106</v>
      </c>
      <c r="B16" s="1183" t="e">
        <f>'Trend Review'!F19</f>
        <v>#VALUE!</v>
      </c>
      <c r="C16" s="1183"/>
      <c r="E16" s="79"/>
    </row>
    <row r="17" spans="1:7" ht="15.75" customHeight="1">
      <c r="A17" s="5"/>
    </row>
    <row r="18" spans="1:7">
      <c r="E18" s="1095" t="s">
        <v>97</v>
      </c>
      <c r="F18" s="1089" t="s">
        <v>98</v>
      </c>
      <c r="G18" s="1071"/>
    </row>
    <row r="19" spans="1:7" ht="15" customHeight="1">
      <c r="E19" s="1121"/>
      <c r="F19" s="1089"/>
      <c r="G19" s="1071"/>
    </row>
    <row r="20" spans="1:7">
      <c r="D20" s="722" t="s">
        <v>78</v>
      </c>
      <c r="E20" s="757" t="e">
        <f>IF(('Renewal Rates '!F134/'Renewal Rates '!D134-1)&gt;0, "+"&amp;TEXT(('Renewal Rates '!F134/'Renewal Rates '!D134-1),"0.0%"), 'Renewal Rates '!F134/'Renewal Rates '!D134-1)</f>
        <v>#DIV/0!</v>
      </c>
      <c r="F20" s="1114" t="e">
        <f>IF(('Renewal Rates '!I134/'Renewal Rates '!D134-1)&gt;0, "+"&amp;TEXT(('Renewal Rates '!I134/'Renewal Rates '!D134-1),"0.0%"), 'Renewal Rates '!I134/'Renewal Rates '!D134-1)</f>
        <v>#DIV/0!</v>
      </c>
      <c r="G20" s="1114"/>
    </row>
    <row r="21" spans="1:7">
      <c r="D21" s="740" t="s">
        <v>96</v>
      </c>
      <c r="E21" s="861">
        <f>('Executive Summary'!D20-'Executive Summary'!C20)*12</f>
        <v>0</v>
      </c>
      <c r="F21" s="1088">
        <f>('Executive Summary'!F20-'Executive Summary'!C20)*12</f>
        <v>0</v>
      </c>
      <c r="G21" s="1088"/>
    </row>
    <row r="22" spans="1:7">
      <c r="C22" s="21"/>
      <c r="D22" s="19"/>
      <c r="E22" s="19"/>
      <c r="F22" s="18"/>
    </row>
    <row r="23" spans="1:7">
      <c r="D23" s="19"/>
      <c r="E23" s="19"/>
      <c r="F23" s="18"/>
    </row>
    <row r="24" spans="1:7">
      <c r="A24" s="18"/>
      <c r="D24" s="19"/>
      <c r="E24" s="19"/>
      <c r="F24" s="18"/>
    </row>
    <row r="25" spans="1:7">
      <c r="A25" s="18"/>
      <c r="B25" s="18"/>
      <c r="C25" s="18"/>
      <c r="D25" s="19"/>
      <c r="E25" s="19"/>
      <c r="F25" s="18"/>
    </row>
    <row r="26" spans="1:7">
      <c r="A26" s="18"/>
      <c r="B26" s="18"/>
      <c r="C26" s="18"/>
      <c r="D26" s="19"/>
      <c r="E26" s="19"/>
      <c r="F26" s="18"/>
    </row>
    <row r="27" spans="1:7">
      <c r="A27" s="18"/>
      <c r="B27" s="18"/>
      <c r="C27" s="18"/>
      <c r="D27" s="19"/>
      <c r="E27" s="19"/>
      <c r="F27" s="18"/>
    </row>
    <row r="28" spans="1:7">
      <c r="A28" s="18"/>
      <c r="B28" s="18"/>
      <c r="C28" s="18"/>
      <c r="D28" s="19"/>
      <c r="E28" s="19"/>
      <c r="F28" s="18"/>
    </row>
    <row r="29" spans="1:7">
      <c r="A29" s="18"/>
      <c r="B29" s="18"/>
      <c r="C29" s="18"/>
      <c r="D29" s="19"/>
      <c r="E29" s="19"/>
      <c r="F29" s="18"/>
    </row>
    <row r="30" spans="1:7">
      <c r="A30" s="18"/>
      <c r="B30" s="18"/>
      <c r="C30" s="18"/>
      <c r="D30" s="19"/>
      <c r="E30" s="19"/>
      <c r="F30" s="18"/>
    </row>
    <row r="31" spans="1:7">
      <c r="A31" s="18"/>
      <c r="B31" s="18"/>
      <c r="C31" s="18"/>
      <c r="D31" s="19"/>
      <c r="E31" s="19"/>
      <c r="F31" s="18"/>
    </row>
    <row r="32" spans="1:7">
      <c r="A32" s="18"/>
      <c r="B32" s="18"/>
      <c r="C32" s="18"/>
      <c r="D32" s="19"/>
      <c r="E32" s="19"/>
      <c r="F32" s="18"/>
    </row>
    <row r="33" spans="1:6">
      <c r="A33" s="18"/>
      <c r="B33" s="18"/>
      <c r="C33" s="18"/>
      <c r="D33" s="19"/>
      <c r="E33" s="19"/>
      <c r="F33" s="18"/>
    </row>
    <row r="34" spans="1:6">
      <c r="A34" s="18"/>
      <c r="B34" s="18"/>
      <c r="C34" s="18"/>
      <c r="D34" s="19"/>
      <c r="E34" s="19"/>
      <c r="F34" s="18"/>
    </row>
    <row r="35" spans="1:6">
      <c r="A35" s="18"/>
      <c r="B35" s="18"/>
      <c r="C35" s="18"/>
      <c r="D35" s="19"/>
      <c r="E35" s="19"/>
      <c r="F35" s="18"/>
    </row>
    <row r="36" spans="1:6">
      <c r="A36" s="18"/>
      <c r="B36" s="18"/>
      <c r="C36" s="18"/>
      <c r="D36" s="19"/>
      <c r="E36" s="19"/>
      <c r="F36" s="18"/>
    </row>
    <row r="37" spans="1:6">
      <c r="A37" s="18"/>
      <c r="B37" s="18"/>
      <c r="C37" s="18"/>
      <c r="D37" s="19"/>
      <c r="E37" s="19"/>
      <c r="F37" s="18"/>
    </row>
    <row r="38" spans="1:6">
      <c r="A38" s="16"/>
      <c r="B38" s="16"/>
      <c r="C38" s="16"/>
      <c r="D38" s="16"/>
      <c r="E38" s="16"/>
      <c r="F38" s="16"/>
    </row>
  </sheetData>
  <mergeCells count="9">
    <mergeCell ref="B13:C13"/>
    <mergeCell ref="B12:C12"/>
    <mergeCell ref="F18:G19"/>
    <mergeCell ref="F20:G20"/>
    <mergeCell ref="F21:G21"/>
    <mergeCell ref="E18:E19"/>
    <mergeCell ref="B16:C16"/>
    <mergeCell ref="B15:C15"/>
    <mergeCell ref="B14:C14"/>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6">
    <tabColor rgb="FF0070C0"/>
  </sheetPr>
  <dimension ref="A1:O45"/>
  <sheetViews>
    <sheetView showGridLines="0" view="pageLayout" zoomScaleNormal="100" workbookViewId="0">
      <selection activeCell="H10" sqref="H10"/>
    </sheetView>
  </sheetViews>
  <sheetFormatPr baseColWidth="10" defaultColWidth="9.1640625" defaultRowHeight="15"/>
  <cols>
    <col min="1" max="1" width="20.5" customWidth="1"/>
    <col min="2" max="2" width="13.33203125" customWidth="1"/>
    <col min="3" max="3" width="8" customWidth="1"/>
    <col min="4" max="4" width="3.5" customWidth="1"/>
    <col min="5" max="5" width="13.33203125" customWidth="1"/>
    <col min="6" max="6" width="8.6640625" customWidth="1"/>
    <col min="7" max="7" width="10.6640625" customWidth="1"/>
    <col min="8" max="8" width="1.33203125" customWidth="1"/>
    <col min="9" max="9" width="13.33203125" customWidth="1"/>
    <col min="14" max="14" width="11.5" customWidth="1"/>
    <col min="15" max="15" width="11.83203125" customWidth="1"/>
  </cols>
  <sheetData>
    <row r="1" spans="1:15" ht="22.5" customHeight="1"/>
    <row r="2" spans="1:15" ht="28.5" customHeight="1">
      <c r="A2" s="600" t="s">
        <v>17</v>
      </c>
      <c r="B2" s="18"/>
      <c r="C2" s="19"/>
      <c r="D2" s="19"/>
      <c r="E2" s="18"/>
      <c r="F2" s="18"/>
      <c r="G2" s="18"/>
      <c r="H2" s="18"/>
      <c r="I2" s="5"/>
    </row>
    <row r="3" spans="1:15" ht="3" customHeight="1">
      <c r="A3" s="14"/>
      <c r="B3" s="18"/>
      <c r="C3" s="19"/>
      <c r="D3" s="19"/>
      <c r="E3" s="18"/>
      <c r="F3" s="18"/>
      <c r="G3" s="18"/>
      <c r="H3" s="18"/>
      <c r="I3" s="5"/>
    </row>
    <row r="4" spans="1:15">
      <c r="A4" s="1026" t="s">
        <v>651</v>
      </c>
      <c r="B4" s="1026"/>
      <c r="C4" s="1026"/>
      <c r="D4" s="1026"/>
      <c r="E4" s="1026"/>
      <c r="F4" s="1026"/>
      <c r="G4" s="1026"/>
      <c r="H4" s="1026"/>
      <c r="I4" s="1026"/>
    </row>
    <row r="5" spans="1:15">
      <c r="A5" s="18"/>
      <c r="B5" s="18"/>
      <c r="C5" s="19"/>
      <c r="D5" s="19"/>
      <c r="E5" s="18"/>
      <c r="F5" s="18"/>
      <c r="G5" s="18"/>
      <c r="H5" s="18"/>
      <c r="I5" s="5"/>
    </row>
    <row r="6" spans="1:15" ht="15.75" customHeight="1">
      <c r="A6" s="1170" t="s">
        <v>126</v>
      </c>
      <c r="B6" s="1169" t="s">
        <v>31</v>
      </c>
      <c r="C6" s="1158"/>
      <c r="D6" s="89"/>
      <c r="E6" s="1158" t="s">
        <v>74</v>
      </c>
      <c r="F6" s="1159"/>
      <c r="G6" s="1071" t="s">
        <v>36</v>
      </c>
      <c r="H6" s="322"/>
      <c r="I6" s="1160" t="s">
        <v>846</v>
      </c>
    </row>
    <row r="7" spans="1:15">
      <c r="A7" s="1170"/>
      <c r="B7" s="483" t="s">
        <v>832</v>
      </c>
      <c r="C7" s="482" t="s">
        <v>78</v>
      </c>
      <c r="D7" s="89"/>
      <c r="E7" s="812" t="s">
        <v>832</v>
      </c>
      <c r="F7" s="473" t="s">
        <v>78</v>
      </c>
      <c r="G7" s="1071"/>
      <c r="H7" s="322"/>
      <c r="I7" s="1160"/>
    </row>
    <row r="8" spans="1:15">
      <c r="A8" s="427" t="s">
        <v>127</v>
      </c>
      <c r="B8" s="881"/>
      <c r="C8" s="466" t="e">
        <f>B8/B$13</f>
        <v>#DIV/0!</v>
      </c>
      <c r="D8" s="89"/>
      <c r="E8" s="881"/>
      <c r="F8" s="428" t="e">
        <f>E8/E$13</f>
        <v>#DIV/0!</v>
      </c>
      <c r="G8" s="398" t="str">
        <f>IFERROR(B8/E8-1,"n/a")</f>
        <v>n/a</v>
      </c>
      <c r="H8" s="322"/>
      <c r="I8" s="471">
        <v>0</v>
      </c>
    </row>
    <row r="9" spans="1:15" ht="15.75" customHeight="1">
      <c r="A9" s="427" t="s">
        <v>128</v>
      </c>
      <c r="B9" s="881"/>
      <c r="C9" s="466" t="e">
        <f>B9/B$13</f>
        <v>#DIV/0!</v>
      </c>
      <c r="D9" s="89"/>
      <c r="E9" s="881"/>
      <c r="F9" s="428" t="e">
        <f>E9/E$13</f>
        <v>#DIV/0!</v>
      </c>
      <c r="G9" s="398" t="str">
        <f>IFERROR(B9/E9-1,"n/a")</f>
        <v>n/a</v>
      </c>
      <c r="H9" s="322"/>
      <c r="I9" s="471">
        <v>0</v>
      </c>
    </row>
    <row r="10" spans="1:15">
      <c r="A10" s="427" t="s">
        <v>129</v>
      </c>
      <c r="B10" s="881"/>
      <c r="C10" s="466" t="e">
        <f>B10/B$13</f>
        <v>#DIV/0!</v>
      </c>
      <c r="D10" s="89"/>
      <c r="E10" s="881"/>
      <c r="F10" s="428" t="e">
        <f>E10/E$13</f>
        <v>#DIV/0!</v>
      </c>
      <c r="G10" s="398" t="str">
        <f>IFERROR(B10/E10-1,"n/a")</f>
        <v>n/a</v>
      </c>
      <c r="H10" s="322"/>
      <c r="I10" s="471">
        <v>0</v>
      </c>
    </row>
    <row r="11" spans="1:15">
      <c r="A11" s="427" t="s">
        <v>130</v>
      </c>
      <c r="B11" s="881"/>
      <c r="C11" s="466" t="e">
        <f>B11/B$13</f>
        <v>#DIV/0!</v>
      </c>
      <c r="D11" s="89"/>
      <c r="E11" s="881"/>
      <c r="F11" s="428" t="e">
        <f>E11/E$13</f>
        <v>#DIV/0!</v>
      </c>
      <c r="G11" s="398" t="str">
        <f>IFERROR(B11/E11-1,"n/a")</f>
        <v>n/a</v>
      </c>
      <c r="H11" s="322"/>
      <c r="I11" s="471">
        <v>0</v>
      </c>
    </row>
    <row r="12" spans="1:15">
      <c r="A12" s="427" t="s">
        <v>131</v>
      </c>
      <c r="B12" s="881"/>
      <c r="C12" s="466" t="e">
        <f>B12/B$13</f>
        <v>#DIV/0!</v>
      </c>
      <c r="D12" s="89"/>
      <c r="E12" s="881"/>
      <c r="F12" s="428" t="e">
        <f>E12/E$13</f>
        <v>#DIV/0!</v>
      </c>
      <c r="G12" s="398" t="str">
        <f>IFERROR(B12/E12-1,"n/a")</f>
        <v>n/a</v>
      </c>
      <c r="H12" s="322"/>
      <c r="I12" s="471">
        <v>0</v>
      </c>
      <c r="N12" s="327" t="s">
        <v>31</v>
      </c>
      <c r="O12" s="327" t="s">
        <v>707</v>
      </c>
    </row>
    <row r="13" spans="1:15">
      <c r="A13" s="819" t="s">
        <v>66</v>
      </c>
      <c r="B13" s="882">
        <f>SUM(B8:B12)</f>
        <v>0</v>
      </c>
      <c r="C13" s="821" t="e">
        <f>B13/B13</f>
        <v>#DIV/0!</v>
      </c>
      <c r="D13" s="89"/>
      <c r="E13" s="883">
        <f>SUM(E8:E12)</f>
        <v>0</v>
      </c>
      <c r="F13" s="830" t="e">
        <f>E13/E13</f>
        <v>#DIV/0!</v>
      </c>
      <c r="G13" s="831" t="e">
        <f t="shared" ref="G13" si="0">B13/E13-1</f>
        <v>#DIV/0!</v>
      </c>
      <c r="H13" s="319"/>
      <c r="I13" s="470"/>
      <c r="L13" s="279" t="s">
        <v>695</v>
      </c>
      <c r="M13" s="279"/>
      <c r="N13" s="281">
        <f>B13</f>
        <v>0</v>
      </c>
      <c r="O13" s="281">
        <f>E13</f>
        <v>0</v>
      </c>
    </row>
    <row r="14" spans="1:15" ht="7.5" customHeight="1">
      <c r="A14" s="828"/>
      <c r="B14" s="829"/>
      <c r="C14" s="829"/>
      <c r="D14" s="322"/>
      <c r="E14" s="829"/>
      <c r="F14" s="829"/>
      <c r="G14" s="832"/>
      <c r="H14" s="151"/>
      <c r="L14" s="279"/>
      <c r="M14" s="279"/>
      <c r="N14" s="279"/>
      <c r="O14" s="279"/>
    </row>
    <row r="15" spans="1:15" ht="17" thickBot="1">
      <c r="A15" s="823" t="s">
        <v>115</v>
      </c>
      <c r="B15" s="1167">
        <v>0</v>
      </c>
      <c r="C15" s="1167"/>
      <c r="D15" s="322"/>
      <c r="E15" s="1167">
        <v>0</v>
      </c>
      <c r="F15" s="1167"/>
      <c r="G15" s="824" t="e">
        <f t="shared" ref="G15:G16" si="1">B15/E15-1</f>
        <v>#DIV/0!</v>
      </c>
      <c r="H15" s="151"/>
      <c r="L15" s="279" t="s">
        <v>698</v>
      </c>
      <c r="M15" s="279"/>
      <c r="N15" s="324">
        <f>'Dental Care'!D8</f>
        <v>0</v>
      </c>
      <c r="O15" s="324">
        <f>'Dental Care'!D9</f>
        <v>0</v>
      </c>
    </row>
    <row r="16" spans="1:15" ht="16" thickTop="1">
      <c r="A16" s="823" t="s">
        <v>507</v>
      </c>
      <c r="B16" s="1165" t="e">
        <f>B13/B15</f>
        <v>#DIV/0!</v>
      </c>
      <c r="C16" s="1165"/>
      <c r="D16" s="322"/>
      <c r="E16" s="1165" t="e">
        <f>E13/E15</f>
        <v>#DIV/0!</v>
      </c>
      <c r="F16" s="1165"/>
      <c r="G16" s="824" t="e">
        <f t="shared" si="1"/>
        <v>#DIV/0!</v>
      </c>
      <c r="H16" s="12"/>
      <c r="L16" s="279" t="s">
        <v>697</v>
      </c>
      <c r="M16" s="279"/>
      <c r="N16" s="280">
        <f>N13-N15</f>
        <v>0</v>
      </c>
      <c r="O16" s="280">
        <f>O13-O15</f>
        <v>0</v>
      </c>
    </row>
    <row r="17" spans="1:9">
      <c r="A17" s="18"/>
      <c r="B17" s="18"/>
      <c r="C17" s="19"/>
      <c r="D17" s="19"/>
      <c r="E17" s="18"/>
      <c r="F17" s="18"/>
      <c r="G17" s="18"/>
      <c r="H17" s="18"/>
      <c r="I17" s="5"/>
    </row>
    <row r="18" spans="1:9">
      <c r="A18" s="18"/>
      <c r="B18" s="18"/>
      <c r="C18" s="19"/>
      <c r="D18" s="19"/>
      <c r="E18" s="18"/>
      <c r="F18" s="18"/>
      <c r="G18" s="18"/>
      <c r="H18" s="18"/>
      <c r="I18" s="5"/>
    </row>
    <row r="19" spans="1:9">
      <c r="A19" s="18"/>
      <c r="B19" s="18"/>
      <c r="C19" s="19"/>
      <c r="D19" s="19"/>
      <c r="E19" s="18"/>
      <c r="F19" s="18"/>
      <c r="G19" s="18"/>
      <c r="H19" s="18"/>
      <c r="I19" s="5"/>
    </row>
    <row r="20" spans="1:9">
      <c r="A20" s="18"/>
      <c r="B20" s="18"/>
      <c r="C20" s="19"/>
      <c r="D20" s="19"/>
      <c r="E20" s="18"/>
      <c r="F20" s="18"/>
      <c r="G20" s="18"/>
      <c r="H20" s="18"/>
      <c r="I20" s="5"/>
    </row>
    <row r="21" spans="1:9">
      <c r="A21" s="18"/>
      <c r="B21" s="18"/>
      <c r="C21" s="19"/>
      <c r="D21" s="19"/>
      <c r="E21" s="18"/>
      <c r="F21" s="18"/>
      <c r="G21" s="18"/>
      <c r="H21" s="18"/>
      <c r="I21" s="5"/>
    </row>
    <row r="22" spans="1:9">
      <c r="A22" s="18"/>
      <c r="B22" s="18"/>
      <c r="C22" s="19"/>
      <c r="D22" s="19"/>
      <c r="E22" s="18"/>
      <c r="F22" s="18"/>
      <c r="G22" s="18"/>
      <c r="H22" s="18"/>
      <c r="I22" s="5"/>
    </row>
    <row r="23" spans="1:9">
      <c r="A23" s="18"/>
      <c r="B23" s="18"/>
      <c r="C23" s="19"/>
      <c r="D23" s="19"/>
      <c r="E23" s="18"/>
      <c r="F23" s="18"/>
      <c r="G23" s="18"/>
      <c r="H23" s="18"/>
      <c r="I23" s="5"/>
    </row>
    <row r="24" spans="1:9">
      <c r="A24" s="18"/>
      <c r="B24" s="18"/>
      <c r="C24" s="19"/>
      <c r="D24" s="19"/>
      <c r="E24" s="18"/>
      <c r="F24" s="18"/>
      <c r="G24" s="18"/>
      <c r="H24" s="18"/>
      <c r="I24" s="5"/>
    </row>
    <row r="25" spans="1:9">
      <c r="A25" s="18"/>
      <c r="B25" s="18"/>
      <c r="C25" s="19"/>
      <c r="D25" s="19"/>
      <c r="E25" s="18"/>
      <c r="F25" s="18"/>
      <c r="G25" s="18"/>
      <c r="H25" s="18"/>
      <c r="I25" s="5"/>
    </row>
    <row r="26" spans="1:9" ht="34.5" customHeight="1"/>
    <row r="27" spans="1:9">
      <c r="A27" s="16"/>
      <c r="B27" s="16"/>
      <c r="C27" s="16"/>
      <c r="D27" s="16"/>
      <c r="E27" s="16"/>
      <c r="F27" s="16"/>
      <c r="G27" s="16"/>
      <c r="H27" s="16"/>
      <c r="I27" s="16"/>
    </row>
    <row r="38" spans="1:9" hidden="1"/>
    <row r="39" spans="1:9" s="364" customFormat="1" hidden="1"/>
    <row r="40" spans="1:9" s="364" customFormat="1" hidden="1"/>
    <row r="41" spans="1:9" s="364" customFormat="1"/>
    <row r="42" spans="1:9" s="364" customFormat="1"/>
    <row r="45" spans="1:9" ht="30.75" customHeight="1">
      <c r="A45" s="1166" t="str">
        <f>'EHC Breakdown - w S&amp;S'!A45:I45</f>
        <v>1 Comparative distribution based on Sun Life data for the period ending Date. Your comparative group is drawn from groups in the Industry Industry with SIZE BRACKET employees</v>
      </c>
      <c r="B45" s="1166"/>
      <c r="C45" s="1166"/>
      <c r="D45" s="1166"/>
      <c r="E45" s="1166"/>
      <c r="F45" s="1166"/>
      <c r="G45" s="1166"/>
      <c r="H45" s="1166"/>
      <c r="I45" s="1166"/>
    </row>
  </sheetData>
  <mergeCells count="11">
    <mergeCell ref="B16:C16"/>
    <mergeCell ref="E16:F16"/>
    <mergeCell ref="A45:I45"/>
    <mergeCell ref="G6:G7"/>
    <mergeCell ref="A4:I4"/>
    <mergeCell ref="I6:I7"/>
    <mergeCell ref="B15:C15"/>
    <mergeCell ref="E15:F15"/>
    <mergeCell ref="A6:A7"/>
    <mergeCell ref="B6:C6"/>
    <mergeCell ref="E6:F6"/>
  </mergeCells>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3">
    <tabColor rgb="FF7030A0"/>
  </sheetPr>
  <dimension ref="A1:F42"/>
  <sheetViews>
    <sheetView showGridLines="0" view="pageLayout" zoomScaleNormal="100" workbookViewId="0">
      <selection activeCell="H10" sqref="H10"/>
    </sheetView>
  </sheetViews>
  <sheetFormatPr baseColWidth="10" defaultColWidth="9.1640625" defaultRowHeight="15"/>
  <cols>
    <col min="1" max="1" width="26.33203125" customWidth="1"/>
    <col min="2" max="2" width="8.6640625" bestFit="1" customWidth="1"/>
    <col min="3" max="6" width="15.5" customWidth="1"/>
    <col min="7" max="7" width="7.5" customWidth="1"/>
    <col min="8" max="8" width="17.5" customWidth="1"/>
    <col min="9" max="9" width="7" bestFit="1" customWidth="1"/>
    <col min="10" max="10" width="7.5" customWidth="1"/>
  </cols>
  <sheetData>
    <row r="1" spans="1:6" ht="24" customHeight="1"/>
    <row r="2" spans="1:6" s="1" customFormat="1" ht="15" customHeight="1">
      <c r="A2" s="1032" t="s">
        <v>303</v>
      </c>
      <c r="B2" s="4"/>
      <c r="C2" s="4"/>
      <c r="D2" s="4"/>
    </row>
    <row r="3" spans="1:6" s="1" customFormat="1" ht="12.75" customHeight="1">
      <c r="A3" s="1032"/>
      <c r="B3" s="4"/>
      <c r="C3" s="4"/>
      <c r="D3" s="4"/>
    </row>
    <row r="4" spans="1:6" s="1" customFormat="1" ht="12" customHeight="1">
      <c r="A4" s="1184"/>
      <c r="B4" s="4"/>
      <c r="C4" s="4"/>
      <c r="D4" s="4"/>
    </row>
    <row r="5" spans="1:6" s="1" customFormat="1" ht="30.25" customHeight="1">
      <c r="A5" s="505" t="s">
        <v>140</v>
      </c>
      <c r="B5" s="407" t="s">
        <v>528</v>
      </c>
      <c r="C5" s="407" t="s">
        <v>304</v>
      </c>
      <c r="D5" s="407" t="s">
        <v>305</v>
      </c>
      <c r="E5" s="407" t="s">
        <v>537</v>
      </c>
      <c r="F5" s="408" t="s">
        <v>36</v>
      </c>
    </row>
    <row r="6" spans="1:6" s="1" customFormat="1" ht="15" customHeight="1">
      <c r="A6" s="711" t="str">
        <f>EP_Current</f>
        <v>MMM DD YYY - MMM DD YYYY</v>
      </c>
      <c r="B6" s="500">
        <v>12</v>
      </c>
      <c r="C6" s="502">
        <f>'Extended Health Care (EHC)'!D10</f>
        <v>0</v>
      </c>
      <c r="D6" s="503">
        <f>'EHC Breakdown - w S&amp;S'!B16*'Trend Review'!B6</f>
        <v>0</v>
      </c>
      <c r="E6" s="502" t="e">
        <f>C6/D6*12</f>
        <v>#DIV/0!</v>
      </c>
      <c r="F6" s="833" t="str">
        <f>IFERROR(E6/E7-1," ")</f>
        <v xml:space="preserve"> </v>
      </c>
    </row>
    <row r="7" spans="1:6" s="1" customFormat="1" ht="15" customHeight="1">
      <c r="A7" s="711" t="str">
        <f>EP_P1</f>
        <v>MMM DD YYY - MMM DD YYYY</v>
      </c>
      <c r="B7" s="500">
        <v>12</v>
      </c>
      <c r="C7" s="502">
        <f>'Extended Health Care (EHC)'!D11</f>
        <v>0</v>
      </c>
      <c r="D7" s="503">
        <f>'EHC Breakdown - w S&amp;S'!E16*'Trend Review'!B7</f>
        <v>0</v>
      </c>
      <c r="E7" s="502" t="e">
        <f>C7/D7*12</f>
        <v>#DIV/0!</v>
      </c>
      <c r="F7" s="833" t="str">
        <f t="shared" ref="F7:F9" si="0">IFERROR(E7/E8-1," ")</f>
        <v xml:space="preserve"> </v>
      </c>
    </row>
    <row r="8" spans="1:6" s="1" customFormat="1" ht="15" customHeight="1">
      <c r="A8" s="711" t="str">
        <f>EP_P2</f>
        <v>MMM DD YYY - MMM DD YYYY</v>
      </c>
      <c r="B8" s="504">
        <v>12</v>
      </c>
      <c r="C8" s="502">
        <f>'Extended Health Care (EHC)'!D12</f>
        <v>0</v>
      </c>
      <c r="D8" s="503">
        <v>0</v>
      </c>
      <c r="E8" s="502" t="e">
        <f>C8/D8*12</f>
        <v>#DIV/0!</v>
      </c>
      <c r="F8" s="833" t="str">
        <f t="shared" si="0"/>
        <v xml:space="preserve"> </v>
      </c>
    </row>
    <row r="9" spans="1:6" s="1" customFormat="1" ht="15.75" customHeight="1">
      <c r="A9" s="711" t="str">
        <f>EP_P3</f>
        <v>MMM DD YYY - MMM DD YYYY</v>
      </c>
      <c r="B9" s="504">
        <v>12</v>
      </c>
      <c r="C9" s="502">
        <v>0</v>
      </c>
      <c r="D9" s="503">
        <v>0</v>
      </c>
      <c r="E9" s="502" t="e">
        <f>C9/D9*12</f>
        <v>#DIV/0!</v>
      </c>
      <c r="F9" s="833" t="str">
        <f t="shared" si="0"/>
        <v xml:space="preserve"> </v>
      </c>
    </row>
    <row r="10" spans="1:6" s="1" customFormat="1" ht="15" customHeight="1">
      <c r="A10" s="711" t="str">
        <f>EP_P4</f>
        <v>MMM DD YYY - MMM DD YYYY</v>
      </c>
      <c r="B10" s="504">
        <v>12</v>
      </c>
      <c r="C10" s="502">
        <v>0</v>
      </c>
      <c r="D10" s="503">
        <v>0</v>
      </c>
      <c r="E10" s="502" t="e">
        <f>C10/D10*12</f>
        <v>#DIV/0!</v>
      </c>
      <c r="F10" s="503"/>
    </row>
    <row r="11" spans="1:6">
      <c r="A11" s="825" t="s">
        <v>306</v>
      </c>
      <c r="B11" s="834"/>
      <c r="C11" s="834"/>
      <c r="D11" s="834"/>
      <c r="E11" s="834"/>
      <c r="F11" s="822" t="e">
        <f>((1+F6)*(1+F7)*(1+F8)*(1+F9))^(1/COUNT(F6:F9))-1</f>
        <v>#VALUE!</v>
      </c>
    </row>
    <row r="12" spans="1:6">
      <c r="A12" s="15"/>
      <c r="B12" s="15"/>
      <c r="C12" s="15"/>
      <c r="D12" s="15"/>
      <c r="E12" s="15"/>
      <c r="F12" s="15"/>
    </row>
    <row r="13" spans="1:6" ht="30.25" customHeight="1">
      <c r="A13" s="505" t="s">
        <v>16</v>
      </c>
      <c r="B13" s="407" t="s">
        <v>528</v>
      </c>
      <c r="C13" s="712" t="s">
        <v>304</v>
      </c>
      <c r="D13" s="712" t="s">
        <v>305</v>
      </c>
      <c r="E13" s="407" t="s">
        <v>537</v>
      </c>
      <c r="F13" s="408" t="s">
        <v>36</v>
      </c>
    </row>
    <row r="14" spans="1:6" ht="15" customHeight="1">
      <c r="A14" s="711" t="str">
        <f>EP_Current</f>
        <v>MMM DD YYY - MMM DD YYYY</v>
      </c>
      <c r="B14" s="500">
        <v>12</v>
      </c>
      <c r="C14" s="502">
        <f>'Dental Care'!D8</f>
        <v>0</v>
      </c>
      <c r="D14" s="735">
        <f>'Dental Care History'!B15*'Trend Review'!B14</f>
        <v>0</v>
      </c>
      <c r="E14" s="502" t="e">
        <f>C14/D14*12</f>
        <v>#DIV/0!</v>
      </c>
      <c r="F14" s="833" t="str">
        <f>IFERROR(E14/E15-1," ")</f>
        <v xml:space="preserve"> </v>
      </c>
    </row>
    <row r="15" spans="1:6" ht="15" customHeight="1">
      <c r="A15" s="711" t="str">
        <f>EP_P1</f>
        <v>MMM DD YYY - MMM DD YYYY</v>
      </c>
      <c r="B15" s="500">
        <v>12</v>
      </c>
      <c r="C15" s="502">
        <f>'Dental Care'!D9</f>
        <v>0</v>
      </c>
      <c r="D15" s="735">
        <f>'Dental Care History'!E15*'Trend Review'!B15</f>
        <v>0</v>
      </c>
      <c r="E15" s="502" t="e">
        <f>C15/D15*12</f>
        <v>#DIV/0!</v>
      </c>
      <c r="F15" s="833" t="str">
        <f t="shared" ref="F15:F17" si="1">IFERROR(E15/E16-1," ")</f>
        <v xml:space="preserve"> </v>
      </c>
    </row>
    <row r="16" spans="1:6" ht="15" customHeight="1">
      <c r="A16" s="711" t="str">
        <f>EP_P2</f>
        <v>MMM DD YYY - MMM DD YYYY</v>
      </c>
      <c r="B16" s="504">
        <v>12</v>
      </c>
      <c r="C16" s="502">
        <f>'Dental Care'!D10</f>
        <v>0</v>
      </c>
      <c r="D16" s="735">
        <v>0</v>
      </c>
      <c r="E16" s="502" t="e">
        <f>C16/D16*12</f>
        <v>#DIV/0!</v>
      </c>
      <c r="F16" s="833" t="str">
        <f t="shared" si="1"/>
        <v xml:space="preserve"> </v>
      </c>
    </row>
    <row r="17" spans="1:6" ht="15" customHeight="1">
      <c r="A17" s="711" t="str">
        <f>EP_P3</f>
        <v>MMM DD YYY - MMM DD YYYY</v>
      </c>
      <c r="B17" s="504">
        <v>12</v>
      </c>
      <c r="C17" s="502">
        <v>0</v>
      </c>
      <c r="D17" s="735">
        <v>0</v>
      </c>
      <c r="E17" s="502" t="e">
        <f>C17/D17*12</f>
        <v>#DIV/0!</v>
      </c>
      <c r="F17" s="833" t="str">
        <f t="shared" si="1"/>
        <v xml:space="preserve"> </v>
      </c>
    </row>
    <row r="18" spans="1:6" ht="15" customHeight="1">
      <c r="A18" s="711" t="str">
        <f>EP_P4</f>
        <v>MMM DD YYY - MMM DD YYYY</v>
      </c>
      <c r="B18" s="504">
        <v>12</v>
      </c>
      <c r="C18" s="502">
        <v>0</v>
      </c>
      <c r="D18" s="735">
        <v>0</v>
      </c>
      <c r="E18" s="502" t="e">
        <f>C18/D18*12</f>
        <v>#DIV/0!</v>
      </c>
      <c r="F18" s="501"/>
    </row>
    <row r="19" spans="1:6">
      <c r="A19" s="825" t="s">
        <v>306</v>
      </c>
      <c r="B19" s="834"/>
      <c r="C19" s="834"/>
      <c r="D19" s="834"/>
      <c r="E19" s="834"/>
      <c r="F19" s="822" t="e">
        <f>((1+F14)*(1+F15)*(1+F16)*(1+F17))^(1/COUNT(F14:F17))-1</f>
        <v>#VALUE!</v>
      </c>
    </row>
    <row r="20" spans="1:6">
      <c r="A20" s="15"/>
      <c r="B20" s="15"/>
      <c r="C20" s="15"/>
      <c r="D20" s="15"/>
      <c r="E20" s="15"/>
      <c r="F20" s="15"/>
    </row>
    <row r="21" spans="1:6" ht="45.25" customHeight="1">
      <c r="A21" s="1163" t="s">
        <v>307</v>
      </c>
      <c r="B21" s="1185"/>
      <c r="C21" s="407" t="s">
        <v>544</v>
      </c>
      <c r="D21" s="408" t="s">
        <v>545</v>
      </c>
      <c r="E21" s="15"/>
      <c r="F21" s="15"/>
    </row>
    <row r="22" spans="1:6">
      <c r="A22" s="1035" t="str">
        <f>EP_Current</f>
        <v>MMM DD YYY - MMM DD YYYY</v>
      </c>
      <c r="B22" s="1035"/>
      <c r="C22" s="502" t="e">
        <f>('Extended Health Care (EHC)'!C10/D6+'Dental Care'!C8/D14)*12</f>
        <v>#DIV/0!</v>
      </c>
      <c r="D22" s="502" t="e">
        <f>E6+E14</f>
        <v>#DIV/0!</v>
      </c>
      <c r="E22" s="15"/>
      <c r="F22" s="15"/>
    </row>
    <row r="23" spans="1:6">
      <c r="A23" s="1035" t="str">
        <f>EP_P1</f>
        <v>MMM DD YYY - MMM DD YYYY</v>
      </c>
      <c r="B23" s="1035"/>
      <c r="C23" s="502" t="e">
        <f>('Extended Health Care (EHC)'!C11/D7+'Dental Care'!C9/D15)*12</f>
        <v>#DIV/0!</v>
      </c>
      <c r="D23" s="502" t="e">
        <f>E7+E15</f>
        <v>#DIV/0!</v>
      </c>
      <c r="E23" s="15"/>
      <c r="F23" s="15"/>
    </row>
    <row r="24" spans="1:6">
      <c r="A24" s="1035" t="str">
        <f>EP_P2</f>
        <v>MMM DD YYY - MMM DD YYYY</v>
      </c>
      <c r="B24" s="1035"/>
      <c r="C24" s="502" t="e">
        <f>('Extended Health Care (EHC)'!C12/D8+'Dental Care'!C10/D16)*12</f>
        <v>#DIV/0!</v>
      </c>
      <c r="D24" s="502" t="e">
        <f>E8+E16</f>
        <v>#DIV/0!</v>
      </c>
      <c r="E24" s="15"/>
      <c r="F24" s="15"/>
    </row>
    <row r="25" spans="1:6">
      <c r="A25" s="1035" t="str">
        <f>EP_P3</f>
        <v>MMM DD YYY - MMM DD YYYY</v>
      </c>
      <c r="B25" s="1035"/>
      <c r="C25" s="502">
        <v>0</v>
      </c>
      <c r="D25" s="502" t="e">
        <f>E9+E17</f>
        <v>#DIV/0!</v>
      </c>
      <c r="E25" s="15"/>
      <c r="F25" s="15"/>
    </row>
    <row r="26" spans="1:6">
      <c r="A26" s="1035" t="str">
        <f>EP_P4</f>
        <v>MMM DD YYY - MMM DD YYYY</v>
      </c>
      <c r="B26" s="1035"/>
      <c r="C26" s="502">
        <v>0</v>
      </c>
      <c r="D26" s="502" t="e">
        <f>E10+E18</f>
        <v>#DIV/0!</v>
      </c>
      <c r="E26" s="15"/>
      <c r="F26" s="15"/>
    </row>
    <row r="27" spans="1:6">
      <c r="A27" s="15"/>
      <c r="B27" s="15"/>
      <c r="C27" s="15"/>
      <c r="D27" s="15"/>
      <c r="E27" s="15"/>
      <c r="F27" s="15"/>
    </row>
    <row r="28" spans="1:6">
      <c r="A28" s="15"/>
      <c r="B28" s="15"/>
      <c r="C28" s="15"/>
      <c r="D28" s="15"/>
      <c r="E28" s="15"/>
      <c r="F28" s="15"/>
    </row>
    <row r="29" spans="1:6">
      <c r="A29" s="15"/>
      <c r="B29" s="15"/>
      <c r="C29" s="15"/>
      <c r="D29" s="15"/>
      <c r="E29" s="15"/>
      <c r="F29" s="15"/>
    </row>
    <row r="30" spans="1:6">
      <c r="A30" s="15"/>
      <c r="B30" s="15"/>
      <c r="C30" s="15"/>
      <c r="D30" s="15"/>
      <c r="E30" s="15"/>
      <c r="F30" s="15"/>
    </row>
    <row r="31" spans="1:6">
      <c r="A31" s="15"/>
      <c r="B31" s="15"/>
      <c r="C31" s="15"/>
      <c r="D31" s="15"/>
      <c r="E31" s="15"/>
      <c r="F31" s="15"/>
    </row>
    <row r="32" spans="1:6">
      <c r="A32" s="15"/>
      <c r="B32" s="15"/>
      <c r="C32" s="15"/>
      <c r="D32" s="15"/>
      <c r="E32" s="15"/>
      <c r="F32" s="15"/>
    </row>
    <row r="33" spans="1:6">
      <c r="A33" s="15"/>
      <c r="B33" s="15"/>
      <c r="C33" s="15"/>
      <c r="D33" s="15"/>
      <c r="E33" s="15"/>
      <c r="F33" s="15"/>
    </row>
    <row r="34" spans="1:6">
      <c r="A34" s="15"/>
      <c r="B34" s="15"/>
      <c r="C34" s="15"/>
      <c r="D34" s="15"/>
      <c r="E34" s="15"/>
      <c r="F34" s="15"/>
    </row>
    <row r="35" spans="1:6">
      <c r="A35" s="15"/>
      <c r="B35" s="15"/>
      <c r="C35" s="15"/>
      <c r="D35" s="15"/>
      <c r="E35" s="15"/>
      <c r="F35" s="15"/>
    </row>
    <row r="36" spans="1:6">
      <c r="A36" s="15"/>
      <c r="B36" s="15"/>
      <c r="C36" s="15"/>
      <c r="D36" s="15"/>
      <c r="E36" s="15"/>
      <c r="F36" s="15"/>
    </row>
    <row r="37" spans="1:6">
      <c r="A37" s="15"/>
      <c r="B37" s="15"/>
      <c r="C37" s="15"/>
      <c r="D37" s="15"/>
      <c r="E37" s="15"/>
      <c r="F37" s="15"/>
    </row>
    <row r="38" spans="1:6">
      <c r="A38" s="15"/>
      <c r="B38" s="15"/>
      <c r="C38" s="15"/>
      <c r="D38" s="15"/>
      <c r="E38" s="15"/>
      <c r="F38" s="15"/>
    </row>
    <row r="39" spans="1:6">
      <c r="A39" s="15"/>
      <c r="B39" s="15"/>
      <c r="C39" s="15"/>
      <c r="D39" s="15"/>
      <c r="E39" s="15"/>
      <c r="F39" s="15"/>
    </row>
    <row r="40" spans="1:6">
      <c r="A40" s="15"/>
      <c r="B40" s="15"/>
      <c r="C40" s="15"/>
      <c r="D40" s="15"/>
      <c r="E40" s="32"/>
      <c r="F40" s="32"/>
    </row>
    <row r="41" spans="1:6">
      <c r="A41" s="15"/>
      <c r="B41" s="15"/>
      <c r="C41" s="15"/>
      <c r="D41" s="15"/>
      <c r="E41" s="32"/>
      <c r="F41" s="32"/>
    </row>
    <row r="42" spans="1:6">
      <c r="A42" s="15"/>
      <c r="B42" s="15"/>
      <c r="C42" s="15"/>
      <c r="D42" s="15"/>
      <c r="E42" s="32"/>
      <c r="F42" s="32"/>
    </row>
  </sheetData>
  <mergeCells count="7">
    <mergeCell ref="A25:B25"/>
    <mergeCell ref="A26:B26"/>
    <mergeCell ref="A2:A4"/>
    <mergeCell ref="A21:B21"/>
    <mergeCell ref="A22:B22"/>
    <mergeCell ref="A23:B23"/>
    <mergeCell ref="A24:B24"/>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5">
    <tabColor rgb="FFFF0000"/>
  </sheetPr>
  <dimension ref="A1:G47"/>
  <sheetViews>
    <sheetView showGridLines="0" tabSelected="1" view="pageLayout" zoomScaleNormal="100" workbookViewId="0">
      <selection activeCell="H10" sqref="H10"/>
    </sheetView>
  </sheetViews>
  <sheetFormatPr baseColWidth="10" defaultColWidth="9.1640625" defaultRowHeight="15"/>
  <cols>
    <col min="1" max="7" width="13.83203125" customWidth="1"/>
  </cols>
  <sheetData>
    <row r="1" spans="1:7" ht="23.25" customHeight="1"/>
    <row r="2" spans="1:7" s="1" customFormat="1" ht="15" customHeight="1">
      <c r="A2" s="1004" t="s">
        <v>19</v>
      </c>
      <c r="B2" s="1149"/>
      <c r="C2" s="1149"/>
      <c r="D2" s="1149"/>
      <c r="E2" s="3"/>
      <c r="F2" s="3"/>
      <c r="G2" s="3"/>
    </row>
    <row r="3" spans="1:7" s="1" customFormat="1" ht="15" customHeight="1">
      <c r="A3" s="1004"/>
      <c r="B3" s="1149"/>
      <c r="C3" s="1149"/>
      <c r="D3" s="1149"/>
      <c r="E3" s="3"/>
      <c r="F3" s="3"/>
      <c r="G3" s="3"/>
    </row>
    <row r="4" spans="1:7" s="1" customFormat="1" ht="15" customHeight="1"/>
    <row r="5" spans="1:7" s="1" customFormat="1" ht="37.5" customHeight="1">
      <c r="A5" s="1084" t="str">
        <f>"On an overall basis, " &amp;('Cover Page'!F23) &amp; "'s initial renewal request sought " &amp;IF('Renewal Rates '!$G161&gt;0, "an increase", "a decrease")&amp;" in annual costs of "&amp;TEXT((ABS('Renewal Rates '!$G161)), "0.0%")&amp;", (" &amp;TEXT((ABS('Renewal Rates '!$F163)), "$#,###.00") &amp; " annually). NFP Canada has been able to negotiate a "&amp;IF('Renewal Rates '!$J161&gt;0, "tempered increase", IF('Renewal Rates '!$G161&lt;0, "further decrease", "decrease"))&amp;" of " &amp;TEXT((ABS('Renewal Rates '!$J161)), "0.0%") &amp; " in annual costs (" &amp;TEXT((ABS('Renewal Rates '!$I163)), "$#,###.00") &amp; " annually)."</f>
        <v>On an overall basis, Carrier's initial renewal request sought a decrease in annual costs of 0.0%, ($.00 annually). NFP Canada has been able to negotiate a decrease of 0.0% in annual costs ($.00 annually).</v>
      </c>
      <c r="B5" s="1084"/>
      <c r="C5" s="1084"/>
      <c r="D5" s="1084"/>
      <c r="E5" s="1084"/>
      <c r="F5" s="1084"/>
      <c r="G5" s="1084"/>
    </row>
    <row r="6" spans="1:7" s="1" customFormat="1" ht="15" customHeight="1">
      <c r="A6" s="1084"/>
      <c r="B6" s="1084"/>
      <c r="C6" s="1084"/>
      <c r="D6" s="1084"/>
      <c r="E6" s="1084"/>
      <c r="F6" s="1084"/>
      <c r="G6" s="1084"/>
    </row>
    <row r="7" spans="1:7" s="1" customFormat="1" ht="15" customHeight="1">
      <c r="A7" s="20"/>
      <c r="B7" s="20"/>
      <c r="C7" s="20"/>
      <c r="D7" s="20"/>
      <c r="E7" s="20"/>
      <c r="F7" s="20"/>
      <c r="G7" s="20"/>
    </row>
    <row r="8" spans="1:7" s="1" customFormat="1" ht="15" customHeight="1">
      <c r="A8" s="1186" t="s">
        <v>339</v>
      </c>
      <c r="B8" s="1186"/>
      <c r="C8" s="1186"/>
      <c r="D8" s="1186"/>
      <c r="E8" s="1186"/>
      <c r="F8" s="1186"/>
      <c r="G8" s="1186"/>
    </row>
    <row r="9" spans="1:7" s="1" customFormat="1" ht="24" customHeight="1">
      <c r="A9" s="1186"/>
      <c r="B9" s="1186"/>
      <c r="C9" s="1186"/>
      <c r="D9" s="1186"/>
      <c r="E9" s="1186"/>
      <c r="F9" s="1186"/>
      <c r="G9" s="1186"/>
    </row>
    <row r="10" spans="1:7" s="1" customFormat="1" ht="15" customHeight="1">
      <c r="A10" s="1186"/>
      <c r="B10" s="1186"/>
      <c r="C10" s="1186"/>
      <c r="D10" s="1186"/>
      <c r="E10" s="1186"/>
      <c r="F10" s="1186"/>
      <c r="G10" s="1186"/>
    </row>
    <row r="11" spans="1:7" s="1" customFormat="1" ht="15" customHeight="1">
      <c r="A11" s="20"/>
      <c r="B11" s="20"/>
      <c r="C11" s="20"/>
      <c r="D11" s="20"/>
      <c r="E11" s="20"/>
      <c r="F11" s="20"/>
      <c r="G11" s="20"/>
    </row>
    <row r="12" spans="1:7" s="1" customFormat="1" ht="15" customHeight="1">
      <c r="A12" s="1186" t="s">
        <v>674</v>
      </c>
      <c r="B12" s="1186"/>
      <c r="C12" s="1186"/>
      <c r="D12" s="1186"/>
      <c r="E12" s="1186"/>
      <c r="F12" s="1186"/>
      <c r="G12" s="1186"/>
    </row>
    <row r="13" spans="1:7" s="1" customFormat="1" ht="27.75" customHeight="1">
      <c r="A13" s="1186"/>
      <c r="B13" s="1186"/>
      <c r="C13" s="1186"/>
      <c r="D13" s="1186"/>
      <c r="E13" s="1186"/>
      <c r="F13" s="1186"/>
      <c r="G13" s="1186"/>
    </row>
    <row r="14" spans="1:7" s="1" customFormat="1" ht="15" customHeight="1">
      <c r="A14" s="1186"/>
      <c r="B14" s="1186"/>
      <c r="C14" s="1186"/>
      <c r="D14" s="1186"/>
      <c r="E14" s="1186"/>
      <c r="F14" s="1186"/>
      <c r="G14" s="1186"/>
    </row>
    <row r="15" spans="1:7" s="1" customFormat="1" ht="15" customHeight="1">
      <c r="A15" s="283"/>
      <c r="B15" s="283"/>
      <c r="C15" s="283"/>
      <c r="D15" s="283"/>
      <c r="E15" s="283"/>
      <c r="F15" s="283"/>
      <c r="G15" s="283"/>
    </row>
    <row r="16" spans="1:7" s="1" customFormat="1" ht="15" customHeight="1">
      <c r="A16" s="1021" t="str">
        <f>"Based on the above results and underlying experience of your program, it is our recommendation that you consider acceptance of "&amp;('Cover Page'!F23)&amp;"'s final position effective "&amp; RenewalMonth &amp; " 1, " &amp; RenewalYear &amp;"."</f>
        <v>Based on the above results and underlying experience of your program, it is our recommendation that you consider acceptance of Carrier's final position effective Month 1, Year.</v>
      </c>
      <c r="B16" s="1021"/>
      <c r="C16" s="1021"/>
      <c r="D16" s="1021"/>
      <c r="E16" s="1021"/>
      <c r="F16" s="1021"/>
      <c r="G16" s="1021"/>
    </row>
    <row r="17" spans="1:7" s="1" customFormat="1" ht="15" customHeight="1">
      <c r="A17" s="1021"/>
      <c r="B17" s="1021"/>
      <c r="C17" s="1021"/>
      <c r="D17" s="1021"/>
      <c r="E17" s="1021"/>
      <c r="F17" s="1021"/>
      <c r="G17" s="1021"/>
    </row>
    <row r="18" spans="1:7" s="1" customFormat="1" ht="15" customHeight="1">
      <c r="A18" s="20"/>
      <c r="B18" s="20"/>
      <c r="C18" s="20"/>
      <c r="D18" s="20"/>
      <c r="E18" s="20"/>
      <c r="F18" s="20"/>
      <c r="G18" s="20"/>
    </row>
    <row r="19" spans="1:7" s="1" customFormat="1" ht="15" customHeight="1">
      <c r="A19" s="430" t="s">
        <v>137</v>
      </c>
      <c r="B19" s="20"/>
      <c r="C19" s="20"/>
      <c r="D19" s="20"/>
      <c r="E19" s="20"/>
      <c r="F19" s="20"/>
      <c r="G19" s="20"/>
    </row>
    <row r="20" spans="1:7" s="1" customFormat="1" ht="15" customHeight="1">
      <c r="A20" s="220" t="s">
        <v>319</v>
      </c>
      <c r="B20" s="20"/>
      <c r="C20" s="20"/>
      <c r="D20" s="20"/>
      <c r="E20" s="20"/>
      <c r="F20" s="20"/>
      <c r="G20" s="20"/>
    </row>
    <row r="21" spans="1:7" s="1" customFormat="1" ht="15" customHeight="1">
      <c r="A21" s="20"/>
      <c r="B21" s="20"/>
      <c r="C21" s="20"/>
      <c r="D21" s="20"/>
      <c r="E21" s="20"/>
      <c r="F21" s="20"/>
      <c r="G21" s="20"/>
    </row>
    <row r="22" spans="1:7" s="1" customFormat="1" ht="12">
      <c r="A22" s="1084" t="s">
        <v>333</v>
      </c>
      <c r="B22" s="1084"/>
      <c r="C22" s="1084"/>
      <c r="D22" s="1084"/>
      <c r="E22" s="1084"/>
      <c r="F22" s="1084"/>
      <c r="G22" s="1084"/>
    </row>
    <row r="23" spans="1:7" s="1" customFormat="1" ht="12">
      <c r="A23" s="1084"/>
      <c r="B23" s="1084"/>
      <c r="C23" s="1084"/>
      <c r="D23" s="1084"/>
      <c r="E23" s="1084"/>
      <c r="F23" s="1084"/>
      <c r="G23" s="1084"/>
    </row>
    <row r="24" spans="1:7" s="1" customFormat="1" ht="15" customHeight="1">
      <c r="A24" s="17"/>
      <c r="B24" s="17"/>
      <c r="C24" s="17"/>
      <c r="D24" s="17"/>
      <c r="E24" s="17"/>
      <c r="F24" s="17"/>
      <c r="G24" s="17"/>
    </row>
    <row r="25" spans="1:7" s="1" customFormat="1" ht="15" customHeight="1">
      <c r="A25" s="20"/>
      <c r="B25" s="20"/>
      <c r="C25" s="20"/>
      <c r="D25" s="20"/>
      <c r="E25" s="20"/>
      <c r="F25" s="20"/>
      <c r="G25" s="20"/>
    </row>
    <row r="26" spans="1:7" s="1" customFormat="1" ht="15" customHeight="1">
      <c r="A26" s="20"/>
      <c r="B26" s="20"/>
      <c r="C26" s="206"/>
      <c r="D26" s="20"/>
      <c r="E26" s="20"/>
      <c r="F26" s="20"/>
      <c r="G26" s="20"/>
    </row>
    <row r="27" spans="1:7" s="1" customFormat="1" ht="15" customHeight="1">
      <c r="A27" s="20"/>
      <c r="B27" s="20"/>
      <c r="C27" s="20"/>
      <c r="D27" s="20"/>
      <c r="E27" s="20"/>
      <c r="F27" s="20"/>
      <c r="G27" s="20"/>
    </row>
    <row r="28" spans="1:7" s="1" customFormat="1" ht="15" customHeight="1">
      <c r="A28" s="20"/>
      <c r="B28" s="20"/>
      <c r="C28" s="20"/>
      <c r="D28" s="20"/>
      <c r="E28" s="20"/>
      <c r="F28" s="20"/>
      <c r="G28" s="20"/>
    </row>
    <row r="29" spans="1:7" s="1" customFormat="1" ht="15" customHeight="1">
      <c r="A29" s="20"/>
      <c r="B29" s="20"/>
      <c r="C29" s="20"/>
      <c r="D29" s="20"/>
      <c r="E29" s="20"/>
      <c r="F29" s="20"/>
      <c r="G29" s="20"/>
    </row>
    <row r="30" spans="1:7" s="1" customFormat="1" ht="15" customHeight="1">
      <c r="A30" s="20"/>
      <c r="B30" s="20"/>
      <c r="C30" s="20"/>
      <c r="D30" s="20"/>
      <c r="E30" s="20"/>
      <c r="F30" s="20"/>
      <c r="G30" s="20"/>
    </row>
    <row r="31" spans="1:7" s="1" customFormat="1" ht="15" customHeight="1">
      <c r="A31" s="20"/>
      <c r="B31" s="20"/>
      <c r="C31" s="20"/>
      <c r="D31" s="20"/>
      <c r="E31" s="20"/>
      <c r="F31" s="20"/>
      <c r="G31" s="20"/>
    </row>
    <row r="32" spans="1:7" s="1" customFormat="1" ht="15" customHeight="1">
      <c r="A32" s="20"/>
      <c r="B32" s="20"/>
      <c r="C32" s="20"/>
      <c r="D32" s="20"/>
      <c r="E32" s="20"/>
      <c r="F32" s="20"/>
      <c r="G32" s="20"/>
    </row>
    <row r="33" spans="1:7" s="1" customFormat="1" ht="15" customHeight="1">
      <c r="A33" s="20"/>
      <c r="B33" s="20"/>
      <c r="C33" s="20"/>
      <c r="D33" s="20"/>
      <c r="E33" s="20"/>
      <c r="F33" s="20"/>
      <c r="G33" s="20"/>
    </row>
    <row r="34" spans="1:7" s="1" customFormat="1" ht="15" customHeight="1">
      <c r="A34" s="20"/>
      <c r="B34" s="20"/>
      <c r="C34" s="20"/>
      <c r="D34" s="20"/>
      <c r="E34" s="20"/>
      <c r="F34" s="20"/>
      <c r="G34" s="20"/>
    </row>
    <row r="35" spans="1:7" s="1" customFormat="1" ht="15" customHeight="1">
      <c r="A35" s="20"/>
      <c r="B35" s="20"/>
      <c r="C35" s="20"/>
      <c r="D35" s="20"/>
      <c r="E35" s="20"/>
      <c r="F35" s="20"/>
      <c r="G35" s="20"/>
    </row>
    <row r="36" spans="1:7" s="1" customFormat="1" ht="15" customHeight="1">
      <c r="A36" s="20"/>
      <c r="B36" s="20"/>
      <c r="C36" s="20"/>
      <c r="D36" s="20"/>
      <c r="E36" s="20"/>
      <c r="F36" s="20"/>
      <c r="G36" s="20"/>
    </row>
    <row r="37" spans="1:7" s="1" customFormat="1" ht="15" customHeight="1">
      <c r="A37" s="20"/>
      <c r="B37" s="20"/>
      <c r="C37" s="20"/>
      <c r="D37" s="20"/>
      <c r="E37" s="20"/>
      <c r="F37" s="20"/>
      <c r="G37" s="20"/>
    </row>
    <row r="38" spans="1:7" s="1" customFormat="1" ht="15" customHeight="1">
      <c r="A38" s="20"/>
      <c r="B38" s="20"/>
      <c r="C38" s="20"/>
      <c r="D38" s="20"/>
      <c r="E38" s="20"/>
      <c r="F38" s="20"/>
      <c r="G38" s="20"/>
    </row>
    <row r="39" spans="1:7" s="1" customFormat="1" ht="15" customHeight="1">
      <c r="A39" s="20"/>
      <c r="B39" s="20"/>
      <c r="C39" s="20"/>
      <c r="D39" s="20"/>
      <c r="E39" s="20"/>
      <c r="F39" s="20"/>
      <c r="G39" s="20"/>
    </row>
    <row r="40" spans="1:7" s="1" customFormat="1" ht="15" customHeight="1">
      <c r="A40" s="20"/>
      <c r="B40" s="20"/>
      <c r="C40" s="20"/>
      <c r="D40" s="20"/>
      <c r="E40" s="20"/>
      <c r="F40" s="20"/>
      <c r="G40" s="20"/>
    </row>
    <row r="41" spans="1:7" s="1" customFormat="1" ht="15" customHeight="1">
      <c r="A41" s="20"/>
      <c r="B41" s="20"/>
      <c r="C41" s="20"/>
      <c r="D41" s="20"/>
      <c r="E41" s="20"/>
      <c r="F41" s="20"/>
      <c r="G41" s="20"/>
    </row>
    <row r="42" spans="1:7" s="1" customFormat="1" ht="15" customHeight="1">
      <c r="A42" s="20"/>
      <c r="B42" s="20"/>
      <c r="C42" s="20"/>
      <c r="D42" s="20"/>
      <c r="E42" s="20"/>
      <c r="F42" s="20"/>
      <c r="G42" s="20"/>
    </row>
    <row r="43" spans="1:7" s="1" customFormat="1" ht="15" customHeight="1">
      <c r="A43" s="20"/>
      <c r="B43" s="20"/>
      <c r="C43" s="20"/>
      <c r="D43" s="20"/>
      <c r="E43" s="20"/>
      <c r="F43" s="20"/>
      <c r="G43" s="20"/>
    </row>
    <row r="44" spans="1:7" s="1" customFormat="1" ht="15" customHeight="1">
      <c r="A44" s="20"/>
      <c r="B44" s="20"/>
      <c r="C44" s="20"/>
      <c r="D44" s="20"/>
      <c r="E44" s="20"/>
      <c r="F44" s="20"/>
      <c r="G44" s="20"/>
    </row>
    <row r="45" spans="1:7" s="1" customFormat="1" ht="15" customHeight="1">
      <c r="A45" s="20"/>
      <c r="B45" s="20"/>
      <c r="C45" s="20"/>
      <c r="D45" s="20"/>
      <c r="E45" s="20"/>
      <c r="F45" s="20"/>
      <c r="G45" s="20"/>
    </row>
    <row r="46" spans="1:7" s="1" customFormat="1" ht="15" customHeight="1">
      <c r="A46" s="20"/>
      <c r="B46" s="20"/>
      <c r="C46" s="20"/>
      <c r="D46" s="20"/>
      <c r="E46" s="20"/>
      <c r="F46" s="20"/>
      <c r="G46" s="20"/>
    </row>
    <row r="47" spans="1:7" s="1" customFormat="1" ht="15" customHeight="1">
      <c r="A47" s="20"/>
      <c r="B47" s="20"/>
      <c r="C47" s="20"/>
      <c r="D47" s="20"/>
      <c r="E47" s="20"/>
      <c r="F47" s="20"/>
      <c r="G47" s="20"/>
    </row>
  </sheetData>
  <mergeCells count="6">
    <mergeCell ref="A2:D3"/>
    <mergeCell ref="A5:G6"/>
    <mergeCell ref="A8:G10"/>
    <mergeCell ref="A16:G17"/>
    <mergeCell ref="A22:G23"/>
    <mergeCell ref="A12:G14"/>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69">
    <tabColor rgb="FFFF0000"/>
    <pageSetUpPr fitToPage="1"/>
  </sheetPr>
  <dimension ref="A1:I35"/>
  <sheetViews>
    <sheetView showGridLines="0" view="pageLayout" zoomScale="107" zoomScaleNormal="100" zoomScalePageLayoutView="107" workbookViewId="0">
      <selection activeCell="A6" sqref="A6"/>
    </sheetView>
  </sheetViews>
  <sheetFormatPr baseColWidth="10" defaultColWidth="9.1640625" defaultRowHeight="15"/>
  <cols>
    <col min="1" max="1" width="13.33203125" customWidth="1"/>
    <col min="2" max="9" width="13.6640625" customWidth="1"/>
  </cols>
  <sheetData>
    <row r="1" spans="1:9" ht="20.25" customHeight="1"/>
    <row r="2" spans="1:9" s="1" customFormat="1" ht="11.5" customHeight="1">
      <c r="A2" s="1004" t="s">
        <v>20</v>
      </c>
      <c r="B2" s="1149"/>
      <c r="C2" s="1149"/>
      <c r="D2" s="1149"/>
      <c r="E2" s="1149"/>
      <c r="F2" s="1149"/>
      <c r="G2" s="1149"/>
      <c r="H2" s="1149"/>
      <c r="I2" s="1149"/>
    </row>
    <row r="3" spans="1:9" s="1" customFormat="1" ht="15" customHeight="1">
      <c r="A3" s="1004"/>
      <c r="B3" s="1149"/>
      <c r="C3" s="1149"/>
      <c r="D3" s="1149"/>
      <c r="E3" s="1149"/>
      <c r="F3" s="1149"/>
      <c r="G3" s="1149"/>
      <c r="H3" s="1149"/>
      <c r="I3" s="1149"/>
    </row>
    <row r="4" spans="1:9" s="1" customFormat="1" ht="7" customHeight="1">
      <c r="A4" s="17"/>
      <c r="B4" s="17"/>
      <c r="C4" s="17"/>
      <c r="D4" s="17"/>
      <c r="E4" s="17"/>
      <c r="F4" s="17"/>
      <c r="G4" s="17"/>
    </row>
    <row r="5" spans="1:9" s="1" customFormat="1" ht="15" customHeight="1">
      <c r="A5" s="23"/>
      <c r="B5" s="1045" t="s">
        <v>37</v>
      </c>
      <c r="C5" s="1046"/>
      <c r="D5" s="1047" t="s">
        <v>38</v>
      </c>
      <c r="E5" s="1046"/>
      <c r="F5" s="1047" t="s">
        <v>9</v>
      </c>
      <c r="G5" s="1046"/>
      <c r="H5" s="1188" t="s">
        <v>39</v>
      </c>
      <c r="I5" s="1189"/>
    </row>
    <row r="6" spans="1:9" s="1" customFormat="1" ht="15" customHeight="1">
      <c r="A6" s="23"/>
      <c r="B6" s="506" t="s">
        <v>35</v>
      </c>
      <c r="C6" s="507" t="s">
        <v>138</v>
      </c>
      <c r="D6" s="506" t="s">
        <v>35</v>
      </c>
      <c r="E6" s="507" t="s">
        <v>138</v>
      </c>
      <c r="F6" s="506" t="s">
        <v>35</v>
      </c>
      <c r="G6" s="507" t="s">
        <v>138</v>
      </c>
      <c r="H6" s="506" t="s">
        <v>35</v>
      </c>
      <c r="I6" s="507" t="s">
        <v>138</v>
      </c>
    </row>
    <row r="7" spans="1:9" s="1" customFormat="1" ht="15" customHeight="1">
      <c r="A7" s="1190" t="s">
        <v>74</v>
      </c>
      <c r="B7" s="1190"/>
      <c r="C7" s="1190"/>
      <c r="D7" s="1190"/>
      <c r="E7" s="1190"/>
      <c r="F7" s="1190"/>
      <c r="G7" s="1190"/>
      <c r="H7" s="1190"/>
      <c r="I7" s="1190"/>
    </row>
    <row r="8" spans="1:9" s="1" customFormat="1" ht="15" customHeight="1">
      <c r="A8" s="794" t="s">
        <v>139</v>
      </c>
      <c r="B8" s="508"/>
      <c r="C8" s="509"/>
      <c r="D8" s="508"/>
      <c r="E8" s="509"/>
      <c r="F8" s="508"/>
      <c r="G8" s="509"/>
      <c r="H8" s="508"/>
      <c r="I8" s="509"/>
    </row>
    <row r="9" spans="1:9" s="1" customFormat="1" ht="15" customHeight="1">
      <c r="A9" s="794" t="s">
        <v>139</v>
      </c>
      <c r="B9" s="508"/>
      <c r="C9" s="509"/>
      <c r="D9" s="508"/>
      <c r="E9" s="509"/>
      <c r="F9" s="508"/>
      <c r="G9" s="509"/>
      <c r="H9" s="508"/>
      <c r="I9" s="509"/>
    </row>
    <row r="10" spans="1:9" s="1" customFormat="1" ht="15" customHeight="1">
      <c r="A10" s="794" t="s">
        <v>139</v>
      </c>
      <c r="B10" s="508"/>
      <c r="C10" s="509"/>
      <c r="D10" s="508"/>
      <c r="E10" s="509"/>
      <c r="F10" s="508"/>
      <c r="G10" s="509"/>
      <c r="H10" s="508"/>
      <c r="I10" s="509"/>
    </row>
    <row r="11" spans="1:9" s="1" customFormat="1" ht="15" customHeight="1">
      <c r="A11" s="794" t="s">
        <v>139</v>
      </c>
      <c r="B11" s="508"/>
      <c r="C11" s="509"/>
      <c r="D11" s="508"/>
      <c r="E11" s="509"/>
      <c r="F11" s="508"/>
      <c r="G11" s="509"/>
      <c r="H11" s="508"/>
      <c r="I11" s="509"/>
    </row>
    <row r="12" spans="1:9" s="1" customFormat="1" ht="15" customHeight="1">
      <c r="A12" s="794" t="s">
        <v>139</v>
      </c>
      <c r="B12" s="508"/>
      <c r="C12" s="509"/>
      <c r="D12" s="508"/>
      <c r="E12" s="509"/>
      <c r="F12" s="508"/>
      <c r="G12" s="509"/>
      <c r="H12" s="508"/>
      <c r="I12" s="509"/>
    </row>
    <row r="13" spans="1:9" s="1" customFormat="1" ht="15" customHeight="1">
      <c r="A13" s="794" t="s">
        <v>139</v>
      </c>
      <c r="B13" s="508"/>
      <c r="C13" s="509"/>
      <c r="D13" s="508"/>
      <c r="E13" s="509"/>
      <c r="F13" s="508"/>
      <c r="G13" s="509"/>
      <c r="H13" s="508"/>
      <c r="I13" s="509"/>
    </row>
    <row r="14" spans="1:9" s="1" customFormat="1" ht="15" customHeight="1">
      <c r="A14" s="794" t="s">
        <v>139</v>
      </c>
      <c r="B14" s="508"/>
      <c r="C14" s="509"/>
      <c r="D14" s="508"/>
      <c r="E14" s="509"/>
      <c r="F14" s="508"/>
      <c r="G14" s="509"/>
      <c r="H14" s="508"/>
      <c r="I14" s="509"/>
    </row>
    <row r="15" spans="1:9" s="1" customFormat="1" ht="15" customHeight="1">
      <c r="A15" s="794" t="s">
        <v>139</v>
      </c>
      <c r="B15" s="508"/>
      <c r="C15" s="509"/>
      <c r="D15" s="508"/>
      <c r="E15" s="509"/>
      <c r="F15" s="508"/>
      <c r="G15" s="509"/>
      <c r="H15" s="508"/>
      <c r="I15" s="509"/>
    </row>
    <row r="16" spans="1:9" s="1" customFormat="1" ht="15" customHeight="1">
      <c r="A16" s="794" t="s">
        <v>139</v>
      </c>
      <c r="B16" s="508"/>
      <c r="C16" s="509"/>
      <c r="D16" s="508"/>
      <c r="E16" s="509"/>
      <c r="F16" s="508"/>
      <c r="G16" s="509"/>
      <c r="H16" s="508"/>
      <c r="I16" s="509"/>
    </row>
    <row r="17" spans="1:9" s="1" customFormat="1" ht="15" customHeight="1">
      <c r="A17" s="794" t="s">
        <v>139</v>
      </c>
      <c r="B17" s="508"/>
      <c r="C17" s="509"/>
      <c r="D17" s="508"/>
      <c r="E17" s="509"/>
      <c r="F17" s="508"/>
      <c r="G17" s="509"/>
      <c r="H17" s="508"/>
      <c r="I17" s="509"/>
    </row>
    <row r="18" spans="1:9" s="1" customFormat="1" ht="15" customHeight="1">
      <c r="A18" s="794" t="s">
        <v>139</v>
      </c>
      <c r="B18" s="508"/>
      <c r="C18" s="509"/>
      <c r="D18" s="508"/>
      <c r="E18" s="509"/>
      <c r="F18" s="508"/>
      <c r="G18" s="509"/>
      <c r="H18" s="508"/>
      <c r="I18" s="509"/>
    </row>
    <row r="19" spans="1:9" s="1" customFormat="1" ht="15" customHeight="1">
      <c r="A19" s="794" t="s">
        <v>139</v>
      </c>
      <c r="B19" s="508"/>
      <c r="C19" s="509"/>
      <c r="D19" s="508"/>
      <c r="E19" s="509"/>
      <c r="F19" s="508"/>
      <c r="G19" s="509"/>
      <c r="H19" s="508"/>
      <c r="I19" s="509"/>
    </row>
    <row r="20" spans="1:9" s="1" customFormat="1" ht="15" customHeight="1">
      <c r="A20" s="512" t="s">
        <v>66</v>
      </c>
      <c r="B20" s="511">
        <f>SUM(B8:B19)</f>
        <v>0</v>
      </c>
      <c r="C20" s="511">
        <f t="shared" ref="C20:I20" si="0">SUM(C8:C19)</f>
        <v>0</v>
      </c>
      <c r="D20" s="511">
        <f t="shared" si="0"/>
        <v>0</v>
      </c>
      <c r="E20" s="511">
        <f t="shared" si="0"/>
        <v>0</v>
      </c>
      <c r="F20" s="511">
        <f t="shared" si="0"/>
        <v>0</v>
      </c>
      <c r="G20" s="511">
        <f t="shared" si="0"/>
        <v>0</v>
      </c>
      <c r="H20" s="511">
        <f t="shared" si="0"/>
        <v>0</v>
      </c>
      <c r="I20" s="510">
        <f t="shared" si="0"/>
        <v>0</v>
      </c>
    </row>
    <row r="21" spans="1:9" s="1" customFormat="1" ht="5" customHeight="1">
      <c r="A21" s="1187"/>
      <c r="B21" s="1187"/>
      <c r="C21" s="1187"/>
      <c r="D21" s="1187"/>
      <c r="E21" s="1187"/>
      <c r="F21" s="1187"/>
      <c r="G21" s="1187"/>
      <c r="H21" s="1187"/>
      <c r="I21" s="1187"/>
    </row>
    <row r="22" spans="1:9" s="1" customFormat="1" ht="15" customHeight="1">
      <c r="A22" s="1045" t="s">
        <v>31</v>
      </c>
      <c r="B22" s="1045"/>
      <c r="C22" s="1045"/>
      <c r="D22" s="1045"/>
      <c r="E22" s="1045"/>
      <c r="F22" s="1045"/>
      <c r="G22" s="1045"/>
      <c r="H22" s="1045"/>
      <c r="I22" s="1045"/>
    </row>
    <row r="23" spans="1:9" s="1" customFormat="1" ht="15" customHeight="1">
      <c r="A23" s="794" t="s">
        <v>139</v>
      </c>
      <c r="B23" s="508"/>
      <c r="C23" s="509"/>
      <c r="D23" s="508"/>
      <c r="E23" s="509"/>
      <c r="F23" s="508"/>
      <c r="G23" s="509"/>
      <c r="H23" s="508"/>
      <c r="I23" s="509"/>
    </row>
    <row r="24" spans="1:9" s="1" customFormat="1" ht="15" customHeight="1">
      <c r="A24" s="794" t="s">
        <v>139</v>
      </c>
      <c r="B24" s="508"/>
      <c r="C24" s="509"/>
      <c r="D24" s="508"/>
      <c r="E24" s="509"/>
      <c r="F24" s="508"/>
      <c r="G24" s="509"/>
      <c r="H24" s="508"/>
      <c r="I24" s="509"/>
    </row>
    <row r="25" spans="1:9" s="1" customFormat="1" ht="15" customHeight="1">
      <c r="A25" s="794" t="s">
        <v>139</v>
      </c>
      <c r="B25" s="508"/>
      <c r="C25" s="509"/>
      <c r="D25" s="508"/>
      <c r="E25" s="509"/>
      <c r="F25" s="508"/>
      <c r="G25" s="509"/>
      <c r="H25" s="508"/>
      <c r="I25" s="509"/>
    </row>
    <row r="26" spans="1:9" s="1" customFormat="1" ht="15" customHeight="1">
      <c r="A26" s="794" t="s">
        <v>139</v>
      </c>
      <c r="B26" s="508"/>
      <c r="C26" s="509"/>
      <c r="D26" s="508"/>
      <c r="E26" s="509"/>
      <c r="F26" s="508"/>
      <c r="G26" s="509"/>
      <c r="H26" s="508"/>
      <c r="I26" s="509"/>
    </row>
    <row r="27" spans="1:9" s="1" customFormat="1" ht="15" customHeight="1">
      <c r="A27" s="794" t="s">
        <v>139</v>
      </c>
      <c r="B27" s="508"/>
      <c r="C27" s="509"/>
      <c r="D27" s="508"/>
      <c r="E27" s="509"/>
      <c r="F27" s="508"/>
      <c r="G27" s="509"/>
      <c r="H27" s="508"/>
      <c r="I27" s="509"/>
    </row>
    <row r="28" spans="1:9" s="1" customFormat="1" ht="15" customHeight="1">
      <c r="A28" s="794" t="s">
        <v>139</v>
      </c>
      <c r="B28" s="508"/>
      <c r="C28" s="509"/>
      <c r="D28" s="508"/>
      <c r="E28" s="509"/>
      <c r="F28" s="508"/>
      <c r="G28" s="509"/>
      <c r="H28" s="508"/>
      <c r="I28" s="509"/>
    </row>
    <row r="29" spans="1:9" s="1" customFormat="1" ht="15" customHeight="1">
      <c r="A29" s="794" t="s">
        <v>139</v>
      </c>
      <c r="B29" s="508"/>
      <c r="C29" s="509"/>
      <c r="D29" s="508"/>
      <c r="E29" s="509"/>
      <c r="F29" s="508"/>
      <c r="G29" s="509"/>
      <c r="H29" s="508"/>
      <c r="I29" s="509"/>
    </row>
    <row r="30" spans="1:9" s="1" customFormat="1" ht="15" customHeight="1">
      <c r="A30" s="794" t="s">
        <v>139</v>
      </c>
      <c r="B30" s="508"/>
      <c r="C30" s="509"/>
      <c r="D30" s="508"/>
      <c r="E30" s="509"/>
      <c r="F30" s="508"/>
      <c r="G30" s="509"/>
      <c r="H30" s="508"/>
      <c r="I30" s="509"/>
    </row>
    <row r="31" spans="1:9" s="1" customFormat="1" ht="15" customHeight="1">
      <c r="A31" s="794" t="s">
        <v>139</v>
      </c>
      <c r="B31" s="508"/>
      <c r="C31" s="509"/>
      <c r="D31" s="508"/>
      <c r="E31" s="509"/>
      <c r="F31" s="508"/>
      <c r="G31" s="509"/>
      <c r="H31" s="508"/>
      <c r="I31" s="509"/>
    </row>
    <row r="32" spans="1:9" s="1" customFormat="1" ht="15" customHeight="1">
      <c r="A32" s="794" t="s">
        <v>139</v>
      </c>
      <c r="B32" s="508"/>
      <c r="C32" s="509"/>
      <c r="D32" s="508"/>
      <c r="E32" s="509"/>
      <c r="F32" s="508"/>
      <c r="G32" s="509"/>
      <c r="H32" s="508"/>
      <c r="I32" s="509"/>
    </row>
    <row r="33" spans="1:9">
      <c r="A33" s="794" t="s">
        <v>139</v>
      </c>
      <c r="B33" s="508"/>
      <c r="C33" s="509"/>
      <c r="D33" s="508"/>
      <c r="E33" s="509"/>
      <c r="F33" s="508"/>
      <c r="G33" s="509"/>
      <c r="H33" s="508"/>
      <c r="I33" s="509"/>
    </row>
    <row r="34" spans="1:9">
      <c r="A34" s="794" t="s">
        <v>139</v>
      </c>
      <c r="B34" s="508"/>
      <c r="C34" s="509"/>
      <c r="D34" s="508"/>
      <c r="E34" s="509"/>
      <c r="F34" s="508"/>
      <c r="G34" s="509"/>
      <c r="H34" s="508"/>
      <c r="I34" s="509"/>
    </row>
    <row r="35" spans="1:9">
      <c r="A35" s="512" t="s">
        <v>66</v>
      </c>
      <c r="B35" s="511">
        <f t="shared" ref="B35:I35" si="1">SUM(B23:B34)</f>
        <v>0</v>
      </c>
      <c r="C35" s="511">
        <f t="shared" si="1"/>
        <v>0</v>
      </c>
      <c r="D35" s="511">
        <f t="shared" si="1"/>
        <v>0</v>
      </c>
      <c r="E35" s="511">
        <f t="shared" si="1"/>
        <v>0</v>
      </c>
      <c r="F35" s="511">
        <f t="shared" si="1"/>
        <v>0</v>
      </c>
      <c r="G35" s="511">
        <f t="shared" si="1"/>
        <v>0</v>
      </c>
      <c r="H35" s="511">
        <f t="shared" si="1"/>
        <v>0</v>
      </c>
      <c r="I35" s="510">
        <f t="shared" si="1"/>
        <v>0</v>
      </c>
    </row>
  </sheetData>
  <mergeCells count="8">
    <mergeCell ref="A21:I21"/>
    <mergeCell ref="A22:I22"/>
    <mergeCell ref="A2:I3"/>
    <mergeCell ref="B5:C5"/>
    <mergeCell ref="D5:E5"/>
    <mergeCell ref="F5:G5"/>
    <mergeCell ref="H5:I5"/>
    <mergeCell ref="A7:I7"/>
  </mergeCells>
  <pageMargins left="0.405092592592593" right="0.47453703703703698" top="0.55118110236220497" bottom="0.94488188976377996" header="0.31496062992126" footer="0.31496062992126"/>
  <pageSetup fitToHeight="0" orientation="landscape" r:id="rId1"/>
  <headerFooter scaleWithDoc="0">
    <oddHeader>&amp;C&amp;G</oddHeader>
    <oddFooter>&amp;C&amp;G&amp;R&amp;P</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70">
    <tabColor rgb="FFFF0000"/>
    <pageSetUpPr fitToPage="1"/>
  </sheetPr>
  <dimension ref="A1:K35"/>
  <sheetViews>
    <sheetView showGridLines="0" view="pageLayout" zoomScale="107" zoomScaleNormal="100" zoomScalePageLayoutView="107" workbookViewId="0">
      <selection activeCell="A6" sqref="A6"/>
    </sheetView>
  </sheetViews>
  <sheetFormatPr baseColWidth="10" defaultColWidth="9.1640625" defaultRowHeight="15"/>
  <cols>
    <col min="1" max="1" width="9.6640625" customWidth="1"/>
    <col min="2" max="3" width="13.83203125" customWidth="1"/>
    <col min="4" max="4" width="10.83203125" bestFit="1" customWidth="1"/>
    <col min="5" max="6" width="13.83203125" customWidth="1"/>
    <col min="7" max="7" width="10.83203125" bestFit="1" customWidth="1"/>
    <col min="8" max="9" width="13.83203125" customWidth="1"/>
    <col min="10" max="10" width="10.5" bestFit="1" customWidth="1"/>
  </cols>
  <sheetData>
    <row r="1" spans="1:11" ht="21.75" customHeight="1"/>
    <row r="2" spans="1:11" s="1" customFormat="1" ht="11.5" customHeight="1">
      <c r="A2" s="1004" t="s">
        <v>21</v>
      </c>
      <c r="B2" s="1004"/>
      <c r="C2" s="1004"/>
      <c r="D2" s="1004"/>
      <c r="E2" s="1004"/>
      <c r="F2" s="1004"/>
      <c r="G2" s="1004"/>
      <c r="H2" s="1004"/>
      <c r="I2" s="1004"/>
      <c r="J2" s="1004"/>
      <c r="K2" s="230"/>
    </row>
    <row r="3" spans="1:11" s="1" customFormat="1" ht="15" customHeight="1">
      <c r="A3" s="1004"/>
      <c r="B3" s="1004"/>
      <c r="C3" s="1004"/>
      <c r="D3" s="1004"/>
      <c r="E3" s="1004"/>
      <c r="F3" s="1004"/>
      <c r="G3" s="1004"/>
      <c r="H3" s="1004"/>
      <c r="I3" s="1004"/>
      <c r="J3" s="1004"/>
      <c r="K3" s="230"/>
    </row>
    <row r="4" spans="1:11" s="1" customFormat="1" ht="4.5" customHeight="1">
      <c r="A4" s="17"/>
      <c r="B4" s="17"/>
      <c r="C4" s="17"/>
      <c r="D4" s="17"/>
      <c r="E4" s="17"/>
      <c r="F4" s="17"/>
      <c r="G4" s="17"/>
      <c r="H4" s="17"/>
      <c r="I4" s="17"/>
      <c r="J4" s="17"/>
    </row>
    <row r="5" spans="1:11" s="1" customFormat="1" ht="13.5" customHeight="1">
      <c r="A5" s="23"/>
      <c r="B5" s="1045" t="s">
        <v>40</v>
      </c>
      <c r="C5" s="1045"/>
      <c r="D5" s="1194"/>
      <c r="E5" s="1047" t="s">
        <v>140</v>
      </c>
      <c r="F5" s="1045"/>
      <c r="G5" s="1046"/>
      <c r="H5" s="1047" t="s">
        <v>16</v>
      </c>
      <c r="I5" s="1045"/>
      <c r="J5" s="1045"/>
    </row>
    <row r="6" spans="1:11" s="1" customFormat="1" ht="15" customHeight="1">
      <c r="A6" s="23"/>
      <c r="B6" s="513" t="s">
        <v>35</v>
      </c>
      <c r="C6" s="514" t="s">
        <v>138</v>
      </c>
      <c r="D6" s="515" t="s">
        <v>103</v>
      </c>
      <c r="E6" s="513" t="s">
        <v>35</v>
      </c>
      <c r="F6" s="514" t="s">
        <v>138</v>
      </c>
      <c r="G6" s="515" t="s">
        <v>103</v>
      </c>
      <c r="H6" s="513" t="s">
        <v>35</v>
      </c>
      <c r="I6" s="514" t="s">
        <v>138</v>
      </c>
      <c r="J6" s="515" t="s">
        <v>103</v>
      </c>
    </row>
    <row r="7" spans="1:11" s="1" customFormat="1" ht="13.5" customHeight="1">
      <c r="A7" s="1191" t="s">
        <v>74</v>
      </c>
      <c r="B7" s="1192"/>
      <c r="C7" s="1192"/>
      <c r="D7" s="1192"/>
      <c r="E7" s="1192"/>
      <c r="F7" s="1192"/>
      <c r="G7" s="1192"/>
      <c r="H7" s="1192"/>
      <c r="I7" s="1192"/>
      <c r="J7" s="1193"/>
    </row>
    <row r="8" spans="1:11" s="1" customFormat="1" ht="15" customHeight="1">
      <c r="A8" s="794" t="str">
        <f>'Monthly Breakdown Pooled'!A8</f>
        <v>[MM/YY]</v>
      </c>
      <c r="B8" s="508"/>
      <c r="C8" s="509"/>
      <c r="D8" s="520" t="e">
        <f t="shared" ref="D8:D20" si="0">C8/B8</f>
        <v>#DIV/0!</v>
      </c>
      <c r="E8" s="508"/>
      <c r="F8" s="509"/>
      <c r="G8" s="520" t="e">
        <f t="shared" ref="G8:G20" si="1">F8/E8</f>
        <v>#DIV/0!</v>
      </c>
      <c r="H8" s="508"/>
      <c r="I8" s="509"/>
      <c r="J8" s="520" t="e">
        <f t="shared" ref="J8:J20" si="2">I8/H8</f>
        <v>#DIV/0!</v>
      </c>
    </row>
    <row r="9" spans="1:11" s="1" customFormat="1" ht="15" customHeight="1">
      <c r="A9" s="794" t="str">
        <f>'Monthly Breakdown Pooled'!A9</f>
        <v>[MM/YY]</v>
      </c>
      <c r="B9" s="508"/>
      <c r="C9" s="509"/>
      <c r="D9" s="520" t="e">
        <f t="shared" si="0"/>
        <v>#DIV/0!</v>
      </c>
      <c r="E9" s="508"/>
      <c r="F9" s="509"/>
      <c r="G9" s="520" t="e">
        <f t="shared" si="1"/>
        <v>#DIV/0!</v>
      </c>
      <c r="H9" s="508"/>
      <c r="I9" s="509"/>
      <c r="J9" s="520" t="e">
        <f t="shared" si="2"/>
        <v>#DIV/0!</v>
      </c>
    </row>
    <row r="10" spans="1:11" s="1" customFormat="1" ht="15" customHeight="1">
      <c r="A10" s="794" t="str">
        <f>'Monthly Breakdown Pooled'!A10</f>
        <v>[MM/YY]</v>
      </c>
      <c r="B10" s="508"/>
      <c r="C10" s="509"/>
      <c r="D10" s="520" t="e">
        <f t="shared" si="0"/>
        <v>#DIV/0!</v>
      </c>
      <c r="E10" s="508"/>
      <c r="F10" s="509"/>
      <c r="G10" s="520" t="e">
        <f t="shared" si="1"/>
        <v>#DIV/0!</v>
      </c>
      <c r="H10" s="508"/>
      <c r="I10" s="509"/>
      <c r="J10" s="520" t="e">
        <f t="shared" si="2"/>
        <v>#DIV/0!</v>
      </c>
    </row>
    <row r="11" spans="1:11" s="1" customFormat="1" ht="15" customHeight="1">
      <c r="A11" s="794" t="str">
        <f>'Monthly Breakdown Pooled'!A11</f>
        <v>[MM/YY]</v>
      </c>
      <c r="B11" s="508"/>
      <c r="C11" s="509"/>
      <c r="D11" s="520" t="e">
        <f t="shared" si="0"/>
        <v>#DIV/0!</v>
      </c>
      <c r="E11" s="508"/>
      <c r="F11" s="509"/>
      <c r="G11" s="520" t="e">
        <f t="shared" si="1"/>
        <v>#DIV/0!</v>
      </c>
      <c r="H11" s="508"/>
      <c r="I11" s="509"/>
      <c r="J11" s="520" t="e">
        <f t="shared" si="2"/>
        <v>#DIV/0!</v>
      </c>
    </row>
    <row r="12" spans="1:11" s="1" customFormat="1" ht="15" customHeight="1">
      <c r="A12" s="794" t="str">
        <f>'Monthly Breakdown Pooled'!A12</f>
        <v>[MM/YY]</v>
      </c>
      <c r="B12" s="508"/>
      <c r="C12" s="509"/>
      <c r="D12" s="520" t="e">
        <f t="shared" si="0"/>
        <v>#DIV/0!</v>
      </c>
      <c r="E12" s="508"/>
      <c r="F12" s="509"/>
      <c r="G12" s="520" t="e">
        <f t="shared" si="1"/>
        <v>#DIV/0!</v>
      </c>
      <c r="H12" s="508"/>
      <c r="I12" s="509"/>
      <c r="J12" s="520" t="e">
        <f t="shared" si="2"/>
        <v>#DIV/0!</v>
      </c>
    </row>
    <row r="13" spans="1:11" s="1" customFormat="1" ht="15" customHeight="1">
      <c r="A13" s="794" t="str">
        <f>'Monthly Breakdown Pooled'!A13</f>
        <v>[MM/YY]</v>
      </c>
      <c r="B13" s="508"/>
      <c r="C13" s="509"/>
      <c r="D13" s="520" t="e">
        <f t="shared" si="0"/>
        <v>#DIV/0!</v>
      </c>
      <c r="E13" s="508"/>
      <c r="F13" s="509"/>
      <c r="G13" s="520" t="e">
        <f t="shared" si="1"/>
        <v>#DIV/0!</v>
      </c>
      <c r="H13" s="508"/>
      <c r="I13" s="509"/>
      <c r="J13" s="520" t="e">
        <f t="shared" si="2"/>
        <v>#DIV/0!</v>
      </c>
    </row>
    <row r="14" spans="1:11" s="1" customFormat="1" ht="15" customHeight="1">
      <c r="A14" s="794" t="str">
        <f>'Monthly Breakdown Pooled'!A14</f>
        <v>[MM/YY]</v>
      </c>
      <c r="B14" s="508"/>
      <c r="C14" s="509"/>
      <c r="D14" s="520" t="e">
        <f t="shared" si="0"/>
        <v>#DIV/0!</v>
      </c>
      <c r="E14" s="508"/>
      <c r="F14" s="509"/>
      <c r="G14" s="520" t="e">
        <f t="shared" si="1"/>
        <v>#DIV/0!</v>
      </c>
      <c r="H14" s="508"/>
      <c r="I14" s="509"/>
      <c r="J14" s="520" t="e">
        <f t="shared" si="2"/>
        <v>#DIV/0!</v>
      </c>
    </row>
    <row r="15" spans="1:11" s="1" customFormat="1" ht="15" customHeight="1">
      <c r="A15" s="794" t="str">
        <f>'Monthly Breakdown Pooled'!A15</f>
        <v>[MM/YY]</v>
      </c>
      <c r="B15" s="508"/>
      <c r="C15" s="509"/>
      <c r="D15" s="520" t="e">
        <f t="shared" si="0"/>
        <v>#DIV/0!</v>
      </c>
      <c r="E15" s="508"/>
      <c r="F15" s="509"/>
      <c r="G15" s="520" t="e">
        <f t="shared" si="1"/>
        <v>#DIV/0!</v>
      </c>
      <c r="H15" s="508"/>
      <c r="I15" s="509"/>
      <c r="J15" s="520" t="e">
        <f t="shared" si="2"/>
        <v>#DIV/0!</v>
      </c>
    </row>
    <row r="16" spans="1:11" s="1" customFormat="1" ht="15" customHeight="1">
      <c r="A16" s="794" t="str">
        <f>'Monthly Breakdown Pooled'!A16</f>
        <v>[MM/YY]</v>
      </c>
      <c r="B16" s="508"/>
      <c r="C16" s="509"/>
      <c r="D16" s="520" t="e">
        <f t="shared" si="0"/>
        <v>#DIV/0!</v>
      </c>
      <c r="E16" s="508"/>
      <c r="F16" s="509"/>
      <c r="G16" s="520" t="e">
        <f t="shared" si="1"/>
        <v>#DIV/0!</v>
      </c>
      <c r="H16" s="508"/>
      <c r="I16" s="509"/>
      <c r="J16" s="520" t="e">
        <f t="shared" si="2"/>
        <v>#DIV/0!</v>
      </c>
    </row>
    <row r="17" spans="1:10" s="1" customFormat="1" ht="15" customHeight="1">
      <c r="A17" s="794" t="str">
        <f>'Monthly Breakdown Pooled'!A17</f>
        <v>[MM/YY]</v>
      </c>
      <c r="B17" s="508"/>
      <c r="C17" s="509"/>
      <c r="D17" s="520" t="e">
        <f t="shared" si="0"/>
        <v>#DIV/0!</v>
      </c>
      <c r="E17" s="508"/>
      <c r="F17" s="509"/>
      <c r="G17" s="520" t="e">
        <f t="shared" si="1"/>
        <v>#DIV/0!</v>
      </c>
      <c r="H17" s="508"/>
      <c r="I17" s="509"/>
      <c r="J17" s="520" t="e">
        <f t="shared" si="2"/>
        <v>#DIV/0!</v>
      </c>
    </row>
    <row r="18" spans="1:10" s="1" customFormat="1" ht="15" customHeight="1">
      <c r="A18" s="794" t="str">
        <f>'Monthly Breakdown Pooled'!A18</f>
        <v>[MM/YY]</v>
      </c>
      <c r="B18" s="508"/>
      <c r="C18" s="509"/>
      <c r="D18" s="520" t="e">
        <f t="shared" si="0"/>
        <v>#DIV/0!</v>
      </c>
      <c r="E18" s="508"/>
      <c r="F18" s="509"/>
      <c r="G18" s="520" t="e">
        <f t="shared" si="1"/>
        <v>#DIV/0!</v>
      </c>
      <c r="H18" s="508"/>
      <c r="I18" s="509"/>
      <c r="J18" s="520" t="e">
        <f t="shared" si="2"/>
        <v>#DIV/0!</v>
      </c>
    </row>
    <row r="19" spans="1:10" s="1" customFormat="1" ht="15" customHeight="1">
      <c r="A19" s="794" t="str">
        <f>'Monthly Breakdown Pooled'!A19</f>
        <v>[MM/YY]</v>
      </c>
      <c r="B19" s="508"/>
      <c r="C19" s="509"/>
      <c r="D19" s="520" t="e">
        <f t="shared" si="0"/>
        <v>#DIV/0!</v>
      </c>
      <c r="E19" s="508"/>
      <c r="F19" s="509"/>
      <c r="G19" s="520" t="e">
        <f t="shared" si="1"/>
        <v>#DIV/0!</v>
      </c>
      <c r="H19" s="508"/>
      <c r="I19" s="509"/>
      <c r="J19" s="520" t="e">
        <f t="shared" si="2"/>
        <v>#DIV/0!</v>
      </c>
    </row>
    <row r="20" spans="1:10" s="1" customFormat="1" ht="15" customHeight="1">
      <c r="A20" s="519" t="s">
        <v>66</v>
      </c>
      <c r="B20" s="517">
        <f t="shared" ref="B20:I20" si="3">SUM(B8:B19)</f>
        <v>0</v>
      </c>
      <c r="C20" s="517">
        <f t="shared" si="3"/>
        <v>0</v>
      </c>
      <c r="D20" s="518" t="e">
        <f t="shared" si="0"/>
        <v>#DIV/0!</v>
      </c>
      <c r="E20" s="517">
        <f t="shared" si="3"/>
        <v>0</v>
      </c>
      <c r="F20" s="517">
        <f t="shared" si="3"/>
        <v>0</v>
      </c>
      <c r="G20" s="518" t="e">
        <f t="shared" si="1"/>
        <v>#DIV/0!</v>
      </c>
      <c r="H20" s="517">
        <f t="shared" si="3"/>
        <v>0</v>
      </c>
      <c r="I20" s="517">
        <f t="shared" si="3"/>
        <v>0</v>
      </c>
      <c r="J20" s="516" t="e">
        <f t="shared" si="2"/>
        <v>#DIV/0!</v>
      </c>
    </row>
    <row r="21" spans="1:10" s="1" customFormat="1" ht="5" customHeight="1">
      <c r="A21" s="1187"/>
      <c r="B21" s="1187"/>
      <c r="C21" s="1187"/>
      <c r="D21" s="1187"/>
      <c r="E21" s="1187"/>
      <c r="F21" s="1187"/>
      <c r="G21" s="1187"/>
      <c r="H21" s="1187"/>
      <c r="I21" s="1187"/>
      <c r="J21" s="17"/>
    </row>
    <row r="22" spans="1:10" s="1" customFormat="1" ht="13.5" customHeight="1">
      <c r="A22" s="1191" t="s">
        <v>31</v>
      </c>
      <c r="B22" s="1192"/>
      <c r="C22" s="1192"/>
      <c r="D22" s="1192"/>
      <c r="E22" s="1192"/>
      <c r="F22" s="1192"/>
      <c r="G22" s="1192"/>
      <c r="H22" s="1192"/>
      <c r="I22" s="1192"/>
      <c r="J22" s="1193"/>
    </row>
    <row r="23" spans="1:10" s="1" customFormat="1" ht="15" customHeight="1">
      <c r="A23" s="794" t="str">
        <f>'Monthly Breakdown Pooled'!A23</f>
        <v>[MM/YY]</v>
      </c>
      <c r="B23" s="508"/>
      <c r="C23" s="509"/>
      <c r="D23" s="520" t="e">
        <f t="shared" ref="D23:D35" si="4">C23/B23</f>
        <v>#DIV/0!</v>
      </c>
      <c r="E23" s="508"/>
      <c r="F23" s="509"/>
      <c r="G23" s="520" t="e">
        <f t="shared" ref="G23:G35" si="5">F23/E23</f>
        <v>#DIV/0!</v>
      </c>
      <c r="H23" s="508"/>
      <c r="I23" s="509"/>
      <c r="J23" s="520" t="e">
        <f t="shared" ref="J23:J35" si="6">I23/H23</f>
        <v>#DIV/0!</v>
      </c>
    </row>
    <row r="24" spans="1:10" s="1" customFormat="1" ht="15" customHeight="1">
      <c r="A24" s="794" t="str">
        <f>'Monthly Breakdown Pooled'!A24</f>
        <v>[MM/YY]</v>
      </c>
      <c r="B24" s="508"/>
      <c r="C24" s="509"/>
      <c r="D24" s="520" t="e">
        <f t="shared" si="4"/>
        <v>#DIV/0!</v>
      </c>
      <c r="E24" s="508"/>
      <c r="F24" s="509"/>
      <c r="G24" s="520" t="e">
        <f t="shared" si="5"/>
        <v>#DIV/0!</v>
      </c>
      <c r="H24" s="508"/>
      <c r="I24" s="509"/>
      <c r="J24" s="520" t="e">
        <f t="shared" si="6"/>
        <v>#DIV/0!</v>
      </c>
    </row>
    <row r="25" spans="1:10" s="1" customFormat="1" ht="15" customHeight="1">
      <c r="A25" s="794" t="str">
        <f>'Monthly Breakdown Pooled'!A25</f>
        <v>[MM/YY]</v>
      </c>
      <c r="B25" s="508"/>
      <c r="C25" s="509"/>
      <c r="D25" s="520" t="e">
        <f t="shared" si="4"/>
        <v>#DIV/0!</v>
      </c>
      <c r="E25" s="508"/>
      <c r="F25" s="509"/>
      <c r="G25" s="520" t="e">
        <f t="shared" si="5"/>
        <v>#DIV/0!</v>
      </c>
      <c r="H25" s="508"/>
      <c r="I25" s="509"/>
      <c r="J25" s="520" t="e">
        <f t="shared" si="6"/>
        <v>#DIV/0!</v>
      </c>
    </row>
    <row r="26" spans="1:10" s="1" customFormat="1" ht="15" customHeight="1">
      <c r="A26" s="794" t="str">
        <f>'Monthly Breakdown Pooled'!A26</f>
        <v>[MM/YY]</v>
      </c>
      <c r="B26" s="508"/>
      <c r="C26" s="509"/>
      <c r="D26" s="520" t="e">
        <f t="shared" si="4"/>
        <v>#DIV/0!</v>
      </c>
      <c r="E26" s="508"/>
      <c r="F26" s="509"/>
      <c r="G26" s="520" t="e">
        <f t="shared" si="5"/>
        <v>#DIV/0!</v>
      </c>
      <c r="H26" s="508"/>
      <c r="I26" s="509"/>
      <c r="J26" s="520" t="e">
        <f t="shared" si="6"/>
        <v>#DIV/0!</v>
      </c>
    </row>
    <row r="27" spans="1:10" s="1" customFormat="1" ht="15" customHeight="1">
      <c r="A27" s="794" t="str">
        <f>'Monthly Breakdown Pooled'!A27</f>
        <v>[MM/YY]</v>
      </c>
      <c r="B27" s="508"/>
      <c r="C27" s="509"/>
      <c r="D27" s="520" t="e">
        <f t="shared" si="4"/>
        <v>#DIV/0!</v>
      </c>
      <c r="E27" s="508"/>
      <c r="F27" s="509"/>
      <c r="G27" s="520" t="e">
        <f t="shared" si="5"/>
        <v>#DIV/0!</v>
      </c>
      <c r="H27" s="508"/>
      <c r="I27" s="509"/>
      <c r="J27" s="520" t="e">
        <f t="shared" si="6"/>
        <v>#DIV/0!</v>
      </c>
    </row>
    <row r="28" spans="1:10" s="1" customFormat="1" ht="15" customHeight="1">
      <c r="A28" s="794" t="str">
        <f>'Monthly Breakdown Pooled'!A28</f>
        <v>[MM/YY]</v>
      </c>
      <c r="B28" s="508"/>
      <c r="C28" s="509"/>
      <c r="D28" s="520" t="e">
        <f t="shared" si="4"/>
        <v>#DIV/0!</v>
      </c>
      <c r="E28" s="508"/>
      <c r="F28" s="509"/>
      <c r="G28" s="520" t="e">
        <f t="shared" si="5"/>
        <v>#DIV/0!</v>
      </c>
      <c r="H28" s="508"/>
      <c r="I28" s="509"/>
      <c r="J28" s="520" t="e">
        <f t="shared" si="6"/>
        <v>#DIV/0!</v>
      </c>
    </row>
    <row r="29" spans="1:10" s="1" customFormat="1" ht="15" customHeight="1">
      <c r="A29" s="794" t="str">
        <f>'Monthly Breakdown Pooled'!A29</f>
        <v>[MM/YY]</v>
      </c>
      <c r="B29" s="508"/>
      <c r="C29" s="509"/>
      <c r="D29" s="520" t="e">
        <f t="shared" si="4"/>
        <v>#DIV/0!</v>
      </c>
      <c r="E29" s="508"/>
      <c r="F29" s="509"/>
      <c r="G29" s="520" t="e">
        <f t="shared" si="5"/>
        <v>#DIV/0!</v>
      </c>
      <c r="H29" s="508"/>
      <c r="I29" s="509"/>
      <c r="J29" s="520" t="e">
        <f t="shared" si="6"/>
        <v>#DIV/0!</v>
      </c>
    </row>
    <row r="30" spans="1:10" s="1" customFormat="1" ht="15" customHeight="1">
      <c r="A30" s="794" t="str">
        <f>'Monthly Breakdown Pooled'!A30</f>
        <v>[MM/YY]</v>
      </c>
      <c r="B30" s="508"/>
      <c r="C30" s="509"/>
      <c r="D30" s="520" t="e">
        <f t="shared" si="4"/>
        <v>#DIV/0!</v>
      </c>
      <c r="E30" s="508"/>
      <c r="F30" s="509"/>
      <c r="G30" s="520" t="e">
        <f t="shared" si="5"/>
        <v>#DIV/0!</v>
      </c>
      <c r="H30" s="508"/>
      <c r="I30" s="509"/>
      <c r="J30" s="520" t="e">
        <f t="shared" si="6"/>
        <v>#DIV/0!</v>
      </c>
    </row>
    <row r="31" spans="1:10" s="1" customFormat="1" ht="15" customHeight="1">
      <c r="A31" s="794" t="str">
        <f>'Monthly Breakdown Pooled'!A31</f>
        <v>[MM/YY]</v>
      </c>
      <c r="B31" s="508"/>
      <c r="C31" s="509"/>
      <c r="D31" s="520" t="e">
        <f t="shared" si="4"/>
        <v>#DIV/0!</v>
      </c>
      <c r="E31" s="508"/>
      <c r="F31" s="509"/>
      <c r="G31" s="520" t="e">
        <f t="shared" si="5"/>
        <v>#DIV/0!</v>
      </c>
      <c r="H31" s="508"/>
      <c r="I31" s="509"/>
      <c r="J31" s="520" t="e">
        <f t="shared" si="6"/>
        <v>#DIV/0!</v>
      </c>
    </row>
    <row r="32" spans="1:10" s="1" customFormat="1" ht="15" customHeight="1">
      <c r="A32" s="794" t="str">
        <f>'Monthly Breakdown Pooled'!A32</f>
        <v>[MM/YY]</v>
      </c>
      <c r="B32" s="508"/>
      <c r="C32" s="509"/>
      <c r="D32" s="520" t="e">
        <f t="shared" si="4"/>
        <v>#DIV/0!</v>
      </c>
      <c r="E32" s="508"/>
      <c r="F32" s="509"/>
      <c r="G32" s="520" t="e">
        <f t="shared" si="5"/>
        <v>#DIV/0!</v>
      </c>
      <c r="H32" s="508"/>
      <c r="I32" s="509"/>
      <c r="J32" s="520" t="e">
        <f t="shared" si="6"/>
        <v>#DIV/0!</v>
      </c>
    </row>
    <row r="33" spans="1:10">
      <c r="A33" s="794" t="str">
        <f>'Monthly Breakdown Pooled'!A33</f>
        <v>[MM/YY]</v>
      </c>
      <c r="B33" s="508"/>
      <c r="C33" s="509"/>
      <c r="D33" s="520" t="e">
        <f t="shared" si="4"/>
        <v>#DIV/0!</v>
      </c>
      <c r="E33" s="508"/>
      <c r="F33" s="509"/>
      <c r="G33" s="520" t="e">
        <f t="shared" si="5"/>
        <v>#DIV/0!</v>
      </c>
      <c r="H33" s="508"/>
      <c r="I33" s="509"/>
      <c r="J33" s="520" t="e">
        <f t="shared" si="6"/>
        <v>#DIV/0!</v>
      </c>
    </row>
    <row r="34" spans="1:10">
      <c r="A34" s="794" t="str">
        <f>'Monthly Breakdown Pooled'!A34</f>
        <v>[MM/YY]</v>
      </c>
      <c r="B34" s="508"/>
      <c r="C34" s="509"/>
      <c r="D34" s="520" t="e">
        <f t="shared" si="4"/>
        <v>#DIV/0!</v>
      </c>
      <c r="E34" s="508"/>
      <c r="F34" s="509"/>
      <c r="G34" s="520" t="e">
        <f t="shared" si="5"/>
        <v>#DIV/0!</v>
      </c>
      <c r="H34" s="508"/>
      <c r="I34" s="509"/>
      <c r="J34" s="520" t="e">
        <f t="shared" si="6"/>
        <v>#DIV/0!</v>
      </c>
    </row>
    <row r="35" spans="1:10">
      <c r="A35" s="519" t="s">
        <v>66</v>
      </c>
      <c r="B35" s="517">
        <f t="shared" ref="B35:I35" si="7">SUM(B23:B34)</f>
        <v>0</v>
      </c>
      <c r="C35" s="517">
        <f t="shared" si="7"/>
        <v>0</v>
      </c>
      <c r="D35" s="518" t="e">
        <f t="shared" si="4"/>
        <v>#DIV/0!</v>
      </c>
      <c r="E35" s="517">
        <f t="shared" si="7"/>
        <v>0</v>
      </c>
      <c r="F35" s="517">
        <f t="shared" si="7"/>
        <v>0</v>
      </c>
      <c r="G35" s="518" t="e">
        <f t="shared" si="5"/>
        <v>#DIV/0!</v>
      </c>
      <c r="H35" s="517">
        <f t="shared" si="7"/>
        <v>0</v>
      </c>
      <c r="I35" s="517">
        <f t="shared" si="7"/>
        <v>0</v>
      </c>
      <c r="J35" s="516" t="e">
        <f t="shared" si="6"/>
        <v>#DIV/0!</v>
      </c>
    </row>
  </sheetData>
  <mergeCells count="7">
    <mergeCell ref="A22:J22"/>
    <mergeCell ref="A2:J3"/>
    <mergeCell ref="A21:I21"/>
    <mergeCell ref="B5:D5"/>
    <mergeCell ref="E5:G5"/>
    <mergeCell ref="H5:J5"/>
    <mergeCell ref="A7:J7"/>
  </mergeCells>
  <pageMargins left="0.405092592592593" right="0.47453703703703698" top="0.55118110236220497" bottom="0.94488188976377996" header="0.31496062992126" footer="0.31496062992126"/>
  <pageSetup fitToHeight="0" orientation="landscape" r:id="rId1"/>
  <headerFooter scaleWithDoc="0">
    <oddHeader>&amp;C&amp;G</oddHeader>
    <oddFooter>&amp;C&amp;G&amp;R&amp;P</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22">
    <tabColor rgb="FF7030A0"/>
  </sheetPr>
  <dimension ref="A1:H22"/>
  <sheetViews>
    <sheetView showGridLines="0" view="pageLayout" zoomScaleNormal="100" workbookViewId="0">
      <selection activeCell="H10" sqref="H10"/>
    </sheetView>
  </sheetViews>
  <sheetFormatPr baseColWidth="10" defaultColWidth="9.1640625" defaultRowHeight="15"/>
  <cols>
    <col min="1" max="1" width="26.5" style="364" customWidth="1"/>
    <col min="2" max="2" width="13.33203125" style="364" customWidth="1"/>
    <col min="3" max="3" width="8" style="364" customWidth="1"/>
    <col min="4" max="4" width="2.5" style="364" customWidth="1"/>
    <col min="5" max="5" width="13.33203125" style="364" customWidth="1"/>
    <col min="6" max="6" width="8" style="364" customWidth="1"/>
    <col min="7" max="7" width="8.5" style="364" customWidth="1"/>
    <col min="8" max="8" width="1.5" style="364" customWidth="1"/>
    <col min="9" max="16384" width="9.1640625" style="364"/>
  </cols>
  <sheetData>
    <row r="1" spans="1:8" ht="20.25" customHeight="1"/>
    <row r="2" spans="1:8" s="1" customFormat="1" ht="28.5" customHeight="1">
      <c r="A2" s="600" t="s">
        <v>915</v>
      </c>
    </row>
    <row r="3" spans="1:8" s="1" customFormat="1" ht="3" customHeight="1"/>
    <row r="4" spans="1:8" s="1" customFormat="1" ht="15" customHeight="1">
      <c r="A4" s="1021" t="s">
        <v>916</v>
      </c>
      <c r="B4" s="1021"/>
      <c r="C4" s="1021"/>
      <c r="D4" s="1021"/>
      <c r="E4" s="1021"/>
      <c r="F4" s="1021"/>
      <c r="G4" s="1021"/>
      <c r="H4" s="1021"/>
    </row>
    <row r="5" spans="1:8" s="1" customFormat="1" ht="8.25" customHeight="1">
      <c r="A5" s="17"/>
      <c r="B5" s="17"/>
      <c r="C5" s="17"/>
      <c r="D5" s="17"/>
      <c r="E5" s="17"/>
      <c r="F5" s="17"/>
      <c r="G5" s="17"/>
      <c r="H5" s="17"/>
    </row>
    <row r="6" spans="1:8" ht="15.75" customHeight="1">
      <c r="A6" s="1170" t="s">
        <v>108</v>
      </c>
      <c r="B6" s="1169" t="s">
        <v>31</v>
      </c>
      <c r="C6" s="1158"/>
      <c r="D6" s="322"/>
      <c r="E6" s="1157" t="s">
        <v>74</v>
      </c>
      <c r="F6" s="1168"/>
      <c r="G6" s="1071" t="s">
        <v>36</v>
      </c>
      <c r="H6" s="322"/>
    </row>
    <row r="7" spans="1:8">
      <c r="A7" s="1170"/>
      <c r="B7" s="473" t="s">
        <v>832</v>
      </c>
      <c r="C7" s="482" t="s">
        <v>78</v>
      </c>
      <c r="D7" s="322"/>
      <c r="E7" s="812" t="s">
        <v>832</v>
      </c>
      <c r="F7" s="485" t="s">
        <v>78</v>
      </c>
      <c r="G7" s="1071"/>
      <c r="H7" s="322"/>
    </row>
    <row r="8" spans="1:8">
      <c r="A8" s="427" t="s">
        <v>917</v>
      </c>
      <c r="B8" s="884"/>
      <c r="C8" s="428" t="e">
        <f t="shared" ref="C8:C13" si="0">B8/B$14</f>
        <v>#DIV/0!</v>
      </c>
      <c r="D8" s="322"/>
      <c r="E8" s="884"/>
      <c r="F8" s="428" t="e">
        <f t="shared" ref="F8:F13" si="1">E8/E$14</f>
        <v>#DIV/0!</v>
      </c>
      <c r="G8" s="398" t="str">
        <f t="shared" ref="G8:G13" si="2">IFERROR(B8/E8-1,"n/a")</f>
        <v>n/a</v>
      </c>
      <c r="H8" s="322"/>
    </row>
    <row r="9" spans="1:8">
      <c r="A9" s="427" t="s">
        <v>918</v>
      </c>
      <c r="B9" s="884"/>
      <c r="C9" s="428" t="e">
        <f t="shared" si="0"/>
        <v>#DIV/0!</v>
      </c>
      <c r="D9" s="322"/>
      <c r="E9" s="884"/>
      <c r="F9" s="428" t="e">
        <f t="shared" si="1"/>
        <v>#DIV/0!</v>
      </c>
      <c r="G9" s="398" t="str">
        <f t="shared" si="2"/>
        <v>n/a</v>
      </c>
      <c r="H9" s="322"/>
    </row>
    <row r="10" spans="1:8">
      <c r="A10" s="427" t="s">
        <v>44</v>
      </c>
      <c r="B10" s="884"/>
      <c r="C10" s="428" t="e">
        <f t="shared" si="0"/>
        <v>#DIV/0!</v>
      </c>
      <c r="D10" s="322"/>
      <c r="E10" s="884"/>
      <c r="F10" s="428" t="e">
        <f t="shared" si="1"/>
        <v>#DIV/0!</v>
      </c>
      <c r="G10" s="398" t="str">
        <f t="shared" si="2"/>
        <v>n/a</v>
      </c>
      <c r="H10" s="322"/>
    </row>
    <row r="11" spans="1:8">
      <c r="A11" s="427" t="s">
        <v>112</v>
      </c>
      <c r="B11" s="884"/>
      <c r="C11" s="428" t="e">
        <f t="shared" si="0"/>
        <v>#DIV/0!</v>
      </c>
      <c r="D11" s="322"/>
      <c r="E11" s="884"/>
      <c r="F11" s="428" t="e">
        <f t="shared" si="1"/>
        <v>#DIV/0!</v>
      </c>
      <c r="G11" s="398" t="str">
        <f t="shared" si="2"/>
        <v>n/a</v>
      </c>
      <c r="H11" s="322"/>
    </row>
    <row r="12" spans="1:8">
      <c r="A12" s="427" t="s">
        <v>919</v>
      </c>
      <c r="B12" s="884"/>
      <c r="C12" s="428" t="e">
        <f t="shared" si="0"/>
        <v>#DIV/0!</v>
      </c>
      <c r="D12" s="322"/>
      <c r="E12" s="884"/>
      <c r="F12" s="428" t="e">
        <f t="shared" si="1"/>
        <v>#DIV/0!</v>
      </c>
      <c r="G12" s="398" t="str">
        <f t="shared" si="2"/>
        <v>n/a</v>
      </c>
      <c r="H12" s="322"/>
    </row>
    <row r="13" spans="1:8">
      <c r="A13" s="427"/>
      <c r="B13" s="884"/>
      <c r="C13" s="428" t="e">
        <f t="shared" si="0"/>
        <v>#DIV/0!</v>
      </c>
      <c r="D13" s="322"/>
      <c r="E13" s="884"/>
      <c r="F13" s="428" t="e">
        <f t="shared" si="1"/>
        <v>#DIV/0!</v>
      </c>
      <c r="G13" s="398" t="str">
        <f t="shared" si="2"/>
        <v>n/a</v>
      </c>
      <c r="H13" s="322"/>
    </row>
    <row r="14" spans="1:8">
      <c r="A14" s="932" t="s">
        <v>66</v>
      </c>
      <c r="B14" s="882">
        <f>SUM(B8:B13)</f>
        <v>0</v>
      </c>
      <c r="C14" s="821" t="e">
        <f>B14/B14</f>
        <v>#DIV/0!</v>
      </c>
      <c r="D14" s="322"/>
      <c r="E14" s="882">
        <f>SUM(E8:E13)</f>
        <v>0</v>
      </c>
      <c r="F14" s="821" t="e">
        <f>E14/E14</f>
        <v>#DIV/0!</v>
      </c>
      <c r="G14" s="822" t="e">
        <f t="shared" ref="G14:G17" si="3">B14/E14-1</f>
        <v>#DIV/0!</v>
      </c>
      <c r="H14" s="322"/>
    </row>
    <row r="15" spans="1:8" ht="7.5" customHeight="1">
      <c r="A15" s="468"/>
      <c r="B15" s="410"/>
      <c r="C15" s="410"/>
      <c r="D15" s="322"/>
      <c r="E15" s="410"/>
      <c r="F15" s="410"/>
      <c r="G15" s="469"/>
      <c r="H15" s="151"/>
    </row>
    <row r="16" spans="1:8" ht="16">
      <c r="A16" s="823" t="s">
        <v>115</v>
      </c>
      <c r="B16" s="1167">
        <f>'EHC Breakdown'!B16</f>
        <v>0</v>
      </c>
      <c r="C16" s="1167"/>
      <c r="D16" s="322"/>
      <c r="E16" s="1167">
        <f>'EHC Breakdown'!E16</f>
        <v>0</v>
      </c>
      <c r="F16" s="1167"/>
      <c r="G16" s="824" t="e">
        <f t="shared" si="3"/>
        <v>#DIV/0!</v>
      </c>
      <c r="H16" s="151"/>
    </row>
    <row r="17" spans="1:8">
      <c r="A17" s="823" t="s">
        <v>507</v>
      </c>
      <c r="B17" s="1165" t="e">
        <f>B14/B16</f>
        <v>#DIV/0!</v>
      </c>
      <c r="C17" s="1165"/>
      <c r="D17" s="322"/>
      <c r="E17" s="1165" t="e">
        <f>E14/E16</f>
        <v>#DIV/0!</v>
      </c>
      <c r="F17" s="1165"/>
      <c r="G17" s="824" t="e">
        <f t="shared" si="3"/>
        <v>#DIV/0!</v>
      </c>
      <c r="H17" s="12"/>
    </row>
    <row r="18" spans="1:8">
      <c r="A18" s="320"/>
      <c r="B18" s="321"/>
      <c r="C18" s="321"/>
      <c r="D18" s="322"/>
      <c r="E18" s="321"/>
      <c r="F18" s="321"/>
      <c r="G18" s="323"/>
      <c r="H18" s="12"/>
    </row>
    <row r="19" spans="1:8">
      <c r="A19" s="320"/>
      <c r="B19" s="321"/>
      <c r="C19" s="321"/>
      <c r="D19" s="322"/>
      <c r="E19" s="321"/>
      <c r="F19" s="321"/>
      <c r="G19" s="323"/>
      <c r="H19" s="12"/>
    </row>
    <row r="20" spans="1:8">
      <c r="A20" s="1014" t="s">
        <v>920</v>
      </c>
      <c r="B20" s="1014"/>
      <c r="C20" s="1014"/>
      <c r="D20" s="1014"/>
      <c r="E20" s="1014"/>
      <c r="F20" s="1014"/>
      <c r="G20" s="1014"/>
      <c r="H20" s="1014"/>
    </row>
    <row r="21" spans="1:8">
      <c r="A21" s="346"/>
      <c r="B21" s="346"/>
      <c r="C21" s="346"/>
      <c r="D21" s="346"/>
      <c r="E21" s="346"/>
      <c r="F21" s="346"/>
      <c r="G21" s="346"/>
    </row>
    <row r="22" spans="1:8">
      <c r="A22" s="346"/>
      <c r="B22" s="346"/>
      <c r="C22" s="346"/>
      <c r="D22" s="346"/>
      <c r="E22" s="346"/>
      <c r="F22" s="346"/>
      <c r="G22" s="346"/>
    </row>
  </sheetData>
  <mergeCells count="10">
    <mergeCell ref="A20:H20"/>
    <mergeCell ref="B16:C16"/>
    <mergeCell ref="E16:F16"/>
    <mergeCell ref="B17:C17"/>
    <mergeCell ref="E17:F17"/>
    <mergeCell ref="A4:H4"/>
    <mergeCell ref="A6:A7"/>
    <mergeCell ref="B6:C6"/>
    <mergeCell ref="E6:F6"/>
    <mergeCell ref="G6:G7"/>
  </mergeCells>
  <printOptions horizontalCentered="1"/>
  <pageMargins left="0.405092592592593" right="0.47453703703703698" top="0.55118110236220497" bottom="0.94488188976377996" header="0.31496062992126" footer="0.31496062992126"/>
  <pageSetup fitToWidth="0" orientation="portrait" r:id="rId1"/>
  <headerFooter scaleWithDoc="0">
    <oddHeader>&amp;C&amp;G</oddHeader>
    <oddFooter>&amp;C&amp;G&amp;R&amp;P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0000"/>
    <pageSetUpPr fitToPage="1"/>
  </sheetPr>
  <dimension ref="A1:J47"/>
  <sheetViews>
    <sheetView showGridLines="0" view="pageLayout" zoomScaleNormal="100" workbookViewId="0">
      <selection activeCell="A10" sqref="A10:I10"/>
    </sheetView>
  </sheetViews>
  <sheetFormatPr baseColWidth="10" defaultColWidth="9.1640625" defaultRowHeight="15"/>
  <cols>
    <col min="4" max="4" width="5.33203125" customWidth="1"/>
    <col min="7" max="7" width="7.5" customWidth="1"/>
    <col min="9" max="9" width="20.6640625" customWidth="1"/>
    <col min="10" max="10" width="5.6640625" customWidth="1"/>
  </cols>
  <sheetData>
    <row r="1" spans="1:10" ht="21.75" customHeight="1">
      <c r="I1" s="222"/>
    </row>
    <row r="2" spans="1:10" s="1" customFormat="1" ht="15" customHeight="1">
      <c r="A2" s="1004" t="s">
        <v>3</v>
      </c>
      <c r="B2" s="1005"/>
      <c r="C2" s="1005"/>
      <c r="D2" s="3"/>
      <c r="E2" s="3"/>
      <c r="F2" s="3"/>
      <c r="G2" s="3"/>
      <c r="H2" s="3"/>
      <c r="I2" s="3"/>
      <c r="J2" s="3"/>
    </row>
    <row r="3" spans="1:10" s="1" customFormat="1" ht="15" customHeight="1">
      <c r="A3" s="1005"/>
      <c r="B3" s="1005"/>
      <c r="C3" s="1005"/>
      <c r="D3" s="3"/>
      <c r="E3" s="3"/>
      <c r="F3" s="3"/>
      <c r="G3" s="3"/>
      <c r="H3" s="3"/>
      <c r="I3" s="3"/>
      <c r="J3" s="3"/>
    </row>
    <row r="4" spans="1:10" s="1" customFormat="1" ht="12" customHeight="1">
      <c r="A4" s="3"/>
      <c r="B4" s="3"/>
      <c r="C4" s="3"/>
      <c r="D4" s="3"/>
      <c r="E4" s="3"/>
      <c r="F4" s="3"/>
      <c r="G4" s="3"/>
      <c r="H4" s="3"/>
      <c r="I4" s="3"/>
      <c r="J4" s="3"/>
    </row>
    <row r="5" spans="1:10" s="1" customFormat="1" ht="15" customHeight="1">
      <c r="A5" s="6" t="s">
        <v>381</v>
      </c>
      <c r="B5" s="412"/>
      <c r="C5" s="412"/>
      <c r="D5" s="5"/>
      <c r="E5" s="5"/>
      <c r="F5" s="5"/>
      <c r="G5" s="5"/>
      <c r="H5" s="5"/>
      <c r="I5" s="5"/>
      <c r="J5" s="6">
        <v>3</v>
      </c>
    </row>
    <row r="6" spans="1:10" s="1" customFormat="1" ht="15" customHeight="1">
      <c r="A6" s="6" t="s">
        <v>382</v>
      </c>
      <c r="B6" s="412"/>
      <c r="C6" s="412"/>
      <c r="D6" s="5"/>
      <c r="E6" s="5"/>
      <c r="F6" s="5"/>
      <c r="G6" s="5"/>
      <c r="H6" s="5"/>
      <c r="I6" s="5"/>
      <c r="J6" s="6">
        <f>J5+1</f>
        <v>4</v>
      </c>
    </row>
    <row r="7" spans="1:10" s="1" customFormat="1" ht="15" customHeight="1">
      <c r="A7" s="6" t="s">
        <v>383</v>
      </c>
      <c r="B7" s="412"/>
      <c r="C7" s="412"/>
      <c r="D7" s="5"/>
      <c r="E7" s="5"/>
      <c r="F7" s="5"/>
      <c r="G7" s="5"/>
      <c r="H7" s="5"/>
      <c r="I7" s="5"/>
      <c r="J7" s="6">
        <f>J6+1</f>
        <v>5</v>
      </c>
    </row>
    <row r="8" spans="1:10" s="1" customFormat="1" ht="15" customHeight="1">
      <c r="A8" s="1002" t="s">
        <v>629</v>
      </c>
      <c r="B8" s="1002"/>
      <c r="C8" s="1002"/>
      <c r="D8" s="1002"/>
      <c r="E8" s="1002"/>
      <c r="F8" s="1002"/>
      <c r="G8" s="1002"/>
      <c r="H8" s="1002"/>
      <c r="I8" s="1002"/>
      <c r="J8" s="413">
        <v>6</v>
      </c>
    </row>
    <row r="9" spans="1:10" s="1" customFormat="1" ht="15" hidden="1" customHeight="1">
      <c r="A9" s="1002" t="s">
        <v>384</v>
      </c>
      <c r="B9" s="1002"/>
      <c r="C9" s="1002"/>
      <c r="D9" s="1002"/>
      <c r="E9" s="1002"/>
      <c r="F9" s="1002"/>
      <c r="G9" s="1002"/>
      <c r="H9" s="1002"/>
      <c r="I9" s="1002"/>
      <c r="J9" s="413">
        <v>7</v>
      </c>
    </row>
    <row r="10" spans="1:10">
      <c r="A10" s="1002" t="s">
        <v>703</v>
      </c>
      <c r="B10" s="1002"/>
      <c r="C10" s="1002"/>
      <c r="D10" s="1002"/>
      <c r="E10" s="1002"/>
      <c r="F10" s="1002"/>
      <c r="G10" s="1002"/>
      <c r="H10" s="1002"/>
      <c r="I10" s="1002"/>
      <c r="J10" s="413">
        <v>8</v>
      </c>
    </row>
    <row r="11" spans="1:10">
      <c r="A11" s="1002" t="s">
        <v>370</v>
      </c>
      <c r="B11" s="1002"/>
      <c r="C11" s="1002"/>
      <c r="D11" s="1002"/>
      <c r="E11" s="1002"/>
      <c r="F11" s="1002"/>
      <c r="G11" s="1002"/>
      <c r="H11" s="1002"/>
      <c r="I11" s="1002"/>
      <c r="J11" s="413">
        <f>J10+1</f>
        <v>9</v>
      </c>
    </row>
    <row r="12" spans="1:10" ht="15" customHeight="1">
      <c r="A12" s="1002" t="s">
        <v>385</v>
      </c>
      <c r="B12" s="1002"/>
      <c r="C12" s="1002"/>
      <c r="D12" s="1002"/>
      <c r="E12" s="1002"/>
      <c r="F12" s="1002"/>
      <c r="G12" s="1002"/>
      <c r="H12" s="1002"/>
      <c r="I12" s="1002"/>
      <c r="J12" s="6">
        <f>J11+2</f>
        <v>11</v>
      </c>
    </row>
    <row r="13" spans="1:10" ht="15" customHeight="1">
      <c r="A13" s="6" t="s">
        <v>993</v>
      </c>
      <c r="B13" s="6"/>
      <c r="C13" s="6"/>
      <c r="D13" s="6"/>
      <c r="E13" s="6"/>
      <c r="F13" s="6"/>
      <c r="G13" s="6"/>
      <c r="H13" s="6"/>
      <c r="I13" s="6"/>
      <c r="J13" s="6">
        <f>J12+1</f>
        <v>12</v>
      </c>
    </row>
    <row r="14" spans="1:10">
      <c r="A14" s="1002" t="s">
        <v>371</v>
      </c>
      <c r="B14" s="1002"/>
      <c r="C14" s="1002"/>
      <c r="D14" s="1002"/>
      <c r="E14" s="1002"/>
      <c r="F14" s="1002"/>
      <c r="G14" s="1002"/>
      <c r="H14" s="1002"/>
      <c r="I14" s="1002"/>
      <c r="J14" s="6">
        <v>13</v>
      </c>
    </row>
    <row r="15" spans="1:10">
      <c r="A15" s="1002" t="s">
        <v>372</v>
      </c>
      <c r="B15" s="1002"/>
      <c r="C15" s="1002"/>
      <c r="D15" s="1002"/>
      <c r="E15" s="1002"/>
      <c r="F15" s="1002"/>
      <c r="G15" s="1002"/>
      <c r="H15" s="1002"/>
      <c r="I15" s="1002"/>
      <c r="J15" s="6">
        <f>J14+1</f>
        <v>14</v>
      </c>
    </row>
    <row r="16" spans="1:10">
      <c r="A16" s="5"/>
      <c r="B16" s="1002" t="s">
        <v>373</v>
      </c>
      <c r="C16" s="1002"/>
      <c r="D16" s="1002"/>
      <c r="E16" s="1002"/>
      <c r="F16" s="1002"/>
      <c r="G16" s="1002"/>
      <c r="H16" s="1002"/>
      <c r="I16" s="1002"/>
      <c r="J16" s="6">
        <f>J14+1</f>
        <v>14</v>
      </c>
    </row>
    <row r="17" spans="1:10">
      <c r="A17" s="5"/>
      <c r="B17" s="1002" t="s">
        <v>386</v>
      </c>
      <c r="C17" s="1002"/>
      <c r="D17" s="1002"/>
      <c r="E17" s="1002"/>
      <c r="F17" s="1002"/>
      <c r="G17" s="1002"/>
      <c r="H17" s="1002"/>
      <c r="I17" s="1002"/>
      <c r="J17" s="6">
        <f>J16+1</f>
        <v>15</v>
      </c>
    </row>
    <row r="18" spans="1:10">
      <c r="A18" s="5"/>
      <c r="B18" s="1002" t="s">
        <v>404</v>
      </c>
      <c r="C18" s="1002"/>
      <c r="D18" s="1002"/>
      <c r="E18" s="1002"/>
      <c r="F18" s="1002"/>
      <c r="G18" s="1002"/>
      <c r="H18" s="1002"/>
      <c r="I18" s="1002"/>
      <c r="J18" s="6">
        <f>J16+1</f>
        <v>15</v>
      </c>
    </row>
    <row r="19" spans="1:10">
      <c r="A19" s="5"/>
      <c r="B19" s="1002" t="s">
        <v>403</v>
      </c>
      <c r="C19" s="1002"/>
      <c r="D19" s="1002"/>
      <c r="E19" s="1002"/>
      <c r="F19" s="1002"/>
      <c r="G19" s="1002"/>
      <c r="H19" s="1002"/>
      <c r="I19" s="1002"/>
      <c r="J19" s="6">
        <f>J18+1</f>
        <v>16</v>
      </c>
    </row>
    <row r="20" spans="1:10" ht="15" customHeight="1">
      <c r="A20" s="1002" t="s">
        <v>374</v>
      </c>
      <c r="B20" s="1002"/>
      <c r="C20" s="1002"/>
      <c r="D20" s="1002"/>
      <c r="E20" s="1002"/>
      <c r="F20" s="1002"/>
      <c r="G20" s="1002"/>
      <c r="H20" s="1002"/>
      <c r="I20" s="1002"/>
      <c r="J20" s="6">
        <f>J19+1</f>
        <v>17</v>
      </c>
    </row>
    <row r="21" spans="1:10" ht="15" customHeight="1">
      <c r="A21" s="5"/>
      <c r="B21" s="1002" t="s">
        <v>388</v>
      </c>
      <c r="C21" s="1002"/>
      <c r="D21" s="1002"/>
      <c r="E21" s="1002"/>
      <c r="F21" s="1002"/>
      <c r="G21" s="1002"/>
      <c r="H21" s="1002"/>
      <c r="I21" s="1002"/>
      <c r="J21" s="6">
        <f>+J19+1</f>
        <v>17</v>
      </c>
    </row>
    <row r="22" spans="1:10">
      <c r="A22" s="5"/>
      <c r="B22" s="1002" t="s">
        <v>387</v>
      </c>
      <c r="C22" s="1002"/>
      <c r="D22" s="1002"/>
      <c r="E22" s="1002"/>
      <c r="F22" s="1002"/>
      <c r="G22" s="1002"/>
      <c r="H22" s="1002"/>
      <c r="I22" s="1002"/>
      <c r="J22" s="6">
        <f>J21+1</f>
        <v>18</v>
      </c>
    </row>
    <row r="23" spans="1:10">
      <c r="A23" s="5"/>
      <c r="B23" s="1002" t="s">
        <v>375</v>
      </c>
      <c r="C23" s="1003"/>
      <c r="D23" s="1002"/>
      <c r="E23" s="1002"/>
      <c r="F23" s="1002"/>
      <c r="G23" s="1002"/>
      <c r="H23" s="1002"/>
      <c r="I23" s="1002"/>
      <c r="J23" s="6">
        <f>J22+1</f>
        <v>19</v>
      </c>
    </row>
    <row r="24" spans="1:10" hidden="1">
      <c r="A24" s="5"/>
      <c r="B24" s="1002" t="s">
        <v>548</v>
      </c>
      <c r="C24" s="1002"/>
      <c r="D24" s="1002"/>
      <c r="E24" s="1002"/>
      <c r="F24" s="1002"/>
      <c r="G24" s="1002"/>
      <c r="H24" s="1002"/>
      <c r="I24" s="1002"/>
      <c r="J24" s="6">
        <v>20</v>
      </c>
    </row>
    <row r="25" spans="1:10">
      <c r="A25" s="5"/>
      <c r="B25" s="1002" t="s">
        <v>376</v>
      </c>
      <c r="C25" s="1002"/>
      <c r="D25" s="1002"/>
      <c r="E25" s="1002"/>
      <c r="F25" s="1002"/>
      <c r="G25" s="1002"/>
      <c r="H25" s="1002"/>
      <c r="I25" s="1002"/>
      <c r="J25" s="6">
        <v>21</v>
      </c>
    </row>
    <row r="26" spans="1:10">
      <c r="A26" s="5"/>
      <c r="B26" s="1002" t="s">
        <v>377</v>
      </c>
      <c r="C26" s="1002"/>
      <c r="D26" s="1002"/>
      <c r="E26" s="1002"/>
      <c r="F26" s="1002"/>
      <c r="G26" s="1002"/>
      <c r="H26" s="1002"/>
      <c r="I26" s="1002"/>
      <c r="J26" s="6">
        <f>J25+1</f>
        <v>22</v>
      </c>
    </row>
    <row r="27" spans="1:10">
      <c r="A27" s="5"/>
      <c r="B27" s="1002" t="s">
        <v>378</v>
      </c>
      <c r="C27" s="1002"/>
      <c r="D27" s="1002"/>
      <c r="E27" s="1002"/>
      <c r="F27" s="1002"/>
      <c r="G27" s="1002"/>
      <c r="H27" s="1002"/>
      <c r="I27" s="1002"/>
      <c r="J27" s="6">
        <f>J26+1</f>
        <v>23</v>
      </c>
    </row>
    <row r="28" spans="1:10">
      <c r="A28" s="5"/>
      <c r="B28" s="1002" t="s">
        <v>389</v>
      </c>
      <c r="C28" s="1002"/>
      <c r="D28" s="1002"/>
      <c r="E28" s="1002"/>
      <c r="F28" s="1002"/>
      <c r="G28" s="1002"/>
      <c r="H28" s="1002"/>
      <c r="I28" s="1002"/>
      <c r="J28" s="6">
        <f>J26+1</f>
        <v>23</v>
      </c>
    </row>
    <row r="29" spans="1:10">
      <c r="A29" s="1002" t="s">
        <v>379</v>
      </c>
      <c r="B29" s="1002"/>
      <c r="C29" s="1002"/>
      <c r="D29" s="1002"/>
      <c r="E29" s="1002"/>
      <c r="F29" s="1002"/>
      <c r="G29" s="1002"/>
      <c r="H29" s="1002"/>
      <c r="I29" s="1002"/>
      <c r="J29" s="6">
        <f>J28+1</f>
        <v>24</v>
      </c>
    </row>
    <row r="30" spans="1:10" hidden="1">
      <c r="A30" s="1002" t="s">
        <v>390</v>
      </c>
      <c r="B30" s="1002"/>
      <c r="C30" s="1002"/>
      <c r="D30" s="1002"/>
      <c r="E30" s="1002"/>
      <c r="F30" s="1002"/>
      <c r="G30" s="1002"/>
      <c r="H30" s="1002"/>
      <c r="I30" s="1002"/>
      <c r="J30" s="6">
        <f t="shared" ref="J30:J43" si="0">J29+1</f>
        <v>25</v>
      </c>
    </row>
    <row r="31" spans="1:10">
      <c r="A31" s="1002" t="s">
        <v>391</v>
      </c>
      <c r="B31" s="1002"/>
      <c r="C31" s="1002"/>
      <c r="D31" s="1002"/>
      <c r="E31" s="1002"/>
      <c r="F31" s="1002"/>
      <c r="G31" s="1002"/>
      <c r="H31" s="1002"/>
      <c r="I31" s="1002"/>
      <c r="J31" s="6">
        <v>24</v>
      </c>
    </row>
    <row r="32" spans="1:10" hidden="1">
      <c r="A32" s="1002" t="s">
        <v>392</v>
      </c>
      <c r="B32" s="1002"/>
      <c r="C32" s="1002"/>
      <c r="D32" s="1002"/>
      <c r="E32" s="1002"/>
      <c r="F32" s="1002"/>
      <c r="G32" s="1002"/>
      <c r="H32" s="1002"/>
      <c r="I32" s="1002"/>
      <c r="J32" s="6">
        <f t="shared" si="0"/>
        <v>25</v>
      </c>
    </row>
    <row r="33" spans="1:10" hidden="1">
      <c r="A33" s="1002" t="s">
        <v>393</v>
      </c>
      <c r="B33" s="1002"/>
      <c r="C33" s="1002"/>
      <c r="D33" s="1002"/>
      <c r="E33" s="1002"/>
      <c r="F33" s="1002"/>
      <c r="G33" s="1002"/>
      <c r="H33" s="1002"/>
      <c r="I33" s="1002"/>
      <c r="J33" s="6">
        <f t="shared" si="0"/>
        <v>26</v>
      </c>
    </row>
    <row r="34" spans="1:10">
      <c r="A34" s="1002" t="s">
        <v>380</v>
      </c>
      <c r="B34" s="1002"/>
      <c r="C34" s="1002"/>
      <c r="D34" s="1002"/>
      <c r="E34" s="1002"/>
      <c r="F34" s="1002"/>
      <c r="G34" s="1002"/>
      <c r="H34" s="1002"/>
      <c r="I34" s="1002"/>
      <c r="J34" s="6">
        <f>J31+1</f>
        <v>25</v>
      </c>
    </row>
    <row r="35" spans="1:10">
      <c r="A35" s="1002" t="s">
        <v>394</v>
      </c>
      <c r="B35" s="1002"/>
      <c r="C35" s="1002"/>
      <c r="D35" s="1002"/>
      <c r="E35" s="1002"/>
      <c r="F35" s="1002"/>
      <c r="G35" s="1002"/>
      <c r="H35" s="1002"/>
      <c r="I35" s="1002"/>
      <c r="J35" s="6">
        <f t="shared" ref="J35:J39" si="1">J34+1</f>
        <v>26</v>
      </c>
    </row>
    <row r="36" spans="1:10">
      <c r="A36" s="1002" t="s">
        <v>396</v>
      </c>
      <c r="B36" s="1002"/>
      <c r="C36" s="1002"/>
      <c r="D36" s="1002"/>
      <c r="E36" s="1002"/>
      <c r="F36" s="1002"/>
      <c r="G36" s="1002"/>
      <c r="H36" s="1002"/>
      <c r="I36" s="1002"/>
      <c r="J36" s="6">
        <f t="shared" si="1"/>
        <v>27</v>
      </c>
    </row>
    <row r="37" spans="1:10">
      <c r="A37" s="1002" t="s">
        <v>397</v>
      </c>
      <c r="B37" s="1002"/>
      <c r="C37" s="1002"/>
      <c r="D37" s="1002"/>
      <c r="E37" s="1002"/>
      <c r="F37" s="1002"/>
      <c r="G37" s="1002"/>
      <c r="H37" s="1002"/>
      <c r="I37" s="1002"/>
      <c r="J37" s="6">
        <f t="shared" si="1"/>
        <v>28</v>
      </c>
    </row>
    <row r="38" spans="1:10">
      <c r="A38" s="1002" t="s">
        <v>395</v>
      </c>
      <c r="B38" s="1002"/>
      <c r="C38" s="1002"/>
      <c r="D38" s="1002"/>
      <c r="E38" s="1002"/>
      <c r="F38" s="1002"/>
      <c r="G38" s="1002"/>
      <c r="H38" s="1002"/>
      <c r="I38" s="1002"/>
      <c r="J38" s="6">
        <f t="shared" si="1"/>
        <v>29</v>
      </c>
    </row>
    <row r="39" spans="1:10">
      <c r="A39" s="1002" t="s">
        <v>390</v>
      </c>
      <c r="B39" s="1002"/>
      <c r="C39" s="1002"/>
      <c r="D39" s="1002"/>
      <c r="E39" s="1002"/>
      <c r="F39" s="1002"/>
      <c r="G39" s="1002"/>
      <c r="H39" s="1002"/>
      <c r="I39" s="1002"/>
      <c r="J39" s="6">
        <f t="shared" si="1"/>
        <v>30</v>
      </c>
    </row>
    <row r="40" spans="1:10">
      <c r="A40" s="1002" t="s">
        <v>547</v>
      </c>
      <c r="B40" s="1002"/>
      <c r="C40" s="1002"/>
      <c r="D40" s="1002"/>
      <c r="E40" s="1002"/>
      <c r="F40" s="1002"/>
      <c r="G40" s="1002"/>
      <c r="H40" s="1002"/>
      <c r="I40" s="1002"/>
      <c r="J40" s="6">
        <f t="shared" si="0"/>
        <v>31</v>
      </c>
    </row>
    <row r="41" spans="1:10">
      <c r="A41" s="1002" t="s">
        <v>398</v>
      </c>
      <c r="B41" s="1002"/>
      <c r="C41" s="1002"/>
      <c r="D41" s="1002"/>
      <c r="E41" s="1002"/>
      <c r="F41" s="1002"/>
      <c r="G41" s="1002"/>
      <c r="H41" s="1002"/>
      <c r="I41" s="1002"/>
      <c r="J41" s="6">
        <f>J40+1</f>
        <v>32</v>
      </c>
    </row>
    <row r="42" spans="1:10">
      <c r="A42" s="1002" t="s">
        <v>399</v>
      </c>
      <c r="B42" s="1002"/>
      <c r="C42" s="1002"/>
      <c r="D42" s="1002"/>
      <c r="E42" s="1002"/>
      <c r="F42" s="1002"/>
      <c r="G42" s="1002"/>
      <c r="H42" s="1002"/>
      <c r="I42" s="1002"/>
      <c r="J42" s="6">
        <f t="shared" si="0"/>
        <v>33</v>
      </c>
    </row>
    <row r="43" spans="1:10">
      <c r="A43" s="1002" t="s">
        <v>400</v>
      </c>
      <c r="B43" s="1002"/>
      <c r="C43" s="1002"/>
      <c r="D43" s="1002"/>
      <c r="E43" s="1002"/>
      <c r="F43" s="1002"/>
      <c r="G43" s="1002"/>
      <c r="H43" s="1002"/>
      <c r="I43" s="1002"/>
      <c r="J43" s="6">
        <f t="shared" si="0"/>
        <v>34</v>
      </c>
    </row>
    <row r="44" spans="1:10" s="364" customFormat="1">
      <c r="A44" s="1002" t="s">
        <v>914</v>
      </c>
      <c r="B44" s="1002"/>
      <c r="C44" s="1002"/>
      <c r="D44" s="1002"/>
      <c r="E44" s="1002"/>
      <c r="F44" s="1002"/>
      <c r="G44" s="1002"/>
      <c r="H44" s="1002"/>
      <c r="I44" s="1002"/>
      <c r="J44" s="929">
        <f>J43+1</f>
        <v>35</v>
      </c>
    </row>
    <row r="45" spans="1:10">
      <c r="A45" s="1002" t="s">
        <v>630</v>
      </c>
      <c r="B45" s="1002"/>
      <c r="C45" s="1002"/>
      <c r="D45" s="1002"/>
      <c r="E45" s="1002"/>
      <c r="F45" s="1002"/>
      <c r="G45" s="1002"/>
      <c r="H45" s="1002"/>
      <c r="I45" s="1002"/>
      <c r="J45" s="6">
        <f>J44+2</f>
        <v>37</v>
      </c>
    </row>
    <row r="46" spans="1:10">
      <c r="A46" s="1002" t="s">
        <v>401</v>
      </c>
      <c r="B46" s="1002"/>
      <c r="C46" s="1002"/>
      <c r="D46" s="1002"/>
      <c r="E46" s="1002"/>
      <c r="F46" s="1002"/>
      <c r="G46" s="1002"/>
      <c r="H46" s="1002"/>
      <c r="I46" s="1002"/>
      <c r="J46" s="6">
        <f>J45+1</f>
        <v>38</v>
      </c>
    </row>
    <row r="47" spans="1:10">
      <c r="A47" s="1002" t="s">
        <v>402</v>
      </c>
      <c r="B47" s="1002"/>
      <c r="C47" s="1002"/>
      <c r="D47" s="1002"/>
      <c r="E47" s="1002"/>
      <c r="F47" s="1002"/>
      <c r="G47" s="1002"/>
      <c r="H47" s="1002"/>
      <c r="I47" s="1002"/>
      <c r="J47" s="6">
        <v>41</v>
      </c>
    </row>
  </sheetData>
  <mergeCells count="40">
    <mergeCell ref="A9:I9"/>
    <mergeCell ref="A2:C3"/>
    <mergeCell ref="A10:I10"/>
    <mergeCell ref="A12:I12"/>
    <mergeCell ref="A14:I14"/>
    <mergeCell ref="A8:I8"/>
    <mergeCell ref="A15:I15"/>
    <mergeCell ref="A11:I11"/>
    <mergeCell ref="B16:I16"/>
    <mergeCell ref="B17:I17"/>
    <mergeCell ref="B18:I18"/>
    <mergeCell ref="B19:I19"/>
    <mergeCell ref="A20:I20"/>
    <mergeCell ref="B28:I28"/>
    <mergeCell ref="A30:I30"/>
    <mergeCell ref="A31:I31"/>
    <mergeCell ref="A29:I29"/>
    <mergeCell ref="B21:I21"/>
    <mergeCell ref="B22:I22"/>
    <mergeCell ref="B23:I23"/>
    <mergeCell ref="B26:I26"/>
    <mergeCell ref="B27:I27"/>
    <mergeCell ref="B25:I25"/>
    <mergeCell ref="B24:I24"/>
    <mergeCell ref="A47:I47"/>
    <mergeCell ref="A33:I33"/>
    <mergeCell ref="A32:I32"/>
    <mergeCell ref="A37:I37"/>
    <mergeCell ref="A41:I41"/>
    <mergeCell ref="A42:I42"/>
    <mergeCell ref="A43:I43"/>
    <mergeCell ref="A46:I46"/>
    <mergeCell ref="A34:I34"/>
    <mergeCell ref="A35:I35"/>
    <mergeCell ref="A39:I39"/>
    <mergeCell ref="A38:I38"/>
    <mergeCell ref="A36:I36"/>
    <mergeCell ref="A40:I40"/>
    <mergeCell ref="A45:I45"/>
    <mergeCell ref="A44:I44"/>
  </mergeCells>
  <printOptions horizontalCentered="1"/>
  <pageMargins left="0.405092592592593" right="0.47453703703703698" top="0.55118110236220497" bottom="0.94488188976377996" header="0.31496062992126" footer="0.31496062992126"/>
  <pageSetup scale="96" orientation="portrait" r:id="rId1"/>
  <headerFooter scaleWithDoc="0">
    <oddHeader>&amp;C&amp;G</oddHeader>
    <oddFooter>&amp;C&amp;G&amp;R&amp;P</oddFooter>
  </headerFooter>
  <drawing r:id="rId2"/>
  <legacyDrawingHF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6">
    <tabColor rgb="FF7030A0"/>
  </sheetPr>
  <dimension ref="A1:G47"/>
  <sheetViews>
    <sheetView showGridLines="0" view="pageLayout" zoomScaleNormal="100" workbookViewId="0">
      <selection activeCell="H10" sqref="H10"/>
    </sheetView>
  </sheetViews>
  <sheetFormatPr baseColWidth="10" defaultColWidth="9.1640625" defaultRowHeight="15"/>
  <cols>
    <col min="1" max="1" width="34.33203125" style="364" customWidth="1"/>
    <col min="2" max="4" width="20.83203125" style="364" customWidth="1"/>
    <col min="5" max="7" width="13.83203125" style="364" customWidth="1"/>
    <col min="8" max="16384" width="9.1640625" style="364"/>
  </cols>
  <sheetData>
    <row r="1" spans="1:7" ht="23.25" customHeight="1"/>
    <row r="2" spans="1:7" s="1" customFormat="1" ht="15" customHeight="1">
      <c r="A2" s="1004" t="s">
        <v>861</v>
      </c>
      <c r="E2" s="3"/>
      <c r="F2" s="3"/>
      <c r="G2" s="3"/>
    </row>
    <row r="3" spans="1:7" s="1" customFormat="1" ht="15" customHeight="1">
      <c r="A3" s="1004"/>
      <c r="E3" s="3"/>
      <c r="F3" s="3"/>
      <c r="G3" s="3"/>
    </row>
    <row r="4" spans="1:7" s="1" customFormat="1" ht="15" customHeight="1">
      <c r="A4" s="857" t="str">
        <f>EP_Current</f>
        <v>MMM DD YYY - MMM DD YYYY</v>
      </c>
    </row>
    <row r="5" spans="1:7" s="1" customFormat="1" ht="16">
      <c r="A5" s="857"/>
      <c r="E5" s="432"/>
      <c r="F5" s="432"/>
      <c r="G5" s="432"/>
    </row>
    <row r="6" spans="1:7" s="1" customFormat="1" ht="15" customHeight="1">
      <c r="A6" s="886"/>
      <c r="B6" s="1195" t="s">
        <v>855</v>
      </c>
      <c r="C6" s="1195"/>
      <c r="E6" s="432"/>
      <c r="F6" s="432"/>
      <c r="G6" s="432"/>
    </row>
    <row r="7" spans="1:7" s="1" customFormat="1" ht="15" customHeight="1">
      <c r="A7" s="519" t="s">
        <v>141</v>
      </c>
      <c r="B7" s="917" t="s">
        <v>163</v>
      </c>
      <c r="C7" s="891" t="s">
        <v>164</v>
      </c>
      <c r="D7" s="894" t="s">
        <v>143</v>
      </c>
      <c r="E7" s="893"/>
      <c r="F7" s="893"/>
      <c r="G7" s="893"/>
    </row>
    <row r="8" spans="1:7" s="1" customFormat="1" ht="15" customHeight="1">
      <c r="A8" s="523" t="s">
        <v>848</v>
      </c>
      <c r="B8" s="856">
        <v>0</v>
      </c>
      <c r="C8" s="856">
        <v>0</v>
      </c>
      <c r="D8" s="856">
        <f>B8+C8</f>
        <v>0</v>
      </c>
      <c r="E8" s="918"/>
      <c r="F8" s="918"/>
      <c r="G8" s="918"/>
    </row>
    <row r="9" spans="1:7" s="1" customFormat="1" ht="13">
      <c r="A9" s="523" t="s">
        <v>849</v>
      </c>
      <c r="B9" s="859">
        <v>0</v>
      </c>
      <c r="C9" s="859">
        <v>0</v>
      </c>
      <c r="D9" s="859">
        <f>B9+C9</f>
        <v>0</v>
      </c>
      <c r="E9" s="918"/>
      <c r="F9" s="918"/>
      <c r="G9" s="918"/>
    </row>
    <row r="10" spans="1:7" s="1" customFormat="1" ht="15" customHeight="1">
      <c r="A10" s="853" t="s">
        <v>850</v>
      </c>
      <c r="B10" s="860">
        <f>B8*B9</f>
        <v>0</v>
      </c>
      <c r="C10" s="860">
        <f>C8*C9</f>
        <v>0</v>
      </c>
      <c r="D10" s="860">
        <f>B10+C10</f>
        <v>0</v>
      </c>
      <c r="E10" s="918"/>
      <c r="F10" s="918"/>
      <c r="G10" s="918"/>
    </row>
    <row r="11" spans="1:7" s="1" customFormat="1" ht="15" customHeight="1">
      <c r="A11" s="523" t="s">
        <v>61</v>
      </c>
      <c r="B11" s="859">
        <v>0</v>
      </c>
      <c r="C11" s="859">
        <v>0</v>
      </c>
      <c r="D11" s="859">
        <f>B11+C11</f>
        <v>0</v>
      </c>
      <c r="E11" s="893"/>
      <c r="F11" s="893"/>
      <c r="G11" s="893"/>
    </row>
    <row r="12" spans="1:7" s="1" customFormat="1" ht="15" customHeight="1">
      <c r="A12" s="914" t="s">
        <v>856</v>
      </c>
      <c r="B12" s="915">
        <f>B10-B11</f>
        <v>0</v>
      </c>
      <c r="C12" s="915">
        <f>C10-C11</f>
        <v>0</v>
      </c>
      <c r="D12" s="916">
        <f>B12+C12</f>
        <v>0</v>
      </c>
      <c r="E12" s="918"/>
      <c r="F12" s="918"/>
      <c r="G12" s="918"/>
    </row>
    <row r="13" spans="1:7" s="1" customFormat="1" ht="14.5" customHeight="1">
      <c r="A13" s="597" t="s">
        <v>862</v>
      </c>
      <c r="B13" s="912" t="e">
        <f>B12/B10</f>
        <v>#DIV/0!</v>
      </c>
      <c r="C13" s="912" t="e">
        <f>C12/C10</f>
        <v>#DIV/0!</v>
      </c>
      <c r="D13" s="913" t="e">
        <f>D12/D10</f>
        <v>#DIV/0!</v>
      </c>
      <c r="E13" s="918"/>
      <c r="F13" s="918"/>
      <c r="G13" s="918"/>
    </row>
    <row r="14" spans="1:7" s="1" customFormat="1" ht="15" customHeight="1">
      <c r="A14" s="429"/>
      <c r="B14" s="418"/>
      <c r="C14" s="418"/>
      <c r="D14" s="418"/>
      <c r="E14" s="918"/>
      <c r="F14" s="918"/>
      <c r="G14" s="918"/>
    </row>
    <row r="15" spans="1:7" s="1" customFormat="1" ht="15" customHeight="1">
      <c r="A15" s="854" t="s">
        <v>851</v>
      </c>
      <c r="B15" s="856">
        <v>0</v>
      </c>
      <c r="C15" s="856">
        <v>0</v>
      </c>
      <c r="D15" s="852">
        <f>B15+C15</f>
        <v>0</v>
      </c>
      <c r="E15" s="893"/>
      <c r="F15" s="893"/>
      <c r="G15" s="893"/>
    </row>
    <row r="16" spans="1:7" s="1" customFormat="1" ht="15" customHeight="1">
      <c r="A16" s="854" t="s">
        <v>852</v>
      </c>
      <c r="B16" s="855" t="e">
        <f>B15/B8</f>
        <v>#DIV/0!</v>
      </c>
      <c r="C16" s="855" t="e">
        <f>C15/C8</f>
        <v>#DIV/0!</v>
      </c>
      <c r="D16" s="855" t="e">
        <f>D15/D8</f>
        <v>#DIV/0!</v>
      </c>
      <c r="E16" s="432"/>
      <c r="F16" s="432"/>
      <c r="G16" s="432"/>
    </row>
    <row r="17" spans="1:7" s="1" customFormat="1" ht="15" customHeight="1">
      <c r="A17" s="523" t="s">
        <v>853</v>
      </c>
      <c r="B17" s="858">
        <f>B8-B15</f>
        <v>0</v>
      </c>
      <c r="C17" s="858">
        <f>C8-C15</f>
        <v>0</v>
      </c>
      <c r="D17" s="858">
        <f>B17+C17</f>
        <v>0</v>
      </c>
      <c r="E17" s="432"/>
      <c r="F17" s="432"/>
      <c r="G17" s="432"/>
    </row>
    <row r="18" spans="1:7" s="1" customFormat="1" ht="15" customHeight="1">
      <c r="A18" s="523" t="s">
        <v>854</v>
      </c>
      <c r="B18" s="855" t="e">
        <f>1-B16</f>
        <v>#DIV/0!</v>
      </c>
      <c r="C18" s="855" t="e">
        <f>1-C16</f>
        <v>#DIV/0!</v>
      </c>
      <c r="D18" s="855" t="e">
        <f>1-D16</f>
        <v>#DIV/0!</v>
      </c>
      <c r="E18" s="893"/>
      <c r="F18" s="893"/>
      <c r="G18" s="893"/>
    </row>
    <row r="19" spans="1:7" s="1" customFormat="1" ht="15" customHeight="1">
      <c r="A19" s="887"/>
      <c r="B19" s="893"/>
      <c r="C19" s="893"/>
      <c r="D19" s="893"/>
      <c r="E19" s="893"/>
      <c r="F19" s="893"/>
      <c r="G19" s="893"/>
    </row>
    <row r="20" spans="1:7" s="1" customFormat="1" ht="15" customHeight="1">
      <c r="A20" s="220"/>
      <c r="B20" s="893"/>
      <c r="C20" s="893"/>
      <c r="D20" s="893"/>
      <c r="E20" s="893"/>
      <c r="F20" s="893"/>
      <c r="G20" s="893"/>
    </row>
    <row r="21" spans="1:7" s="1" customFormat="1" ht="15" customHeight="1">
      <c r="A21" s="893"/>
      <c r="B21" s="893"/>
      <c r="C21" s="893"/>
      <c r="D21" s="893"/>
      <c r="E21" s="893"/>
      <c r="F21" s="893"/>
      <c r="G21" s="893"/>
    </row>
    <row r="22" spans="1:7" s="1" customFormat="1" ht="11.5" customHeight="1">
      <c r="A22" s="432"/>
      <c r="B22" s="432"/>
      <c r="C22" s="432"/>
      <c r="D22" s="432"/>
      <c r="E22" s="432"/>
      <c r="F22" s="432"/>
      <c r="G22" s="432"/>
    </row>
    <row r="23" spans="1:7" s="1" customFormat="1" ht="11.5" customHeight="1">
      <c r="A23" s="432"/>
      <c r="B23" s="432"/>
      <c r="C23" s="432"/>
      <c r="D23" s="432"/>
      <c r="E23" s="432"/>
      <c r="F23" s="432"/>
      <c r="G23" s="432"/>
    </row>
    <row r="24" spans="1:7" s="1" customFormat="1" ht="15" customHeight="1">
      <c r="A24" s="17"/>
      <c r="B24" s="17"/>
      <c r="C24" s="17"/>
      <c r="D24" s="17"/>
      <c r="E24" s="17"/>
      <c r="F24" s="17"/>
      <c r="G24" s="17"/>
    </row>
    <row r="25" spans="1:7" s="1" customFormat="1" ht="15" customHeight="1">
      <c r="A25" s="893"/>
      <c r="B25" s="893"/>
      <c r="C25" s="893"/>
      <c r="D25" s="893"/>
      <c r="E25" s="893"/>
      <c r="F25" s="893"/>
      <c r="G25" s="893"/>
    </row>
    <row r="26" spans="1:7" s="1" customFormat="1" ht="15" customHeight="1">
      <c r="A26" s="893"/>
      <c r="B26" s="893"/>
      <c r="C26" s="892"/>
      <c r="D26" s="893"/>
      <c r="E26" s="893"/>
      <c r="F26" s="893"/>
      <c r="G26" s="893"/>
    </row>
    <row r="27" spans="1:7" s="1" customFormat="1" ht="15" customHeight="1">
      <c r="A27" s="893"/>
      <c r="B27" s="893"/>
      <c r="C27" s="893"/>
      <c r="D27" s="893"/>
      <c r="E27" s="893"/>
      <c r="F27" s="893"/>
      <c r="G27" s="893"/>
    </row>
    <row r="28" spans="1:7" s="1" customFormat="1" ht="15" customHeight="1">
      <c r="A28" s="893"/>
      <c r="B28" s="893"/>
      <c r="C28" s="893"/>
      <c r="D28" s="893"/>
      <c r="E28" s="893"/>
      <c r="F28" s="893"/>
      <c r="G28" s="893"/>
    </row>
    <row r="29" spans="1:7" s="1" customFormat="1" ht="15" customHeight="1">
      <c r="A29" s="893"/>
      <c r="B29" s="893"/>
      <c r="C29" s="893"/>
      <c r="D29" s="893"/>
      <c r="E29" s="893"/>
      <c r="F29" s="893"/>
      <c r="G29" s="893"/>
    </row>
    <row r="30" spans="1:7" s="1" customFormat="1" ht="15" customHeight="1">
      <c r="A30" s="893"/>
      <c r="B30" s="893"/>
      <c r="C30" s="893"/>
      <c r="D30" s="893"/>
      <c r="E30" s="893"/>
      <c r="F30" s="893"/>
      <c r="G30" s="893"/>
    </row>
    <row r="31" spans="1:7" s="1" customFormat="1" ht="15" customHeight="1">
      <c r="A31" s="893"/>
      <c r="B31" s="893"/>
      <c r="C31" s="893"/>
      <c r="D31" s="893"/>
      <c r="E31" s="893"/>
      <c r="F31" s="893"/>
      <c r="G31" s="893"/>
    </row>
    <row r="32" spans="1:7" s="1" customFormat="1" ht="15" customHeight="1">
      <c r="A32" s="893"/>
      <c r="B32" s="893"/>
      <c r="C32" s="893"/>
      <c r="D32" s="893"/>
      <c r="E32" s="893"/>
      <c r="F32" s="893"/>
      <c r="G32" s="893"/>
    </row>
    <row r="33" spans="1:7" s="1" customFormat="1" ht="15" customHeight="1">
      <c r="A33" s="893"/>
      <c r="B33" s="893"/>
      <c r="C33" s="893"/>
      <c r="D33" s="893"/>
      <c r="E33" s="893"/>
      <c r="F33" s="893"/>
      <c r="G33" s="893"/>
    </row>
    <row r="34" spans="1:7" s="1" customFormat="1" ht="15" customHeight="1">
      <c r="A34" s="893"/>
      <c r="B34" s="893"/>
      <c r="C34" s="893"/>
      <c r="D34" s="893"/>
      <c r="E34" s="893"/>
      <c r="F34" s="893"/>
      <c r="G34" s="893"/>
    </row>
    <row r="35" spans="1:7" s="1" customFormat="1" ht="15" customHeight="1">
      <c r="A35" s="893"/>
      <c r="B35" s="893"/>
      <c r="C35" s="893"/>
      <c r="D35" s="893"/>
      <c r="E35" s="893"/>
      <c r="F35" s="893"/>
      <c r="G35" s="893"/>
    </row>
    <row r="36" spans="1:7" s="1" customFormat="1" ht="15" customHeight="1">
      <c r="A36" s="893"/>
      <c r="B36" s="893"/>
      <c r="C36" s="893"/>
      <c r="D36" s="893"/>
      <c r="E36" s="893"/>
      <c r="F36" s="893"/>
      <c r="G36" s="893"/>
    </row>
    <row r="37" spans="1:7" s="1" customFormat="1" ht="15" customHeight="1">
      <c r="A37" s="893"/>
      <c r="B37" s="893"/>
      <c r="C37" s="893"/>
      <c r="D37" s="893"/>
      <c r="E37" s="893"/>
      <c r="F37" s="893"/>
      <c r="G37" s="893"/>
    </row>
    <row r="38" spans="1:7" s="1" customFormat="1" ht="15" customHeight="1">
      <c r="A38" s="893"/>
      <c r="B38" s="893"/>
      <c r="C38" s="893"/>
      <c r="D38" s="893"/>
      <c r="E38" s="893"/>
      <c r="F38" s="893"/>
      <c r="G38" s="893"/>
    </row>
    <row r="39" spans="1:7" s="1" customFormat="1" ht="15" customHeight="1">
      <c r="A39" s="893"/>
      <c r="B39" s="893"/>
      <c r="C39" s="893"/>
      <c r="D39" s="893"/>
      <c r="E39" s="893"/>
      <c r="F39" s="893"/>
      <c r="G39" s="893"/>
    </row>
    <row r="40" spans="1:7" s="1" customFormat="1" ht="15" customHeight="1">
      <c r="A40" s="893"/>
      <c r="B40" s="893"/>
      <c r="C40" s="893"/>
      <c r="D40" s="893"/>
      <c r="E40" s="893"/>
      <c r="F40" s="893"/>
      <c r="G40" s="893"/>
    </row>
    <row r="41" spans="1:7" s="1" customFormat="1" ht="15" customHeight="1">
      <c r="A41" s="893"/>
      <c r="B41" s="893"/>
      <c r="C41" s="893"/>
      <c r="D41" s="893"/>
      <c r="E41" s="893"/>
      <c r="F41" s="893"/>
      <c r="G41" s="893"/>
    </row>
    <row r="42" spans="1:7" s="1" customFormat="1" ht="15" customHeight="1">
      <c r="A42" s="893"/>
      <c r="B42" s="893"/>
      <c r="C42" s="893"/>
      <c r="D42" s="893"/>
      <c r="E42" s="893"/>
      <c r="F42" s="893"/>
      <c r="G42" s="893"/>
    </row>
    <row r="43" spans="1:7" s="1" customFormat="1" ht="15" customHeight="1">
      <c r="A43" s="893"/>
      <c r="B43" s="893"/>
      <c r="C43" s="893"/>
      <c r="D43" s="893"/>
      <c r="E43" s="893"/>
      <c r="F43" s="893"/>
      <c r="G43" s="893"/>
    </row>
    <row r="44" spans="1:7" s="1" customFormat="1" ht="15" customHeight="1">
      <c r="A44" s="893"/>
      <c r="B44" s="893"/>
      <c r="C44" s="893"/>
      <c r="D44" s="893"/>
      <c r="E44" s="893"/>
      <c r="F44" s="893"/>
      <c r="G44" s="893"/>
    </row>
    <row r="45" spans="1:7" s="1" customFormat="1" ht="15" customHeight="1">
      <c r="A45" s="893"/>
      <c r="B45" s="893"/>
      <c r="C45" s="893"/>
      <c r="D45" s="893"/>
      <c r="E45" s="893"/>
      <c r="F45" s="893"/>
      <c r="G45" s="893"/>
    </row>
    <row r="46" spans="1:7" s="1" customFormat="1" ht="15" customHeight="1">
      <c r="A46" s="893"/>
      <c r="B46" s="893"/>
      <c r="C46" s="893"/>
      <c r="D46" s="893"/>
      <c r="E46" s="893"/>
      <c r="F46" s="893"/>
      <c r="G46" s="893"/>
    </row>
    <row r="47" spans="1:7" s="1" customFormat="1" ht="15" customHeight="1">
      <c r="A47" s="893"/>
      <c r="B47" s="893"/>
      <c r="C47" s="893"/>
      <c r="D47" s="893"/>
      <c r="E47" s="893"/>
      <c r="F47" s="893"/>
      <c r="G47" s="893"/>
    </row>
  </sheetData>
  <mergeCells count="2">
    <mergeCell ref="A2:A3"/>
    <mergeCell ref="B6:C6"/>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28">
    <tabColor rgb="FF7030A0"/>
    <pageSetUpPr fitToPage="1"/>
  </sheetPr>
  <dimension ref="A1:N32"/>
  <sheetViews>
    <sheetView showGridLines="0" view="pageLayout" zoomScale="107" zoomScaleNormal="100" zoomScalePageLayoutView="107" workbookViewId="0">
      <selection activeCell="H10" sqref="H10"/>
    </sheetView>
  </sheetViews>
  <sheetFormatPr baseColWidth="10" defaultColWidth="9.1640625" defaultRowHeight="15"/>
  <cols>
    <col min="1" max="1" width="24.5" customWidth="1"/>
    <col min="2" max="13" width="10.6640625" customWidth="1"/>
    <col min="14" max="14" width="12.5" customWidth="1"/>
  </cols>
  <sheetData>
    <row r="1" spans="1:14" ht="41.25" customHeight="1"/>
    <row r="2" spans="1:14" s="1" customFormat="1" ht="15" customHeight="1">
      <c r="A2" s="1004" t="s">
        <v>590</v>
      </c>
      <c r="B2" s="1149"/>
      <c r="C2" s="1149"/>
      <c r="D2" s="1149"/>
      <c r="E2" s="1149"/>
      <c r="F2" s="1149"/>
      <c r="G2" s="1149"/>
      <c r="H2" s="1149"/>
      <c r="I2" s="1149"/>
      <c r="J2" s="22"/>
      <c r="K2" s="22"/>
      <c r="L2" s="22"/>
    </row>
    <row r="3" spans="1:14" s="1" customFormat="1" ht="15" customHeight="1">
      <c r="A3" s="1004"/>
      <c r="B3" s="1149"/>
      <c r="C3" s="1149"/>
      <c r="D3" s="1149"/>
      <c r="E3" s="1149"/>
      <c r="F3" s="1149"/>
      <c r="G3" s="1149"/>
      <c r="H3" s="1149"/>
      <c r="I3" s="1149"/>
      <c r="J3" s="22"/>
      <c r="K3" s="22"/>
      <c r="L3" s="22"/>
    </row>
    <row r="4" spans="1:14" s="1" customFormat="1" ht="15" customHeight="1">
      <c r="A4" s="24"/>
      <c r="B4" s="24"/>
      <c r="C4" s="24"/>
      <c r="D4" s="24"/>
      <c r="E4" s="24"/>
      <c r="F4" s="24"/>
      <c r="G4" s="24"/>
    </row>
    <row r="5" spans="1:14" s="1" customFormat="1" ht="15" customHeight="1">
      <c r="A5" s="519" t="s">
        <v>141</v>
      </c>
      <c r="B5" s="456" t="s">
        <v>142</v>
      </c>
      <c r="C5" s="456" t="s">
        <v>142</v>
      </c>
      <c r="D5" s="456" t="s">
        <v>142</v>
      </c>
      <c r="E5" s="456" t="s">
        <v>142</v>
      </c>
      <c r="F5" s="456" t="s">
        <v>142</v>
      </c>
      <c r="G5" s="456" t="s">
        <v>142</v>
      </c>
      <c r="H5" s="456" t="s">
        <v>142</v>
      </c>
      <c r="I5" s="456" t="s">
        <v>142</v>
      </c>
      <c r="J5" s="456" t="s">
        <v>142</v>
      </c>
      <c r="K5" s="456" t="s">
        <v>142</v>
      </c>
      <c r="L5" s="456" t="s">
        <v>142</v>
      </c>
      <c r="M5" s="456" t="s">
        <v>142</v>
      </c>
      <c r="N5" s="405" t="s">
        <v>143</v>
      </c>
    </row>
    <row r="6" spans="1:14" s="1" customFormat="1" ht="15" customHeight="1">
      <c r="A6" s="523" t="s">
        <v>144</v>
      </c>
      <c r="B6" s="521">
        <v>0</v>
      </c>
      <c r="C6" s="521">
        <f>B32</f>
        <v>0</v>
      </c>
      <c r="D6" s="521">
        <f>C32</f>
        <v>0</v>
      </c>
      <c r="E6" s="521">
        <f t="shared" ref="E6:K6" si="0">D32</f>
        <v>0</v>
      </c>
      <c r="F6" s="521">
        <f t="shared" si="0"/>
        <v>0</v>
      </c>
      <c r="G6" s="521">
        <f t="shared" si="0"/>
        <v>0</v>
      </c>
      <c r="H6" s="521">
        <f t="shared" si="0"/>
        <v>0</v>
      </c>
      <c r="I6" s="521">
        <f t="shared" si="0"/>
        <v>0</v>
      </c>
      <c r="J6" s="521">
        <f t="shared" si="0"/>
        <v>0</v>
      </c>
      <c r="K6" s="521">
        <f t="shared" si="0"/>
        <v>0</v>
      </c>
      <c r="L6" s="521">
        <f>K32</f>
        <v>0</v>
      </c>
      <c r="M6" s="521">
        <f>L32</f>
        <v>0</v>
      </c>
      <c r="N6" s="522">
        <f>B6</f>
        <v>0</v>
      </c>
    </row>
    <row r="7" spans="1:14" s="1" customFormat="1" ht="15" customHeight="1">
      <c r="A7" s="523" t="s">
        <v>145</v>
      </c>
      <c r="B7" s="521">
        <v>0</v>
      </c>
      <c r="C7" s="521">
        <v>0</v>
      </c>
      <c r="D7" s="521">
        <v>0</v>
      </c>
      <c r="E7" s="521">
        <v>0</v>
      </c>
      <c r="F7" s="521">
        <v>0</v>
      </c>
      <c r="G7" s="521">
        <v>0</v>
      </c>
      <c r="H7" s="521">
        <v>0</v>
      </c>
      <c r="I7" s="521">
        <v>0</v>
      </c>
      <c r="J7" s="521">
        <v>0</v>
      </c>
      <c r="K7" s="521">
        <v>0</v>
      </c>
      <c r="L7" s="521">
        <v>0</v>
      </c>
      <c r="M7" s="521">
        <v>0</v>
      </c>
      <c r="N7" s="522">
        <f>SUM(B7:M7)</f>
        <v>0</v>
      </c>
    </row>
    <row r="8" spans="1:14" s="1" customFormat="1" ht="15" customHeight="1">
      <c r="A8" s="429" t="s">
        <v>146</v>
      </c>
      <c r="B8" s="522">
        <f t="shared" ref="B8:M8" si="1">SUM(B6:B7)</f>
        <v>0</v>
      </c>
      <c r="C8" s="522">
        <f t="shared" si="1"/>
        <v>0</v>
      </c>
      <c r="D8" s="522">
        <f t="shared" si="1"/>
        <v>0</v>
      </c>
      <c r="E8" s="522">
        <f t="shared" si="1"/>
        <v>0</v>
      </c>
      <c r="F8" s="522">
        <f t="shared" si="1"/>
        <v>0</v>
      </c>
      <c r="G8" s="522">
        <f t="shared" si="1"/>
        <v>0</v>
      </c>
      <c r="H8" s="522">
        <f t="shared" si="1"/>
        <v>0</v>
      </c>
      <c r="I8" s="522">
        <f t="shared" si="1"/>
        <v>0</v>
      </c>
      <c r="J8" s="522">
        <f t="shared" si="1"/>
        <v>0</v>
      </c>
      <c r="K8" s="522">
        <f t="shared" si="1"/>
        <v>0</v>
      </c>
      <c r="L8" s="522">
        <f t="shared" si="1"/>
        <v>0</v>
      </c>
      <c r="M8" s="522">
        <f t="shared" si="1"/>
        <v>0</v>
      </c>
      <c r="N8" s="522">
        <f>SUM(N6:N7)</f>
        <v>0</v>
      </c>
    </row>
    <row r="9" spans="1:14" s="1" customFormat="1" ht="15" customHeight="1">
      <c r="A9" s="1198"/>
      <c r="B9" s="1198"/>
      <c r="C9" s="1198"/>
      <c r="D9" s="1198"/>
      <c r="E9" s="1198"/>
      <c r="F9" s="1198"/>
      <c r="G9" s="1198"/>
      <c r="H9" s="1198"/>
      <c r="I9" s="1198"/>
      <c r="J9" s="1198"/>
      <c r="K9" s="1198"/>
      <c r="L9" s="1198"/>
      <c r="M9" s="1198"/>
      <c r="N9" s="1198"/>
    </row>
    <row r="10" spans="1:14" s="1" customFormat="1" ht="15" customHeight="1">
      <c r="A10" s="519" t="s">
        <v>138</v>
      </c>
      <c r="B10" s="525"/>
      <c r="C10" s="525"/>
      <c r="D10" s="525"/>
      <c r="E10" s="525"/>
      <c r="F10" s="525"/>
      <c r="G10" s="525"/>
      <c r="H10" s="525"/>
      <c r="I10" s="525"/>
      <c r="J10" s="525"/>
      <c r="K10" s="525"/>
      <c r="L10" s="525"/>
      <c r="M10" s="525"/>
      <c r="N10" s="524"/>
    </row>
    <row r="11" spans="1:14" s="1" customFormat="1" ht="15" customHeight="1">
      <c r="A11" s="523" t="s">
        <v>41</v>
      </c>
      <c r="B11" s="521">
        <v>0</v>
      </c>
      <c r="C11" s="521">
        <v>0</v>
      </c>
      <c r="D11" s="521">
        <v>0</v>
      </c>
      <c r="E11" s="521">
        <v>0</v>
      </c>
      <c r="F11" s="521">
        <v>0</v>
      </c>
      <c r="G11" s="521">
        <v>0</v>
      </c>
      <c r="H11" s="521">
        <v>0</v>
      </c>
      <c r="I11" s="521">
        <v>0</v>
      </c>
      <c r="J11" s="521">
        <v>0</v>
      </c>
      <c r="K11" s="521">
        <v>0</v>
      </c>
      <c r="L11" s="521">
        <v>0</v>
      </c>
      <c r="M11" s="521">
        <v>0</v>
      </c>
      <c r="N11" s="522">
        <f>SUM(B11:M11)</f>
        <v>0</v>
      </c>
    </row>
    <row r="12" spans="1:14" s="1" customFormat="1" ht="15" customHeight="1">
      <c r="A12" s="523" t="s">
        <v>44</v>
      </c>
      <c r="B12" s="521">
        <v>0</v>
      </c>
      <c r="C12" s="521">
        <v>0</v>
      </c>
      <c r="D12" s="521">
        <v>0</v>
      </c>
      <c r="E12" s="521">
        <v>0</v>
      </c>
      <c r="F12" s="521">
        <v>0</v>
      </c>
      <c r="G12" s="521">
        <v>0</v>
      </c>
      <c r="H12" s="521">
        <v>0</v>
      </c>
      <c r="I12" s="521">
        <v>0</v>
      </c>
      <c r="J12" s="521">
        <v>0</v>
      </c>
      <c r="K12" s="521">
        <v>0</v>
      </c>
      <c r="L12" s="521">
        <v>0</v>
      </c>
      <c r="M12" s="521">
        <v>0</v>
      </c>
      <c r="N12" s="522">
        <f>SUM(B12:M12)</f>
        <v>0</v>
      </c>
    </row>
    <row r="13" spans="1:14" s="1" customFormat="1" ht="15" customHeight="1">
      <c r="A13" s="523" t="s">
        <v>147</v>
      </c>
      <c r="B13" s="521">
        <v>0</v>
      </c>
      <c r="C13" s="521">
        <v>0</v>
      </c>
      <c r="D13" s="521">
        <v>0</v>
      </c>
      <c r="E13" s="521">
        <v>0</v>
      </c>
      <c r="F13" s="521">
        <v>0</v>
      </c>
      <c r="G13" s="521">
        <v>0</v>
      </c>
      <c r="H13" s="521">
        <v>0</v>
      </c>
      <c r="I13" s="521">
        <v>0</v>
      </c>
      <c r="J13" s="521">
        <v>0</v>
      </c>
      <c r="K13" s="521">
        <v>0</v>
      </c>
      <c r="L13" s="521">
        <v>0</v>
      </c>
      <c r="M13" s="521">
        <v>0</v>
      </c>
      <c r="N13" s="522">
        <f>SUM(B13:M13)</f>
        <v>0</v>
      </c>
    </row>
    <row r="14" spans="1:14" s="1" customFormat="1" ht="15" customHeight="1">
      <c r="A14" s="429" t="s">
        <v>148</v>
      </c>
      <c r="B14" s="522">
        <f t="shared" ref="B14:M14" si="2">SUM(B11:B13)</f>
        <v>0</v>
      </c>
      <c r="C14" s="522">
        <f t="shared" si="2"/>
        <v>0</v>
      </c>
      <c r="D14" s="522">
        <f t="shared" si="2"/>
        <v>0</v>
      </c>
      <c r="E14" s="522">
        <f t="shared" si="2"/>
        <v>0</v>
      </c>
      <c r="F14" s="522">
        <f t="shared" si="2"/>
        <v>0</v>
      </c>
      <c r="G14" s="522">
        <f t="shared" si="2"/>
        <v>0</v>
      </c>
      <c r="H14" s="522">
        <f t="shared" si="2"/>
        <v>0</v>
      </c>
      <c r="I14" s="522">
        <f t="shared" si="2"/>
        <v>0</v>
      </c>
      <c r="J14" s="522">
        <f t="shared" si="2"/>
        <v>0</v>
      </c>
      <c r="K14" s="522">
        <f t="shared" si="2"/>
        <v>0</v>
      </c>
      <c r="L14" s="522">
        <f t="shared" si="2"/>
        <v>0</v>
      </c>
      <c r="M14" s="522">
        <f t="shared" si="2"/>
        <v>0</v>
      </c>
      <c r="N14" s="522">
        <f>SUM(N11:N13)</f>
        <v>0</v>
      </c>
    </row>
    <row r="15" spans="1:14" s="1" customFormat="1" ht="15" customHeight="1">
      <c r="A15" s="1198"/>
      <c r="B15" s="1198"/>
      <c r="C15" s="1198"/>
      <c r="D15" s="1198"/>
      <c r="E15" s="1198"/>
      <c r="F15" s="1198"/>
      <c r="G15" s="1198"/>
      <c r="H15" s="1198"/>
      <c r="I15" s="1198"/>
      <c r="J15" s="1198"/>
      <c r="K15" s="1198"/>
      <c r="L15" s="1198"/>
      <c r="M15" s="1198"/>
      <c r="N15" s="1198"/>
    </row>
    <row r="16" spans="1:14" s="1" customFormat="1" ht="15" customHeight="1">
      <c r="A16" s="429" t="s">
        <v>149</v>
      </c>
      <c r="B16" s="522">
        <v>0</v>
      </c>
      <c r="C16" s="522">
        <v>0</v>
      </c>
      <c r="D16" s="522">
        <v>0</v>
      </c>
      <c r="E16" s="522">
        <v>0</v>
      </c>
      <c r="F16" s="522">
        <v>0</v>
      </c>
      <c r="G16" s="522">
        <v>0</v>
      </c>
      <c r="H16" s="522">
        <v>0</v>
      </c>
      <c r="I16" s="522">
        <v>0</v>
      </c>
      <c r="J16" s="522">
        <v>0</v>
      </c>
      <c r="K16" s="522">
        <v>0</v>
      </c>
      <c r="L16" s="522">
        <v>0</v>
      </c>
      <c r="M16" s="522">
        <v>0</v>
      </c>
      <c r="N16" s="522">
        <f>SUM(B16:M16)</f>
        <v>0</v>
      </c>
    </row>
    <row r="17" spans="1:14" s="1" customFormat="1" ht="15" customHeight="1">
      <c r="A17" s="1198"/>
      <c r="B17" s="1198"/>
      <c r="C17" s="1198"/>
      <c r="D17" s="1198"/>
      <c r="E17" s="1198"/>
      <c r="F17" s="1198"/>
      <c r="G17" s="1198"/>
      <c r="H17" s="1198"/>
      <c r="I17" s="1198"/>
      <c r="J17" s="1198"/>
      <c r="K17" s="1198"/>
      <c r="L17" s="1198"/>
      <c r="M17" s="1198"/>
      <c r="N17" s="1198"/>
    </row>
    <row r="18" spans="1:14" s="1" customFormat="1" ht="15" customHeight="1">
      <c r="A18" s="519" t="s">
        <v>48</v>
      </c>
      <c r="B18" s="527"/>
      <c r="C18" s="527"/>
      <c r="D18" s="527"/>
      <c r="E18" s="527"/>
      <c r="F18" s="527"/>
      <c r="G18" s="527"/>
      <c r="H18" s="527"/>
      <c r="I18" s="527"/>
      <c r="J18" s="527"/>
      <c r="K18" s="527"/>
      <c r="L18" s="527"/>
      <c r="M18" s="527"/>
      <c r="N18" s="526"/>
    </row>
    <row r="19" spans="1:14" s="1" customFormat="1" ht="15" customHeight="1">
      <c r="A19" s="523" t="s">
        <v>150</v>
      </c>
      <c r="B19" s="521">
        <v>0</v>
      </c>
      <c r="C19" s="521">
        <v>0</v>
      </c>
      <c r="D19" s="521">
        <v>0</v>
      </c>
      <c r="E19" s="521">
        <v>0</v>
      </c>
      <c r="F19" s="521">
        <v>0</v>
      </c>
      <c r="G19" s="521">
        <v>0</v>
      </c>
      <c r="H19" s="521">
        <v>0</v>
      </c>
      <c r="I19" s="521">
        <v>0</v>
      </c>
      <c r="J19" s="521">
        <v>0</v>
      </c>
      <c r="K19" s="521">
        <v>0</v>
      </c>
      <c r="L19" s="521">
        <v>0</v>
      </c>
      <c r="M19" s="521">
        <v>0</v>
      </c>
      <c r="N19" s="522">
        <f>SUM(B19:M19)</f>
        <v>0</v>
      </c>
    </row>
    <row r="20" spans="1:14" s="1" customFormat="1" ht="15" customHeight="1">
      <c r="A20" s="523" t="s">
        <v>151</v>
      </c>
      <c r="B20" s="521">
        <v>0</v>
      </c>
      <c r="C20" s="521">
        <v>0</v>
      </c>
      <c r="D20" s="521">
        <v>0</v>
      </c>
      <c r="E20" s="521">
        <v>0</v>
      </c>
      <c r="F20" s="521">
        <v>0</v>
      </c>
      <c r="G20" s="521">
        <v>0</v>
      </c>
      <c r="H20" s="521">
        <v>0</v>
      </c>
      <c r="I20" s="521">
        <v>0</v>
      </c>
      <c r="J20" s="521">
        <v>0</v>
      </c>
      <c r="K20" s="521">
        <v>0</v>
      </c>
      <c r="L20" s="521">
        <v>0</v>
      </c>
      <c r="M20" s="521">
        <v>0</v>
      </c>
      <c r="N20" s="522">
        <f>SUM(B20:M20)</f>
        <v>0</v>
      </c>
    </row>
    <row r="21" spans="1:14" s="1" customFormat="1" ht="15" customHeight="1">
      <c r="A21" s="523" t="s">
        <v>152</v>
      </c>
      <c r="B21" s="521">
        <v>0</v>
      </c>
      <c r="C21" s="521">
        <v>0</v>
      </c>
      <c r="D21" s="521">
        <v>0</v>
      </c>
      <c r="E21" s="521">
        <v>0</v>
      </c>
      <c r="F21" s="521">
        <v>0</v>
      </c>
      <c r="G21" s="521">
        <v>0</v>
      </c>
      <c r="H21" s="521">
        <v>0</v>
      </c>
      <c r="I21" s="521">
        <v>0</v>
      </c>
      <c r="J21" s="521">
        <v>0</v>
      </c>
      <c r="K21" s="521">
        <v>0</v>
      </c>
      <c r="L21" s="521">
        <v>0</v>
      </c>
      <c r="M21" s="521">
        <v>0</v>
      </c>
      <c r="N21" s="522">
        <f>SUM(B21:M21)</f>
        <v>0</v>
      </c>
    </row>
    <row r="22" spans="1:14" s="1" customFormat="1" ht="15" customHeight="1">
      <c r="A22" s="429" t="s">
        <v>153</v>
      </c>
      <c r="B22" s="522">
        <f>SUM(B19:B21)</f>
        <v>0</v>
      </c>
      <c r="C22" s="522">
        <f t="shared" ref="C22:M22" si="3">SUM(C19:C21)</f>
        <v>0</v>
      </c>
      <c r="D22" s="522">
        <f t="shared" si="3"/>
        <v>0</v>
      </c>
      <c r="E22" s="522">
        <f t="shared" si="3"/>
        <v>0</v>
      </c>
      <c r="F22" s="522">
        <f t="shared" si="3"/>
        <v>0</v>
      </c>
      <c r="G22" s="522">
        <f t="shared" si="3"/>
        <v>0</v>
      </c>
      <c r="H22" s="522">
        <f t="shared" si="3"/>
        <v>0</v>
      </c>
      <c r="I22" s="522">
        <f t="shared" si="3"/>
        <v>0</v>
      </c>
      <c r="J22" s="522">
        <f t="shared" si="3"/>
        <v>0</v>
      </c>
      <c r="K22" s="522">
        <f t="shared" si="3"/>
        <v>0</v>
      </c>
      <c r="L22" s="522">
        <f t="shared" si="3"/>
        <v>0</v>
      </c>
      <c r="M22" s="522">
        <f t="shared" si="3"/>
        <v>0</v>
      </c>
      <c r="N22" s="522">
        <f>SUM(N19:N21)</f>
        <v>0</v>
      </c>
    </row>
    <row r="23" spans="1:14" s="1" customFormat="1" ht="15" customHeight="1">
      <c r="A23" s="1197"/>
      <c r="B23" s="1197"/>
      <c r="C23" s="1197"/>
      <c r="D23" s="1197"/>
      <c r="E23" s="1197"/>
      <c r="F23" s="1197"/>
      <c r="G23" s="1197"/>
      <c r="H23" s="1197"/>
      <c r="I23" s="1197"/>
      <c r="J23" s="1197"/>
      <c r="K23" s="1197"/>
      <c r="L23" s="1197"/>
      <c r="M23" s="1197"/>
      <c r="N23" s="1197"/>
    </row>
    <row r="24" spans="1:14" s="1" customFormat="1" ht="15" customHeight="1">
      <c r="A24" s="523" t="s">
        <v>154</v>
      </c>
      <c r="B24" s="521">
        <v>0</v>
      </c>
      <c r="C24" s="521">
        <v>0</v>
      </c>
      <c r="D24" s="521">
        <v>0</v>
      </c>
      <c r="E24" s="521">
        <v>0</v>
      </c>
      <c r="F24" s="521">
        <v>0</v>
      </c>
      <c r="G24" s="521">
        <v>0</v>
      </c>
      <c r="H24" s="521">
        <v>0</v>
      </c>
      <c r="I24" s="521">
        <v>0</v>
      </c>
      <c r="J24" s="521">
        <v>0</v>
      </c>
      <c r="K24" s="521">
        <v>0</v>
      </c>
      <c r="L24" s="521">
        <v>0</v>
      </c>
      <c r="M24" s="521">
        <v>0</v>
      </c>
      <c r="N24" s="522">
        <f>SUM(B24:M24)</f>
        <v>0</v>
      </c>
    </row>
    <row r="25" spans="1:14" s="1" customFormat="1" ht="15" customHeight="1">
      <c r="A25" s="1196"/>
      <c r="B25" s="1196"/>
      <c r="C25" s="1196"/>
      <c r="D25" s="1196"/>
      <c r="E25" s="1196"/>
      <c r="F25" s="1196"/>
      <c r="G25" s="1196"/>
      <c r="H25" s="1196"/>
      <c r="I25" s="1196"/>
      <c r="J25" s="1196"/>
      <c r="K25" s="1196"/>
      <c r="L25" s="1196"/>
      <c r="M25" s="1196"/>
      <c r="N25" s="1196"/>
    </row>
    <row r="26" spans="1:14" s="1" customFormat="1" ht="15" customHeight="1">
      <c r="A26" s="523" t="s">
        <v>155</v>
      </c>
      <c r="B26" s="521">
        <v>0</v>
      </c>
      <c r="C26" s="521">
        <v>0</v>
      </c>
      <c r="D26" s="521">
        <v>0</v>
      </c>
      <c r="E26" s="521">
        <v>0</v>
      </c>
      <c r="F26" s="521">
        <v>0</v>
      </c>
      <c r="G26" s="521">
        <v>0</v>
      </c>
      <c r="H26" s="521">
        <v>0</v>
      </c>
      <c r="I26" s="521">
        <v>0</v>
      </c>
      <c r="J26" s="521">
        <v>0</v>
      </c>
      <c r="K26" s="521">
        <v>0</v>
      </c>
      <c r="L26" s="521">
        <v>0</v>
      </c>
      <c r="M26" s="521">
        <v>0</v>
      </c>
      <c r="N26" s="522">
        <f>SUM(B26:M26)</f>
        <v>0</v>
      </c>
    </row>
    <row r="27" spans="1:14" s="1" customFormat="1" ht="15" customHeight="1">
      <c r="A27" s="1196"/>
      <c r="B27" s="1196"/>
      <c r="C27" s="1196"/>
      <c r="D27" s="1196"/>
      <c r="E27" s="1196"/>
      <c r="F27" s="1196"/>
      <c r="G27" s="1196"/>
      <c r="H27" s="1196"/>
      <c r="I27" s="1196"/>
      <c r="J27" s="1196"/>
      <c r="K27" s="1196"/>
      <c r="L27" s="1196"/>
      <c r="M27" s="1196"/>
      <c r="N27" s="1196"/>
    </row>
    <row r="28" spans="1:14" s="1" customFormat="1" ht="15" customHeight="1">
      <c r="A28" s="523" t="s">
        <v>156</v>
      </c>
      <c r="B28" s="521">
        <v>0</v>
      </c>
      <c r="C28" s="521">
        <v>0</v>
      </c>
      <c r="D28" s="521">
        <v>0</v>
      </c>
      <c r="E28" s="521">
        <v>0</v>
      </c>
      <c r="F28" s="521">
        <v>0</v>
      </c>
      <c r="G28" s="521">
        <v>0</v>
      </c>
      <c r="H28" s="521">
        <v>0</v>
      </c>
      <c r="I28" s="521">
        <v>0</v>
      </c>
      <c r="J28" s="521">
        <v>0</v>
      </c>
      <c r="K28" s="521">
        <v>0</v>
      </c>
      <c r="L28" s="521">
        <v>0</v>
      </c>
      <c r="M28" s="521">
        <v>0</v>
      </c>
      <c r="N28" s="522">
        <f>SUM(B28:M28)</f>
        <v>0</v>
      </c>
    </row>
    <row r="29" spans="1:14" s="1" customFormat="1" ht="15" customHeight="1">
      <c r="A29" s="1197"/>
      <c r="B29" s="1197"/>
      <c r="C29" s="1197"/>
      <c r="D29" s="1197"/>
      <c r="E29" s="1197"/>
      <c r="F29" s="1197"/>
      <c r="G29" s="1197"/>
      <c r="H29" s="1197"/>
      <c r="I29" s="1197"/>
      <c r="J29" s="1197"/>
      <c r="K29" s="1197"/>
      <c r="L29" s="1197"/>
      <c r="M29" s="1197"/>
      <c r="N29" s="1197"/>
    </row>
    <row r="30" spans="1:14" s="1" customFormat="1" ht="15" customHeight="1">
      <c r="A30" s="429" t="s">
        <v>157</v>
      </c>
      <c r="B30" s="522">
        <f>B14+B16+B22+B24+B26+B28</f>
        <v>0</v>
      </c>
      <c r="C30" s="522">
        <f t="shared" ref="C30:L30" si="4">C14+C16+C22+C24+C26+C28</f>
        <v>0</v>
      </c>
      <c r="D30" s="522">
        <f t="shared" si="4"/>
        <v>0</v>
      </c>
      <c r="E30" s="522">
        <f t="shared" si="4"/>
        <v>0</v>
      </c>
      <c r="F30" s="522">
        <f t="shared" si="4"/>
        <v>0</v>
      </c>
      <c r="G30" s="522">
        <f t="shared" si="4"/>
        <v>0</v>
      </c>
      <c r="H30" s="522">
        <f t="shared" si="4"/>
        <v>0</v>
      </c>
      <c r="I30" s="522">
        <f t="shared" si="4"/>
        <v>0</v>
      </c>
      <c r="J30" s="522">
        <f t="shared" si="4"/>
        <v>0</v>
      </c>
      <c r="K30" s="522">
        <f t="shared" si="4"/>
        <v>0</v>
      </c>
      <c r="L30" s="522">
        <f t="shared" si="4"/>
        <v>0</v>
      </c>
      <c r="M30" s="522">
        <f>M14+M16+M22+M24+M26+M28</f>
        <v>0</v>
      </c>
      <c r="N30" s="522">
        <f>N14+N16+N22+N24+N26+N28</f>
        <v>0</v>
      </c>
    </row>
    <row r="31" spans="1:14" s="1" customFormat="1" ht="15" customHeight="1">
      <c r="A31" s="1198"/>
      <c r="B31" s="1198"/>
      <c r="C31" s="1198"/>
      <c r="D31" s="1198"/>
      <c r="E31" s="1198"/>
      <c r="F31" s="1198"/>
      <c r="G31" s="1198"/>
      <c r="H31" s="1198"/>
      <c r="I31" s="1198"/>
      <c r="J31" s="1198"/>
      <c r="K31" s="1198"/>
      <c r="L31" s="1198"/>
      <c r="M31" s="1198"/>
      <c r="N31" s="1198"/>
    </row>
    <row r="32" spans="1:14" s="1" customFormat="1" ht="15" customHeight="1">
      <c r="A32" s="519" t="s">
        <v>158</v>
      </c>
      <c r="B32" s="529">
        <f>B8-B30</f>
        <v>0</v>
      </c>
      <c r="C32" s="529">
        <f>C8-C30</f>
        <v>0</v>
      </c>
      <c r="D32" s="529">
        <f t="shared" ref="D32:L32" si="5">D8-D30</f>
        <v>0</v>
      </c>
      <c r="E32" s="529">
        <f t="shared" si="5"/>
        <v>0</v>
      </c>
      <c r="F32" s="529">
        <f t="shared" si="5"/>
        <v>0</v>
      </c>
      <c r="G32" s="529">
        <f t="shared" si="5"/>
        <v>0</v>
      </c>
      <c r="H32" s="529">
        <f t="shared" si="5"/>
        <v>0</v>
      </c>
      <c r="I32" s="529">
        <f t="shared" si="5"/>
        <v>0</v>
      </c>
      <c r="J32" s="529">
        <f t="shared" si="5"/>
        <v>0</v>
      </c>
      <c r="K32" s="529">
        <f t="shared" si="5"/>
        <v>0</v>
      </c>
      <c r="L32" s="529">
        <f t="shared" si="5"/>
        <v>0</v>
      </c>
      <c r="M32" s="529">
        <f>M8-M30</f>
        <v>0</v>
      </c>
      <c r="N32" s="528">
        <f>N8-N30</f>
        <v>0</v>
      </c>
    </row>
  </sheetData>
  <mergeCells count="9">
    <mergeCell ref="A27:N27"/>
    <mergeCell ref="A29:N29"/>
    <mergeCell ref="A31:N31"/>
    <mergeCell ref="A2:I3"/>
    <mergeCell ref="A9:N9"/>
    <mergeCell ref="A15:N15"/>
    <mergeCell ref="A17:N17"/>
    <mergeCell ref="A23:N23"/>
    <mergeCell ref="A25:N25"/>
  </mergeCells>
  <pageMargins left="0.405092592592593" right="0.47453703703703698" top="0.55118110236220497" bottom="0.94488188976377996" header="0.31496062992126" footer="0.31496062992126"/>
  <pageSetup scale="77" fitToHeight="0" orientation="landscape" r:id="rId1"/>
  <headerFooter scaleWithDoc="0">
    <oddHeader>&amp;C&amp;G</oddHeader>
    <oddFooter>&amp;C&amp;G&amp;R&amp;P</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5">
    <tabColor rgb="FF7030A0"/>
    <pageSetUpPr fitToPage="1"/>
  </sheetPr>
  <dimension ref="A1:H68"/>
  <sheetViews>
    <sheetView showGridLines="0" view="pageLayout" zoomScaleNormal="100" workbookViewId="0">
      <selection activeCell="H10" sqref="H10"/>
    </sheetView>
  </sheetViews>
  <sheetFormatPr baseColWidth="10" defaultColWidth="9.1640625" defaultRowHeight="15"/>
  <cols>
    <col min="1" max="1" width="36.83203125" customWidth="1"/>
    <col min="2" max="2" width="16.5" customWidth="1"/>
    <col min="4" max="6" width="16.33203125" customWidth="1"/>
    <col min="7" max="7" width="6.33203125" customWidth="1"/>
  </cols>
  <sheetData>
    <row r="1" spans="1:7" ht="33" customHeight="1"/>
    <row r="2" spans="1:7" s="1" customFormat="1" ht="15" customHeight="1">
      <c r="A2" s="1004" t="s">
        <v>788</v>
      </c>
      <c r="B2" s="1004"/>
      <c r="C2" s="1004"/>
      <c r="D2" s="1004"/>
      <c r="E2" s="1004"/>
    </row>
    <row r="3" spans="1:7" s="1" customFormat="1" ht="8.25" customHeight="1">
      <c r="A3" s="1004"/>
      <c r="B3" s="1004"/>
      <c r="C3" s="1004"/>
      <c r="D3" s="1004"/>
      <c r="E3" s="1004"/>
    </row>
    <row r="4" spans="1:7" s="1" customFormat="1" ht="15" customHeight="1">
      <c r="A4" s="412" t="s">
        <v>756</v>
      </c>
      <c r="B4" s="412"/>
      <c r="C4" s="5"/>
      <c r="D4" s="5"/>
      <c r="E4" s="603"/>
      <c r="F4" s="603"/>
      <c r="G4" s="603"/>
    </row>
    <row r="5" spans="1:7" s="1" customFormat="1" ht="15" customHeight="1">
      <c r="A5" s="640" t="s">
        <v>162</v>
      </c>
      <c r="B5" s="602"/>
      <c r="C5" s="5"/>
      <c r="D5" s="641">
        <v>0</v>
      </c>
      <c r="E5" s="606"/>
      <c r="F5" s="606"/>
      <c r="G5" s="606"/>
    </row>
    <row r="6" spans="1:7" s="1" customFormat="1" ht="15" customHeight="1">
      <c r="A6" s="640" t="s">
        <v>110</v>
      </c>
      <c r="B6" s="602"/>
      <c r="C6" s="5"/>
      <c r="D6" s="641">
        <v>0</v>
      </c>
      <c r="E6" s="606"/>
      <c r="F6" s="606"/>
      <c r="G6" s="606"/>
    </row>
    <row r="7" spans="1:7" s="1" customFormat="1" ht="15" customHeight="1">
      <c r="A7" s="640" t="s">
        <v>43</v>
      </c>
      <c r="B7" s="602"/>
      <c r="C7" s="5"/>
      <c r="D7" s="641">
        <v>0</v>
      </c>
      <c r="E7" s="606"/>
      <c r="F7" s="606"/>
      <c r="G7" s="606"/>
    </row>
    <row r="8" spans="1:7" s="1" customFormat="1" ht="15" customHeight="1">
      <c r="A8" s="640" t="s">
        <v>16</v>
      </c>
      <c r="B8" s="602"/>
      <c r="C8" s="5"/>
      <c r="D8" s="641">
        <v>0</v>
      </c>
      <c r="E8" s="606"/>
      <c r="F8" s="606"/>
      <c r="G8" s="606"/>
    </row>
    <row r="9" spans="1:7" s="1" customFormat="1" ht="15" customHeight="1">
      <c r="A9" s="640" t="s">
        <v>757</v>
      </c>
      <c r="B9" s="602"/>
      <c r="C9" s="5"/>
      <c r="D9" s="641">
        <v>0</v>
      </c>
      <c r="E9" s="606"/>
      <c r="F9" s="606"/>
      <c r="G9" s="606"/>
    </row>
    <row r="10" spans="1:7" s="1" customFormat="1" ht="3.75" customHeight="1">
      <c r="A10" s="607"/>
      <c r="B10" s="607"/>
      <c r="C10" s="603"/>
      <c r="D10" s="608"/>
      <c r="E10" s="606"/>
      <c r="F10" s="609"/>
      <c r="G10" s="609"/>
    </row>
    <row r="11" spans="1:7" s="1" customFormat="1" ht="15" customHeight="1">
      <c r="A11" s="683" t="s">
        <v>758</v>
      </c>
      <c r="B11" s="683"/>
      <c r="C11" s="685"/>
      <c r="D11" s="686"/>
      <c r="E11" s="685"/>
      <c r="F11" s="687">
        <f>SUM(D5:D9)</f>
        <v>0</v>
      </c>
      <c r="G11" s="612"/>
    </row>
    <row r="12" spans="1:7" s="1" customFormat="1" ht="3.75" customHeight="1">
      <c r="A12" s="613"/>
      <c r="B12" s="613"/>
      <c r="C12" s="603"/>
      <c r="D12" s="606"/>
      <c r="E12" s="603"/>
      <c r="F12" s="609"/>
      <c r="G12" s="609"/>
    </row>
    <row r="13" spans="1:7" s="1" customFormat="1" ht="15" customHeight="1">
      <c r="A13" s="412" t="s">
        <v>759</v>
      </c>
      <c r="B13" s="642" t="s">
        <v>61</v>
      </c>
      <c r="C13" s="643"/>
      <c r="D13" s="643"/>
      <c r="E13" s="643"/>
      <c r="F13" s="642" t="s">
        <v>787</v>
      </c>
      <c r="G13" s="614"/>
    </row>
    <row r="14" spans="1:7" s="1" customFormat="1" ht="15" customHeight="1">
      <c r="A14" s="602"/>
      <c r="B14" s="644" t="s">
        <v>162</v>
      </c>
      <c r="C14" s="602"/>
      <c r="D14" s="645">
        <v>0</v>
      </c>
      <c r="E14" s="643"/>
      <c r="F14" s="641">
        <v>0</v>
      </c>
      <c r="G14" s="605"/>
    </row>
    <row r="15" spans="1:7" s="1" customFormat="1" ht="15" customHeight="1">
      <c r="A15" s="602"/>
      <c r="B15" s="644" t="s">
        <v>110</v>
      </c>
      <c r="C15" s="602"/>
      <c r="D15" s="645">
        <v>0</v>
      </c>
      <c r="E15" s="643"/>
      <c r="F15" s="641">
        <v>0</v>
      </c>
      <c r="G15" s="605"/>
    </row>
    <row r="16" spans="1:7" s="1" customFormat="1" ht="15" customHeight="1">
      <c r="A16" s="602"/>
      <c r="B16" s="644" t="s">
        <v>43</v>
      </c>
      <c r="C16" s="602"/>
      <c r="D16" s="645">
        <v>0</v>
      </c>
      <c r="E16" s="643"/>
      <c r="F16" s="641">
        <v>0</v>
      </c>
      <c r="G16" s="605"/>
    </row>
    <row r="17" spans="1:8" s="1" customFormat="1" ht="15" customHeight="1">
      <c r="A17" s="602"/>
      <c r="B17" s="644" t="s">
        <v>16</v>
      </c>
      <c r="C17" s="602"/>
      <c r="D17" s="645">
        <v>0</v>
      </c>
      <c r="E17" s="643"/>
      <c r="F17" s="641">
        <v>0</v>
      </c>
      <c r="G17" s="605"/>
    </row>
    <row r="18" spans="1:8" s="1" customFormat="1" ht="15" customHeight="1" thickBot="1">
      <c r="A18" s="602"/>
      <c r="B18" s="644" t="s">
        <v>40</v>
      </c>
      <c r="C18" s="602"/>
      <c r="D18" s="645">
        <v>0</v>
      </c>
      <c r="E18" s="643"/>
      <c r="F18" s="641">
        <v>0</v>
      </c>
      <c r="G18" s="605"/>
    </row>
    <row r="19" spans="1:8" s="1" customFormat="1" ht="15" customHeight="1" thickTop="1">
      <c r="A19" s="602" t="s">
        <v>148</v>
      </c>
      <c r="B19" s="602"/>
      <c r="C19" s="643"/>
      <c r="D19" s="646">
        <f>SUM(D14:D18)</f>
        <v>0</v>
      </c>
      <c r="E19" s="645"/>
      <c r="F19" s="647">
        <f>SUM(F14:F18)</f>
        <v>0</v>
      </c>
      <c r="G19" s="616"/>
    </row>
    <row r="20" spans="1:8" s="1" customFormat="1" ht="3.75" customHeight="1">
      <c r="A20" s="602"/>
      <c r="B20" s="602"/>
      <c r="C20" s="643"/>
      <c r="D20" s="645"/>
      <c r="E20" s="645"/>
      <c r="F20" s="645"/>
      <c r="G20" s="608"/>
    </row>
    <row r="21" spans="1:8" s="1" customFormat="1" ht="3.75" hidden="1" customHeight="1">
      <c r="A21" s="648"/>
      <c r="B21" s="648"/>
      <c r="C21" s="649"/>
      <c r="D21" s="650"/>
      <c r="E21" s="650"/>
      <c r="F21" s="650"/>
      <c r="G21" s="617"/>
    </row>
    <row r="22" spans="1:8" s="1" customFormat="1" ht="15" customHeight="1">
      <c r="A22" s="412" t="s">
        <v>760</v>
      </c>
      <c r="B22" s="412"/>
      <c r="C22" s="643"/>
      <c r="D22" s="651"/>
      <c r="E22" s="641">
        <v>0</v>
      </c>
      <c r="F22" s="645" t="s">
        <v>761</v>
      </c>
      <c r="G22" s="605"/>
    </row>
    <row r="23" spans="1:8" s="1" customFormat="1" ht="3.75" customHeight="1">
      <c r="A23" s="602"/>
      <c r="B23" s="602"/>
      <c r="C23" s="643"/>
      <c r="D23" s="645"/>
      <c r="E23" s="645"/>
      <c r="F23" s="645"/>
      <c r="G23" s="608"/>
    </row>
    <row r="24" spans="1:8" s="1" customFormat="1" ht="15" customHeight="1">
      <c r="A24" s="648" t="s">
        <v>75</v>
      </c>
      <c r="B24" s="648"/>
      <c r="C24" s="649"/>
      <c r="D24" s="641">
        <f>E25-E22</f>
        <v>0</v>
      </c>
      <c r="E24" s="652"/>
      <c r="F24" s="650"/>
      <c r="G24" s="617"/>
    </row>
    <row r="25" spans="1:8" s="1" customFormat="1" ht="15" customHeight="1">
      <c r="A25" s="602"/>
      <c r="B25" s="602"/>
      <c r="C25" s="643"/>
      <c r="D25" s="5"/>
      <c r="E25" s="641">
        <v>0</v>
      </c>
      <c r="F25" s="645" t="s">
        <v>762</v>
      </c>
      <c r="G25" s="605"/>
    </row>
    <row r="26" spans="1:8" s="1" customFormat="1" ht="3.75" customHeight="1">
      <c r="A26" s="613"/>
      <c r="B26" s="615"/>
      <c r="C26" s="606"/>
      <c r="D26" s="606"/>
      <c r="E26" s="608"/>
      <c r="F26" s="608"/>
      <c r="G26" s="608"/>
    </row>
    <row r="27" spans="1:8">
      <c r="A27" s="683" t="s">
        <v>763</v>
      </c>
      <c r="B27" s="618"/>
      <c r="C27" s="610"/>
      <c r="D27" s="611"/>
      <c r="E27" s="619"/>
      <c r="F27" s="620">
        <f>D19+D24</f>
        <v>0</v>
      </c>
      <c r="G27" s="621"/>
      <c r="H27" s="1"/>
    </row>
    <row r="28" spans="1:8" ht="3.75" customHeight="1">
      <c r="A28" s="613"/>
      <c r="B28" s="615"/>
      <c r="C28" s="606"/>
      <c r="D28" s="606"/>
      <c r="E28" s="606"/>
      <c r="F28" s="609"/>
      <c r="G28" s="609"/>
      <c r="H28" s="1"/>
    </row>
    <row r="29" spans="1:8">
      <c r="A29" s="412" t="s">
        <v>48</v>
      </c>
      <c r="B29" s="412"/>
      <c r="C29" s="643"/>
      <c r="D29" s="643"/>
      <c r="E29" s="643"/>
      <c r="F29" s="653"/>
      <c r="G29" s="609"/>
      <c r="H29" s="1"/>
    </row>
    <row r="30" spans="1:8" ht="3.75" customHeight="1">
      <c r="A30" s="654"/>
      <c r="B30" s="654"/>
      <c r="C30" s="643"/>
      <c r="D30" s="643"/>
      <c r="E30" s="643"/>
      <c r="F30" s="653"/>
      <c r="G30" s="609"/>
      <c r="H30" s="1"/>
    </row>
    <row r="31" spans="1:8">
      <c r="A31" s="602" t="s">
        <v>764</v>
      </c>
      <c r="B31" s="602"/>
      <c r="C31" s="655">
        <v>0</v>
      </c>
      <c r="D31" s="641">
        <f>F11*C31</f>
        <v>0</v>
      </c>
      <c r="E31" s="643"/>
      <c r="F31" s="653"/>
      <c r="G31" s="609"/>
      <c r="H31" s="364"/>
    </row>
    <row r="32" spans="1:8">
      <c r="A32" s="602"/>
      <c r="B32" s="644" t="s">
        <v>162</v>
      </c>
      <c r="C32" s="655">
        <v>0</v>
      </c>
      <c r="D32" s="641">
        <f>C32*F14</f>
        <v>0</v>
      </c>
      <c r="E32" s="643"/>
      <c r="F32" s="653"/>
      <c r="G32" s="609"/>
      <c r="H32" s="364"/>
    </row>
    <row r="33" spans="1:8">
      <c r="A33" s="602"/>
      <c r="B33" s="644" t="s">
        <v>110</v>
      </c>
      <c r="C33" s="655">
        <v>0</v>
      </c>
      <c r="D33" s="641">
        <f>C33*F15</f>
        <v>0</v>
      </c>
      <c r="E33" s="643"/>
      <c r="F33" s="653"/>
      <c r="G33" s="609"/>
      <c r="H33" s="364"/>
    </row>
    <row r="34" spans="1:8">
      <c r="A34" s="602"/>
      <c r="B34" s="644" t="s">
        <v>43</v>
      </c>
      <c r="C34" s="655">
        <v>0</v>
      </c>
      <c r="D34" s="641">
        <f>C34*F16</f>
        <v>0</v>
      </c>
      <c r="E34" s="643"/>
      <c r="F34" s="653"/>
      <c r="G34" s="609"/>
      <c r="H34" s="364"/>
    </row>
    <row r="35" spans="1:8">
      <c r="A35" s="602"/>
      <c r="B35" s="644" t="s">
        <v>16</v>
      </c>
      <c r="C35" s="655">
        <v>0</v>
      </c>
      <c r="D35" s="641">
        <f>C35*F17</f>
        <v>0</v>
      </c>
      <c r="E35" s="643"/>
      <c r="F35" s="653"/>
      <c r="G35" s="609"/>
      <c r="H35" s="364"/>
    </row>
    <row r="36" spans="1:8">
      <c r="A36" s="602"/>
      <c r="B36" s="644" t="s">
        <v>40</v>
      </c>
      <c r="C36" s="655">
        <v>0</v>
      </c>
      <c r="D36" s="641">
        <f>C36*F18</f>
        <v>0</v>
      </c>
      <c r="E36" s="643"/>
      <c r="F36" s="653"/>
      <c r="G36" s="609"/>
      <c r="H36" s="364"/>
    </row>
    <row r="37" spans="1:8">
      <c r="A37" s="602" t="s">
        <v>194</v>
      </c>
      <c r="B37" s="602"/>
      <c r="C37" s="655">
        <v>0</v>
      </c>
      <c r="D37" s="641">
        <f>F11*C37</f>
        <v>0</v>
      </c>
      <c r="E37" s="643"/>
      <c r="F37" s="653"/>
      <c r="G37" s="609"/>
      <c r="H37" s="364"/>
    </row>
    <row r="38" spans="1:8">
      <c r="A38" s="602" t="s">
        <v>178</v>
      </c>
      <c r="B38" s="602"/>
      <c r="C38" s="655">
        <v>0</v>
      </c>
      <c r="D38" s="641">
        <f>F11*C38</f>
        <v>0</v>
      </c>
      <c r="E38" s="643"/>
      <c r="F38" s="653"/>
      <c r="G38" s="609"/>
      <c r="H38" s="364"/>
    </row>
    <row r="39" spans="1:8">
      <c r="A39" s="602" t="s">
        <v>765</v>
      </c>
      <c r="B39" s="602"/>
      <c r="C39" s="655">
        <v>0</v>
      </c>
      <c r="D39" s="641">
        <f>C39*F11</f>
        <v>0</v>
      </c>
      <c r="E39" s="643"/>
      <c r="F39" s="653"/>
      <c r="G39" s="609"/>
      <c r="H39" s="364"/>
    </row>
    <row r="40" spans="1:8">
      <c r="A40" s="602" t="s">
        <v>766</v>
      </c>
      <c r="B40" s="602"/>
      <c r="C40" s="655">
        <v>0</v>
      </c>
      <c r="D40" s="641">
        <v>0</v>
      </c>
      <c r="E40" s="643"/>
      <c r="F40" s="653"/>
      <c r="G40" s="609"/>
      <c r="H40" s="364"/>
    </row>
    <row r="41" spans="1:8">
      <c r="A41" s="602" t="s">
        <v>767</v>
      </c>
      <c r="B41" s="602"/>
      <c r="C41" s="655">
        <v>0</v>
      </c>
      <c r="D41" s="641">
        <f>C41*F11</f>
        <v>0</v>
      </c>
      <c r="E41" s="643"/>
      <c r="F41" s="653"/>
      <c r="G41" s="609"/>
      <c r="H41" s="364"/>
    </row>
    <row r="42" spans="1:8">
      <c r="A42" s="602" t="s">
        <v>768</v>
      </c>
      <c r="B42" s="602"/>
      <c r="C42" s="643"/>
      <c r="D42" s="641">
        <v>0</v>
      </c>
      <c r="E42" s="643"/>
      <c r="F42" s="653"/>
      <c r="G42" s="609"/>
      <c r="H42" s="364"/>
    </row>
    <row r="43" spans="1:8" ht="3.75" customHeight="1">
      <c r="A43" s="615"/>
      <c r="B43" s="613"/>
      <c r="C43" s="606"/>
      <c r="D43" s="606"/>
      <c r="E43" s="606"/>
      <c r="F43" s="609"/>
      <c r="G43" s="609"/>
      <c r="H43" s="364"/>
    </row>
    <row r="44" spans="1:8">
      <c r="A44" s="683" t="s">
        <v>769</v>
      </c>
      <c r="B44" s="683"/>
      <c r="C44" s="685"/>
      <c r="D44" s="686"/>
      <c r="E44" s="685"/>
      <c r="F44" s="688">
        <f>SUM(D31:D42)</f>
        <v>0</v>
      </c>
      <c r="G44" s="622"/>
      <c r="H44" s="364"/>
    </row>
    <row r="45" spans="1:8" ht="3.75" customHeight="1">
      <c r="A45" s="623"/>
      <c r="B45" s="624"/>
      <c r="C45" s="625"/>
      <c r="D45" s="625"/>
      <c r="E45" s="625"/>
      <c r="F45" s="626"/>
      <c r="G45" s="626"/>
      <c r="H45" s="364"/>
    </row>
    <row r="46" spans="1:8">
      <c r="A46" s="656" t="s">
        <v>770</v>
      </c>
      <c r="B46" s="656"/>
      <c r="C46" s="657"/>
      <c r="D46" s="658"/>
      <c r="E46" s="659"/>
      <c r="F46" s="660">
        <v>0</v>
      </c>
      <c r="G46" s="630"/>
      <c r="H46" s="364"/>
    </row>
    <row r="47" spans="1:8">
      <c r="A47" s="656" t="s">
        <v>771</v>
      </c>
      <c r="B47" s="656"/>
      <c r="C47" s="657"/>
      <c r="D47" s="661"/>
      <c r="E47" s="659"/>
      <c r="F47" s="662">
        <v>0</v>
      </c>
      <c r="G47" s="632"/>
      <c r="H47" s="364"/>
    </row>
    <row r="48" spans="1:8">
      <c r="A48" s="656" t="s">
        <v>772</v>
      </c>
      <c r="B48" s="656"/>
      <c r="C48" s="657"/>
      <c r="D48" s="659"/>
      <c r="E48" s="659"/>
      <c r="F48" s="662">
        <v>0</v>
      </c>
      <c r="G48" s="632"/>
      <c r="H48" s="364"/>
    </row>
    <row r="49" spans="1:8" ht="3.75" customHeight="1">
      <c r="A49" s="627"/>
      <c r="B49" s="628"/>
      <c r="C49" s="629"/>
      <c r="D49" s="631"/>
      <c r="E49" s="631"/>
      <c r="F49" s="633"/>
      <c r="G49" s="633"/>
      <c r="H49" s="364"/>
    </row>
    <row r="50" spans="1:8">
      <c r="A50" s="684" t="s">
        <v>773</v>
      </c>
      <c r="B50" s="689"/>
      <c r="C50" s="689"/>
      <c r="D50" s="689"/>
      <c r="E50" s="689"/>
      <c r="F50" s="690">
        <f>SUM(F46:F49)</f>
        <v>0</v>
      </c>
      <c r="G50" s="634"/>
      <c r="H50" s="364"/>
    </row>
    <row r="51" spans="1:8" ht="3.75" customHeight="1">
      <c r="A51" s="604"/>
      <c r="B51" s="604"/>
      <c r="C51" s="603"/>
      <c r="D51" s="603"/>
      <c r="E51" s="603"/>
      <c r="F51" s="635"/>
      <c r="G51" s="635"/>
      <c r="H51" s="364"/>
    </row>
    <row r="52" spans="1:8">
      <c r="A52" s="691" t="s">
        <v>774</v>
      </c>
      <c r="B52" s="691"/>
      <c r="C52" s="692"/>
      <c r="D52" s="693"/>
      <c r="E52" s="692"/>
      <c r="F52" s="694">
        <f>F11-F27-F44+F50</f>
        <v>0</v>
      </c>
      <c r="G52" s="634"/>
      <c r="H52" s="364"/>
    </row>
    <row r="53" spans="1:8">
      <c r="A53" s="663" t="s">
        <v>775</v>
      </c>
      <c r="B53" s="663"/>
      <c r="C53" s="664"/>
      <c r="D53" s="664"/>
      <c r="E53" s="664"/>
      <c r="F53" s="660">
        <v>0</v>
      </c>
      <c r="G53" s="630"/>
      <c r="H53" s="364"/>
    </row>
    <row r="54" spans="1:8" ht="16" thickBot="1">
      <c r="A54" s="665" t="s">
        <v>776</v>
      </c>
      <c r="B54" s="666"/>
      <c r="C54" s="667"/>
      <c r="D54" s="668"/>
      <c r="E54" s="667"/>
      <c r="F54" s="669">
        <v>0</v>
      </c>
      <c r="G54" s="636"/>
      <c r="H54" s="364"/>
    </row>
    <row r="55" spans="1:8" ht="16" thickTop="1">
      <c r="A55" s="695" t="s">
        <v>777</v>
      </c>
      <c r="B55" s="696"/>
      <c r="C55" s="695"/>
      <c r="D55" s="695"/>
      <c r="E55" s="695"/>
      <c r="F55" s="697">
        <f>SUM(F52:F54)</f>
        <v>0</v>
      </c>
      <c r="G55" s="634"/>
      <c r="H55" s="364"/>
    </row>
    <row r="56" spans="1:8" ht="3.75" customHeight="1">
      <c r="A56" s="696"/>
      <c r="B56" s="696"/>
      <c r="C56" s="695"/>
      <c r="D56" s="695"/>
      <c r="E56" s="695"/>
      <c r="F56" s="698"/>
      <c r="G56" s="637"/>
      <c r="H56" s="364"/>
    </row>
    <row r="57" spans="1:8">
      <c r="A57" s="695" t="s">
        <v>778</v>
      </c>
      <c r="B57" s="696"/>
      <c r="C57" s="695"/>
      <c r="D57" s="695"/>
      <c r="E57" s="695"/>
      <c r="F57" s="698"/>
      <c r="G57" s="637"/>
      <c r="H57" s="364"/>
    </row>
    <row r="58" spans="1:8">
      <c r="A58" s="670" t="s">
        <v>779</v>
      </c>
      <c r="B58" s="671"/>
      <c r="C58" s="672"/>
      <c r="D58" s="672"/>
      <c r="E58" s="672"/>
      <c r="F58" s="673">
        <v>0</v>
      </c>
      <c r="G58" s="636"/>
      <c r="H58" s="364"/>
    </row>
    <row r="59" spans="1:8">
      <c r="A59" s="674" t="s">
        <v>780</v>
      </c>
      <c r="B59" s="663"/>
      <c r="C59" s="664"/>
      <c r="D59" s="664"/>
      <c r="E59" s="675"/>
      <c r="F59" s="676">
        <v>0</v>
      </c>
      <c r="G59" s="636"/>
      <c r="H59" s="364"/>
    </row>
    <row r="60" spans="1:8" ht="16" thickBot="1">
      <c r="A60" s="677" t="s">
        <v>781</v>
      </c>
      <c r="B60" s="665"/>
      <c r="C60" s="678"/>
      <c r="D60" s="679"/>
      <c r="E60" s="680"/>
      <c r="F60" s="681">
        <v>0</v>
      </c>
      <c r="G60" s="636"/>
      <c r="H60" s="364"/>
    </row>
    <row r="61" spans="1:8" ht="16" thickTop="1">
      <c r="A61" s="699" t="s">
        <v>779</v>
      </c>
      <c r="B61" s="696"/>
      <c r="C61" s="695"/>
      <c r="D61" s="695"/>
      <c r="E61" s="700"/>
      <c r="F61" s="701">
        <f>SUM(F58:F60)</f>
        <v>0</v>
      </c>
      <c r="G61" s="634"/>
      <c r="H61" s="364"/>
    </row>
    <row r="62" spans="1:8" ht="16" thickBot="1">
      <c r="A62" s="677" t="s">
        <v>782</v>
      </c>
      <c r="B62" s="665"/>
      <c r="C62" s="679"/>
      <c r="D62" s="638"/>
      <c r="E62" s="638">
        <v>0.15</v>
      </c>
      <c r="F62" s="682">
        <f>$G$10*E62</f>
        <v>0</v>
      </c>
      <c r="G62" s="639"/>
      <c r="H62" s="364"/>
    </row>
    <row r="63" spans="1:8" ht="16" thickTop="1">
      <c r="A63" s="702" t="s">
        <v>783</v>
      </c>
      <c r="B63" s="703"/>
      <c r="C63" s="704"/>
      <c r="D63" s="705"/>
      <c r="E63" s="705"/>
      <c r="F63" s="706">
        <f>F61-F62</f>
        <v>0</v>
      </c>
      <c r="G63" s="634"/>
      <c r="H63" s="364"/>
    </row>
    <row r="64" spans="1:8">
      <c r="A64" s="695" t="s">
        <v>784</v>
      </c>
      <c r="B64" s="696"/>
      <c r="C64" s="695"/>
      <c r="D64" s="695"/>
      <c r="E64" s="700"/>
      <c r="F64" s="698"/>
      <c r="G64" s="637"/>
      <c r="H64" s="364"/>
    </row>
    <row r="65" spans="1:8">
      <c r="A65" s="670" t="s">
        <v>785</v>
      </c>
      <c r="B65" s="671"/>
      <c r="C65" s="672"/>
      <c r="D65" s="672"/>
      <c r="E65" s="672"/>
      <c r="F65" s="673">
        <v>0</v>
      </c>
      <c r="G65" s="636"/>
      <c r="H65" s="364"/>
    </row>
    <row r="66" spans="1:8">
      <c r="A66" s="674" t="s">
        <v>780</v>
      </c>
      <c r="B66" s="663"/>
      <c r="C66" s="664"/>
      <c r="D66" s="664"/>
      <c r="E66" s="664"/>
      <c r="F66" s="676">
        <v>0</v>
      </c>
      <c r="G66" s="636"/>
      <c r="H66" s="364"/>
    </row>
    <row r="67" spans="1:8" ht="16" thickBot="1">
      <c r="A67" s="677" t="s">
        <v>786</v>
      </c>
      <c r="B67" s="665"/>
      <c r="C67" s="679"/>
      <c r="D67" s="679"/>
      <c r="E67" s="679"/>
      <c r="F67" s="681">
        <v>0</v>
      </c>
      <c r="G67" s="636"/>
      <c r="H67" s="364"/>
    </row>
    <row r="68" spans="1:8" ht="16" thickTop="1">
      <c r="A68" s="702" t="s">
        <v>785</v>
      </c>
      <c r="B68" s="703"/>
      <c r="C68" s="704"/>
      <c r="D68" s="704"/>
      <c r="E68" s="704"/>
      <c r="F68" s="706">
        <f>SUM(F65:F67)</f>
        <v>0</v>
      </c>
      <c r="G68" s="634"/>
      <c r="H68" s="364"/>
    </row>
  </sheetData>
  <mergeCells count="1">
    <mergeCell ref="A2:E3"/>
  </mergeCells>
  <pageMargins left="0.405092592592593" right="0.47453703703703698" top="0.55118110236220497" bottom="0.94488188976377996" header="0.31496062992126" footer="0.31496062992126"/>
  <pageSetup scale="78" orientation="portrait" r:id="rId1"/>
  <headerFooter scaleWithDoc="0">
    <oddHeader>&amp;C&amp;G</oddHeader>
    <oddFooter>&amp;C&amp;G&amp;R&amp;P</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7">
    <tabColor theme="1"/>
  </sheetPr>
  <dimension ref="A2:I26"/>
  <sheetViews>
    <sheetView showGridLines="0" view="pageLayout" zoomScaleNormal="100" workbookViewId="0">
      <selection activeCell="H10" sqref="H10"/>
    </sheetView>
  </sheetViews>
  <sheetFormatPr baseColWidth="10" defaultColWidth="9.1640625" defaultRowHeight="15"/>
  <cols>
    <col min="1" max="1" width="34.6640625" style="364" customWidth="1"/>
    <col min="2" max="3" width="17" style="364" customWidth="1"/>
    <col min="4" max="4" width="3.5" style="364" customWidth="1"/>
    <col min="5" max="6" width="17" style="364" customWidth="1"/>
    <col min="7" max="7" width="10.6640625" style="364" customWidth="1"/>
    <col min="8" max="8" width="1.33203125" style="364" customWidth="1"/>
    <col min="9" max="16384" width="9.1640625" style="364"/>
  </cols>
  <sheetData>
    <row r="2" spans="1:8" ht="28.5" customHeight="1">
      <c r="A2" s="775" t="s">
        <v>817</v>
      </c>
      <c r="B2" s="771"/>
      <c r="C2" s="19"/>
      <c r="D2" s="19"/>
      <c r="E2" s="771"/>
      <c r="F2" s="771"/>
      <c r="G2" s="771"/>
      <c r="H2" s="771"/>
    </row>
    <row r="3" spans="1:8" ht="3" customHeight="1">
      <c r="A3" s="14"/>
      <c r="B3" s="771"/>
      <c r="C3" s="19"/>
      <c r="D3" s="19"/>
      <c r="E3" s="771"/>
      <c r="F3" s="771"/>
      <c r="G3" s="771"/>
      <c r="H3" s="771"/>
    </row>
    <row r="4" spans="1:8">
      <c r="A4" s="1026"/>
      <c r="B4" s="1026"/>
      <c r="C4" s="1026"/>
      <c r="D4" s="1026"/>
      <c r="E4" s="1026"/>
      <c r="F4" s="1026"/>
      <c r="G4" s="1026"/>
      <c r="H4" s="1026"/>
    </row>
    <row r="5" spans="1:8">
      <c r="A5" s="771"/>
      <c r="B5" s="771"/>
      <c r="C5" s="19"/>
      <c r="D5" s="19"/>
      <c r="E5" s="771"/>
      <c r="F5" s="771"/>
      <c r="G5" s="771"/>
      <c r="H5" s="771"/>
    </row>
    <row r="6" spans="1:8">
      <c r="A6" s="771"/>
      <c r="B6" s="771"/>
      <c r="C6" s="19"/>
      <c r="D6" s="19"/>
      <c r="E6" s="771"/>
      <c r="F6" s="771"/>
      <c r="G6" s="771"/>
      <c r="H6" s="771"/>
    </row>
    <row r="7" spans="1:8">
      <c r="A7" s="1200"/>
      <c r="B7" s="1201" t="s">
        <v>41</v>
      </c>
      <c r="C7" s="1202"/>
      <c r="D7" s="322"/>
      <c r="E7" s="1203" t="s">
        <v>44</v>
      </c>
      <c r="F7" s="1204"/>
      <c r="G7" s="771"/>
      <c r="H7" s="771"/>
    </row>
    <row r="8" spans="1:8">
      <c r="A8" s="1200"/>
      <c r="B8" s="846" t="s">
        <v>31</v>
      </c>
      <c r="C8" s="847" t="s">
        <v>74</v>
      </c>
      <c r="D8" s="322"/>
      <c r="E8" s="846" t="s">
        <v>31</v>
      </c>
      <c r="F8" s="848" t="s">
        <v>74</v>
      </c>
      <c r="G8" s="771"/>
      <c r="H8" s="771"/>
    </row>
    <row r="9" spans="1:8">
      <c r="A9" s="835" t="s">
        <v>805</v>
      </c>
      <c r="B9" s="836">
        <f>'Extended Health Care (EHC)'!C10</f>
        <v>0</v>
      </c>
      <c r="C9" s="836">
        <f>'Extended Health Care (EHC)'!C11</f>
        <v>0</v>
      </c>
      <c r="D9" s="322"/>
      <c r="E9" s="836">
        <f>'Dental Care'!C8</f>
        <v>0</v>
      </c>
      <c r="F9" s="836">
        <f>'Dental Care'!C9</f>
        <v>0</v>
      </c>
      <c r="G9" s="771"/>
      <c r="H9" s="771"/>
    </row>
    <row r="10" spans="1:8">
      <c r="A10" s="835" t="s">
        <v>806</v>
      </c>
      <c r="B10" s="837">
        <v>0</v>
      </c>
      <c r="C10" s="837">
        <v>0</v>
      </c>
      <c r="D10" s="322"/>
      <c r="E10" s="837">
        <v>0</v>
      </c>
      <c r="F10" s="837">
        <v>0</v>
      </c>
      <c r="G10" s="771"/>
      <c r="H10" s="771"/>
    </row>
    <row r="11" spans="1:8">
      <c r="A11" s="835" t="s">
        <v>807</v>
      </c>
      <c r="B11" s="836">
        <f>EHCCLAIMCURR</f>
        <v>0</v>
      </c>
      <c r="C11" s="836">
        <f>EHCCLAIM2</f>
        <v>0</v>
      </c>
      <c r="D11" s="322"/>
      <c r="E11" s="836">
        <f>DENTALCLAIMCURR</f>
        <v>0</v>
      </c>
      <c r="F11" s="836">
        <f>DENTALCLAIM2</f>
        <v>0</v>
      </c>
      <c r="G11" s="771"/>
      <c r="H11" s="771"/>
    </row>
    <row r="12" spans="1:8">
      <c r="A12" s="835" t="s">
        <v>808</v>
      </c>
      <c r="B12" s="842">
        <f>IFERROR(B11/B9,0)</f>
        <v>0</v>
      </c>
      <c r="C12" s="842">
        <f>IFERROR(C11/C9,0)</f>
        <v>0</v>
      </c>
      <c r="D12" s="322"/>
      <c r="E12" s="842">
        <f t="shared" ref="E12:F12" si="0">IFERROR(E11/E9,0)</f>
        <v>0</v>
      </c>
      <c r="F12" s="842">
        <f t="shared" si="0"/>
        <v>0</v>
      </c>
      <c r="G12" s="771"/>
      <c r="H12" s="771"/>
    </row>
    <row r="13" spans="1:8">
      <c r="A13" s="835" t="s">
        <v>318</v>
      </c>
      <c r="B13" s="836">
        <f>'Extended Health Care (EHC)'!E10</f>
        <v>0</v>
      </c>
      <c r="C13" s="836">
        <f>'Extended Health Care (EHC)'!E11</f>
        <v>0</v>
      </c>
      <c r="D13" s="322"/>
      <c r="E13" s="836">
        <f>'Dental Care'!E8</f>
        <v>0</v>
      </c>
      <c r="F13" s="836">
        <f>'Dental Care'!E9</f>
        <v>0</v>
      </c>
      <c r="G13" s="771"/>
      <c r="H13" s="771"/>
    </row>
    <row r="14" spans="1:8">
      <c r="A14" s="835" t="s">
        <v>64</v>
      </c>
      <c r="B14" s="843">
        <f>IFERROR(B13/B10,0)</f>
        <v>0</v>
      </c>
      <c r="C14" s="843">
        <f>IFERROR(C13/C10,0)</f>
        <v>0</v>
      </c>
      <c r="D14" s="322"/>
      <c r="E14" s="844">
        <f t="shared" ref="E14:F14" si="1">IFERROR(E13/E10,0)</f>
        <v>0</v>
      </c>
      <c r="F14" s="844">
        <f t="shared" si="1"/>
        <v>0</v>
      </c>
      <c r="G14" s="771"/>
      <c r="H14" s="771"/>
    </row>
    <row r="15" spans="1:8">
      <c r="A15" s="835" t="s">
        <v>809</v>
      </c>
      <c r="B15" s="838">
        <v>0.1</v>
      </c>
      <c r="C15" s="838">
        <v>0.1</v>
      </c>
      <c r="D15" s="322"/>
      <c r="E15" s="838">
        <v>0.1</v>
      </c>
      <c r="F15" s="838">
        <v>0.1</v>
      </c>
    </row>
    <row r="16" spans="1:8">
      <c r="A16" s="835" t="s">
        <v>810</v>
      </c>
      <c r="B16" s="839">
        <v>16</v>
      </c>
      <c r="C16" s="839">
        <v>28</v>
      </c>
      <c r="D16" s="322"/>
      <c r="E16" s="839">
        <v>16</v>
      </c>
      <c r="F16" s="839">
        <v>28</v>
      </c>
      <c r="G16" s="346"/>
      <c r="H16" s="346"/>
    </row>
    <row r="17" spans="1:9">
      <c r="A17" s="835" t="s">
        <v>811</v>
      </c>
      <c r="B17" s="843">
        <f>B14*((1+B15)^(B16/12))</f>
        <v>0</v>
      </c>
      <c r="C17" s="843">
        <f>C14*((1+C15)^(C16/12))</f>
        <v>0</v>
      </c>
      <c r="D17" s="322"/>
      <c r="E17" s="843">
        <f>E14*((1+E15)^(E16/12))</f>
        <v>0</v>
      </c>
      <c r="F17" s="843">
        <f>F14*((1+F15)^(F16/12))</f>
        <v>0</v>
      </c>
    </row>
    <row r="18" spans="1:9">
      <c r="A18" s="835" t="s">
        <v>104</v>
      </c>
      <c r="B18" s="840">
        <f>'Extended Health Care (EHC)'!G10</f>
        <v>0</v>
      </c>
      <c r="C18" s="850">
        <f>1-B18</f>
        <v>1</v>
      </c>
      <c r="D18" s="322"/>
      <c r="E18" s="840">
        <f>'Dental Care'!G8</f>
        <v>0</v>
      </c>
      <c r="F18" s="850">
        <f>1-E18</f>
        <v>1</v>
      </c>
    </row>
    <row r="19" spans="1:9">
      <c r="A19" s="835" t="s">
        <v>812</v>
      </c>
      <c r="B19" s="843">
        <f>B17*B18</f>
        <v>0</v>
      </c>
      <c r="C19" s="843">
        <f>C17*C18</f>
        <v>0</v>
      </c>
      <c r="D19" s="322"/>
      <c r="E19" s="843">
        <f>E17*E18</f>
        <v>0</v>
      </c>
      <c r="F19" s="843">
        <f>F17*F18</f>
        <v>0</v>
      </c>
    </row>
    <row r="20" spans="1:9">
      <c r="A20" s="835" t="s">
        <v>48</v>
      </c>
      <c r="B20" s="845">
        <f>1-'Extended Health Care (EHC)'!B17</f>
        <v>1</v>
      </c>
      <c r="C20" s="845">
        <f>B20</f>
        <v>1</v>
      </c>
      <c r="D20" s="322"/>
      <c r="E20" s="845">
        <f>1-'Dental Care'!B14</f>
        <v>1</v>
      </c>
      <c r="F20" s="845">
        <f>E20</f>
        <v>1</v>
      </c>
    </row>
    <row r="21" spans="1:9">
      <c r="A21" s="835"/>
      <c r="B21" s="841"/>
      <c r="C21" s="841"/>
      <c r="D21" s="322"/>
      <c r="E21" s="841"/>
      <c r="F21" s="841"/>
    </row>
    <row r="22" spans="1:9">
      <c r="A22" s="849" t="s">
        <v>813</v>
      </c>
      <c r="B22" s="1205" t="e">
        <f>(B19+C19)/(1-B20)-1</f>
        <v>#DIV/0!</v>
      </c>
      <c r="C22" s="1206"/>
      <c r="D22" s="322"/>
      <c r="E22" s="1205" t="e">
        <f>(E19+F19)/(1-E20)-1</f>
        <v>#DIV/0!</v>
      </c>
      <c r="F22" s="1206"/>
    </row>
    <row r="23" spans="1:9">
      <c r="A23" s="849" t="s">
        <v>814</v>
      </c>
      <c r="B23" s="1207" t="e">
        <f>B10*B22</f>
        <v>#DIV/0!</v>
      </c>
      <c r="C23" s="1208"/>
      <c r="D23" s="322"/>
      <c r="E23" s="1207" t="e">
        <f>E10*E22</f>
        <v>#DIV/0!</v>
      </c>
      <c r="F23" s="1208"/>
    </row>
    <row r="25" spans="1:9" ht="42" customHeight="1">
      <c r="A25" s="776" t="s">
        <v>806</v>
      </c>
      <c r="B25" s="1199" t="s">
        <v>816</v>
      </c>
      <c r="C25" s="1199"/>
      <c r="D25" s="1199"/>
      <c r="E25" s="1199"/>
      <c r="F25" s="1199"/>
      <c r="G25" s="1199"/>
      <c r="H25" s="1199"/>
      <c r="I25" s="1199"/>
    </row>
    <row r="26" spans="1:9">
      <c r="A26" s="279" t="s">
        <v>810</v>
      </c>
      <c r="B26" s="279" t="s">
        <v>815</v>
      </c>
    </row>
  </sheetData>
  <mergeCells count="9">
    <mergeCell ref="B25:I25"/>
    <mergeCell ref="A4:H4"/>
    <mergeCell ref="A7:A8"/>
    <mergeCell ref="B7:C7"/>
    <mergeCell ref="E7:F7"/>
    <mergeCell ref="B22:C22"/>
    <mergeCell ref="E22:F22"/>
    <mergeCell ref="B23:C23"/>
    <mergeCell ref="E23:F23"/>
  </mergeCells>
  <pageMargins left="0.405092592592593" right="0.47453703703703698" top="0.55118110236220497" bottom="0.94488188976377996" header="0.31496062992126" footer="0.31496062992126"/>
  <pageSetup fitToWidth="0" orientation="landscape" r:id="rId1"/>
  <headerFooter scaleWithDoc="0">
    <oddHeader>&amp;C&amp;G</oddHeader>
    <oddFooter>&amp;C&amp;G&amp;R&amp;P</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9">
    <tabColor rgb="FFFF0000"/>
    <pageSetUpPr fitToPage="1"/>
  </sheetPr>
  <dimension ref="A1:L175"/>
  <sheetViews>
    <sheetView showGridLines="0" view="pageLayout" zoomScaleNormal="100" workbookViewId="0">
      <selection activeCell="H10" sqref="H10"/>
    </sheetView>
  </sheetViews>
  <sheetFormatPr baseColWidth="10" defaultColWidth="9.1640625" defaultRowHeight="15" outlineLevelRow="1"/>
  <cols>
    <col min="1" max="1" width="20" customWidth="1"/>
    <col min="2" max="2" width="15.6640625" customWidth="1"/>
    <col min="3" max="3" width="9.5" customWidth="1"/>
    <col min="4" max="4" width="14" customWidth="1"/>
    <col min="5" max="5" width="9.5" customWidth="1"/>
    <col min="6" max="6" width="14" customWidth="1"/>
    <col min="7" max="7" width="8.6640625" customWidth="1"/>
    <col min="8" max="8" width="9.5" customWidth="1"/>
    <col min="9" max="9" width="14" customWidth="1"/>
    <col min="10" max="10" width="8.6640625" customWidth="1"/>
    <col min="11" max="11" width="7.5" customWidth="1"/>
    <col min="12" max="12" width="7.5" hidden="1" customWidth="1"/>
    <col min="13" max="13" width="7.5" customWidth="1"/>
    <col min="14" max="14" width="10.5" customWidth="1"/>
  </cols>
  <sheetData>
    <row r="1" spans="1:12" ht="24" customHeight="1"/>
    <row r="2" spans="1:12" s="1" customFormat="1" ht="2.25" customHeight="1">
      <c r="A2" s="1004" t="s">
        <v>22</v>
      </c>
      <c r="B2" s="1149"/>
      <c r="C2" s="1149"/>
      <c r="D2" s="1149"/>
      <c r="E2" s="1149"/>
      <c r="F2" s="1149"/>
      <c r="G2" s="1149"/>
      <c r="H2" s="22"/>
      <c r="I2" s="22"/>
      <c r="J2" s="22"/>
      <c r="K2" s="22"/>
      <c r="L2" s="22"/>
    </row>
    <row r="3" spans="1:12" s="1" customFormat="1" ht="31.5" customHeight="1">
      <c r="A3" s="1004"/>
      <c r="B3" s="1149"/>
      <c r="C3" s="1149"/>
      <c r="D3" s="1149"/>
      <c r="E3" s="1149"/>
      <c r="F3" s="1149"/>
      <c r="G3" s="1149"/>
      <c r="H3" s="22"/>
      <c r="I3" s="22"/>
      <c r="J3" s="22"/>
      <c r="K3" s="22"/>
      <c r="L3" s="22"/>
    </row>
    <row r="4" spans="1:12" s="1" customFormat="1" ht="12" customHeight="1">
      <c r="A4" s="80"/>
      <c r="B4" s="532"/>
      <c r="C4" s="1215" t="s">
        <v>31</v>
      </c>
      <c r="D4" s="1216"/>
      <c r="E4" s="1217" t="s">
        <v>32</v>
      </c>
      <c r="F4" s="1218"/>
      <c r="G4" s="1219"/>
      <c r="H4" s="1220" t="s">
        <v>159</v>
      </c>
      <c r="I4" s="1215"/>
      <c r="J4" s="1215"/>
      <c r="K4" s="24"/>
      <c r="L4" s="24"/>
    </row>
    <row r="5" spans="1:12" s="1" customFormat="1" ht="12" customHeight="1">
      <c r="A5" s="556" t="s">
        <v>34</v>
      </c>
      <c r="B5" s="407" t="s">
        <v>77</v>
      </c>
      <c r="C5" s="458" t="s">
        <v>160</v>
      </c>
      <c r="D5" s="458" t="s">
        <v>35</v>
      </c>
      <c r="E5" s="458" t="s">
        <v>160</v>
      </c>
      <c r="F5" s="458" t="s">
        <v>35</v>
      </c>
      <c r="G5" s="458" t="s">
        <v>36</v>
      </c>
      <c r="H5" s="458" t="s">
        <v>160</v>
      </c>
      <c r="I5" s="458" t="s">
        <v>35</v>
      </c>
      <c r="J5" s="492" t="s">
        <v>36</v>
      </c>
      <c r="K5" s="24"/>
      <c r="L5" s="24"/>
    </row>
    <row r="6" spans="1:12" s="1" customFormat="1" ht="12" customHeight="1">
      <c r="A6" s="448" t="s">
        <v>132</v>
      </c>
      <c r="B6" s="385"/>
      <c r="C6" s="535"/>
      <c r="D6" s="536"/>
      <c r="E6" s="537"/>
      <c r="F6" s="538"/>
      <c r="G6" s="539"/>
      <c r="H6" s="535"/>
      <c r="I6" s="536"/>
      <c r="J6" s="540"/>
      <c r="K6" s="24"/>
      <c r="L6" s="24"/>
    </row>
    <row r="7" spans="1:12" s="1" customFormat="1" ht="12" hidden="1" customHeight="1" outlineLevel="1" thickBot="1">
      <c r="A7" s="499" t="s">
        <v>675</v>
      </c>
      <c r="B7" s="385">
        <v>0</v>
      </c>
      <c r="C7" s="535">
        <v>0</v>
      </c>
      <c r="D7" s="536">
        <f>C7*B7/1000</f>
        <v>0</v>
      </c>
      <c r="E7" s="537">
        <v>0</v>
      </c>
      <c r="F7" s="538">
        <f>E7*$B7/1000</f>
        <v>0</v>
      </c>
      <c r="G7" s="539" t="e">
        <f>E7/$C7-1</f>
        <v>#DIV/0!</v>
      </c>
      <c r="H7" s="535">
        <f>ROUND($C7*(1+L7),3)</f>
        <v>0</v>
      </c>
      <c r="I7" s="536">
        <f>H7*$B7/1000</f>
        <v>0</v>
      </c>
      <c r="J7" s="540" t="e">
        <f>H7/$C7-1</f>
        <v>#DIV/0!</v>
      </c>
      <c r="K7" s="24"/>
      <c r="L7" s="193">
        <v>0</v>
      </c>
    </row>
    <row r="8" spans="1:12" s="1" customFormat="1" ht="12" hidden="1" customHeight="1" outlineLevel="1" thickBot="1">
      <c r="A8" s="499" t="s">
        <v>676</v>
      </c>
      <c r="B8" s="385">
        <v>0</v>
      </c>
      <c r="C8" s="535">
        <v>0</v>
      </c>
      <c r="D8" s="536">
        <f t="shared" ref="D8:D10" si="0">C8*B8/1000</f>
        <v>0</v>
      </c>
      <c r="E8" s="537">
        <v>0</v>
      </c>
      <c r="F8" s="538">
        <f t="shared" ref="F8:F11" si="1">E8*$B8/1000</f>
        <v>0</v>
      </c>
      <c r="G8" s="539" t="e">
        <f t="shared" ref="G8:G11" si="2">E8/$C8-1</f>
        <v>#DIV/0!</v>
      </c>
      <c r="H8" s="535">
        <f t="shared" ref="H8:H10" si="3">ROUND($C8*(1+L8),3)</f>
        <v>0</v>
      </c>
      <c r="I8" s="536">
        <f t="shared" ref="I8:I11" si="4">H8*$B8/1000</f>
        <v>0</v>
      </c>
      <c r="J8" s="540" t="e">
        <f t="shared" ref="J8:J11" si="5">H8/$C8-1</f>
        <v>#DIV/0!</v>
      </c>
      <c r="K8" s="284"/>
      <c r="L8" s="193">
        <v>0</v>
      </c>
    </row>
    <row r="9" spans="1:12" s="1" customFormat="1" ht="12" hidden="1" customHeight="1" outlineLevel="1" thickBot="1">
      <c r="A9" s="499" t="s">
        <v>677</v>
      </c>
      <c r="B9" s="385">
        <v>0</v>
      </c>
      <c r="C9" s="535">
        <v>0</v>
      </c>
      <c r="D9" s="536">
        <f t="shared" si="0"/>
        <v>0</v>
      </c>
      <c r="E9" s="537">
        <v>0</v>
      </c>
      <c r="F9" s="538">
        <f t="shared" si="1"/>
        <v>0</v>
      </c>
      <c r="G9" s="539" t="e">
        <f t="shared" si="2"/>
        <v>#DIV/0!</v>
      </c>
      <c r="H9" s="535">
        <f t="shared" si="3"/>
        <v>0</v>
      </c>
      <c r="I9" s="536">
        <f t="shared" si="4"/>
        <v>0</v>
      </c>
      <c r="J9" s="540" t="e">
        <f t="shared" si="5"/>
        <v>#DIV/0!</v>
      </c>
      <c r="K9" s="284"/>
      <c r="L9" s="193">
        <v>0</v>
      </c>
    </row>
    <row r="10" spans="1:12" s="1" customFormat="1" ht="12" hidden="1" customHeight="1" outlineLevel="1" thickBot="1">
      <c r="A10" s="499" t="s">
        <v>678</v>
      </c>
      <c r="B10" s="385">
        <v>0</v>
      </c>
      <c r="C10" s="535">
        <v>0</v>
      </c>
      <c r="D10" s="536">
        <f t="shared" si="0"/>
        <v>0</v>
      </c>
      <c r="E10" s="537">
        <v>0</v>
      </c>
      <c r="F10" s="538">
        <f t="shared" si="1"/>
        <v>0</v>
      </c>
      <c r="G10" s="539" t="e">
        <f t="shared" si="2"/>
        <v>#DIV/0!</v>
      </c>
      <c r="H10" s="535">
        <f t="shared" si="3"/>
        <v>0</v>
      </c>
      <c r="I10" s="536">
        <f t="shared" si="4"/>
        <v>0</v>
      </c>
      <c r="J10" s="540" t="e">
        <f t="shared" si="5"/>
        <v>#DIV/0!</v>
      </c>
      <c r="K10" s="284"/>
      <c r="L10" s="193">
        <v>0</v>
      </c>
    </row>
    <row r="11" spans="1:12" s="1" customFormat="1" ht="12" customHeight="1" collapsed="1" thickBot="1">
      <c r="A11" s="499" t="s">
        <v>541</v>
      </c>
      <c r="B11" s="385">
        <v>0</v>
      </c>
      <c r="C11" s="535">
        <v>0</v>
      </c>
      <c r="D11" s="536">
        <f>C11*B11/1000</f>
        <v>0</v>
      </c>
      <c r="E11" s="537">
        <v>0</v>
      </c>
      <c r="F11" s="538">
        <f t="shared" si="1"/>
        <v>0</v>
      </c>
      <c r="G11" s="539" t="e">
        <f t="shared" si="2"/>
        <v>#DIV/0!</v>
      </c>
      <c r="H11" s="535">
        <f>ROUND($C11*(1+L11),3)</f>
        <v>0</v>
      </c>
      <c r="I11" s="536">
        <f t="shared" si="4"/>
        <v>0</v>
      </c>
      <c r="J11" s="540" t="e">
        <f t="shared" si="5"/>
        <v>#DIV/0!</v>
      </c>
      <c r="K11" s="284"/>
      <c r="L11" s="193">
        <v>0</v>
      </c>
    </row>
    <row r="12" spans="1:12" s="1" customFormat="1" ht="12" customHeight="1">
      <c r="A12" s="448" t="s">
        <v>531</v>
      </c>
      <c r="B12" s="541"/>
      <c r="C12" s="542"/>
      <c r="D12" s="542">
        <f>SUM(D7:D11)</f>
        <v>0</v>
      </c>
      <c r="E12" s="542"/>
      <c r="F12" s="542">
        <f>SUM(F7:F11)</f>
        <v>0</v>
      </c>
      <c r="G12" s="543">
        <f>IFERROR(F12/$D12-1,0)</f>
        <v>0</v>
      </c>
      <c r="H12" s="542"/>
      <c r="I12" s="542">
        <f>SUM(I7:I11)</f>
        <v>0</v>
      </c>
      <c r="J12" s="543">
        <f>IFERROR(I12/$D12-1,0)</f>
        <v>0</v>
      </c>
      <c r="K12" s="24"/>
      <c r="L12" s="24"/>
    </row>
    <row r="13" spans="1:12" s="1" customFormat="1" ht="12" customHeight="1">
      <c r="A13" s="448" t="s">
        <v>38</v>
      </c>
      <c r="B13" s="544"/>
      <c r="C13" s="545"/>
      <c r="D13" s="546"/>
      <c r="E13" s="547"/>
      <c r="F13" s="548"/>
      <c r="G13" s="549"/>
      <c r="H13" s="545"/>
      <c r="I13" s="546"/>
      <c r="J13" s="550"/>
      <c r="K13" s="24"/>
      <c r="L13" s="24"/>
    </row>
    <row r="14" spans="1:12" s="1" customFormat="1" ht="12" hidden="1" customHeight="1" outlineLevel="1" thickBot="1">
      <c r="A14" s="499" t="str">
        <f>A7</f>
        <v>Class A</v>
      </c>
      <c r="B14" s="385">
        <v>0</v>
      </c>
      <c r="C14" s="535">
        <v>0</v>
      </c>
      <c r="D14" s="536">
        <f>C14*B14/1000</f>
        <v>0</v>
      </c>
      <c r="E14" s="537">
        <v>0</v>
      </c>
      <c r="F14" s="538">
        <f>E14*$B14/1000</f>
        <v>0</v>
      </c>
      <c r="G14" s="539" t="e">
        <f>E14/$C14-1</f>
        <v>#DIV/0!</v>
      </c>
      <c r="H14" s="535">
        <f>ROUND($C14*(1+L14),3)</f>
        <v>0</v>
      </c>
      <c r="I14" s="536">
        <f>H14*$B14/1000</f>
        <v>0</v>
      </c>
      <c r="J14" s="540" t="e">
        <f>H14/$C14-1</f>
        <v>#DIV/0!</v>
      </c>
      <c r="K14" s="24"/>
      <c r="L14" s="193">
        <v>0</v>
      </c>
    </row>
    <row r="15" spans="1:12" s="1" customFormat="1" ht="12" hidden="1" customHeight="1" outlineLevel="1" thickBot="1">
      <c r="A15" s="499" t="str">
        <f t="shared" ref="A15:A18" si="6">A8</f>
        <v>Class B</v>
      </c>
      <c r="B15" s="385">
        <v>0</v>
      </c>
      <c r="C15" s="535">
        <v>0</v>
      </c>
      <c r="D15" s="536">
        <f t="shared" ref="D15:D17" si="7">C15*B15/1000</f>
        <v>0</v>
      </c>
      <c r="E15" s="537">
        <v>0</v>
      </c>
      <c r="F15" s="538">
        <f t="shared" ref="F15:F17" si="8">E15*$B15/1000</f>
        <v>0</v>
      </c>
      <c r="G15" s="539" t="e">
        <f t="shared" ref="G15:G17" si="9">E15/$C15-1</f>
        <v>#DIV/0!</v>
      </c>
      <c r="H15" s="535">
        <f t="shared" ref="H15:H18" si="10">ROUND($C15*(1+L15),3)</f>
        <v>0</v>
      </c>
      <c r="I15" s="536">
        <f t="shared" ref="I15:I17" si="11">H15*$B15/1000</f>
        <v>0</v>
      </c>
      <c r="J15" s="540" t="e">
        <f t="shared" ref="J15:J17" si="12">H15/$C15-1</f>
        <v>#DIV/0!</v>
      </c>
      <c r="K15" s="284"/>
      <c r="L15" s="193">
        <v>0</v>
      </c>
    </row>
    <row r="16" spans="1:12" s="1" customFormat="1" ht="12" hidden="1" customHeight="1" outlineLevel="1" thickBot="1">
      <c r="A16" s="499" t="str">
        <f t="shared" si="6"/>
        <v>Class C</v>
      </c>
      <c r="B16" s="385">
        <v>0</v>
      </c>
      <c r="C16" s="535">
        <v>0</v>
      </c>
      <c r="D16" s="536">
        <f t="shared" si="7"/>
        <v>0</v>
      </c>
      <c r="E16" s="537">
        <v>0</v>
      </c>
      <c r="F16" s="538">
        <f t="shared" si="8"/>
        <v>0</v>
      </c>
      <c r="G16" s="539" t="e">
        <f t="shared" si="9"/>
        <v>#DIV/0!</v>
      </c>
      <c r="H16" s="535">
        <f t="shared" si="10"/>
        <v>0</v>
      </c>
      <c r="I16" s="536">
        <f t="shared" si="11"/>
        <v>0</v>
      </c>
      <c r="J16" s="540" t="e">
        <f t="shared" si="12"/>
        <v>#DIV/0!</v>
      </c>
      <c r="K16" s="284"/>
      <c r="L16" s="193">
        <v>0</v>
      </c>
    </row>
    <row r="17" spans="1:12" s="1" customFormat="1" ht="12" hidden="1" customHeight="1" outlineLevel="1" thickBot="1">
      <c r="A17" s="499" t="str">
        <f t="shared" si="6"/>
        <v>Class D</v>
      </c>
      <c r="B17" s="385">
        <v>0</v>
      </c>
      <c r="C17" s="535">
        <v>0</v>
      </c>
      <c r="D17" s="536">
        <f t="shared" si="7"/>
        <v>0</v>
      </c>
      <c r="E17" s="537">
        <v>0</v>
      </c>
      <c r="F17" s="538">
        <f t="shared" si="8"/>
        <v>0</v>
      </c>
      <c r="G17" s="539" t="e">
        <f t="shared" si="9"/>
        <v>#DIV/0!</v>
      </c>
      <c r="H17" s="535">
        <f t="shared" si="10"/>
        <v>0</v>
      </c>
      <c r="I17" s="536">
        <f t="shared" si="11"/>
        <v>0</v>
      </c>
      <c r="J17" s="540" t="e">
        <f t="shared" si="12"/>
        <v>#DIV/0!</v>
      </c>
      <c r="K17" s="284"/>
      <c r="L17" s="193">
        <v>0</v>
      </c>
    </row>
    <row r="18" spans="1:12" s="1" customFormat="1" ht="12" customHeight="1" collapsed="1" thickBot="1">
      <c r="A18" s="499" t="str">
        <f t="shared" si="6"/>
        <v>All Employees</v>
      </c>
      <c r="B18" s="385">
        <v>0</v>
      </c>
      <c r="C18" s="535">
        <v>0</v>
      </c>
      <c r="D18" s="536">
        <f>C18*B18/1000</f>
        <v>0</v>
      </c>
      <c r="E18" s="537">
        <v>0</v>
      </c>
      <c r="F18" s="538">
        <f>E18*$B18/1000</f>
        <v>0</v>
      </c>
      <c r="G18" s="539" t="e">
        <f>E18/$C18-1</f>
        <v>#DIV/0!</v>
      </c>
      <c r="H18" s="535">
        <f t="shared" si="10"/>
        <v>0</v>
      </c>
      <c r="I18" s="536">
        <f>H18*$B18/1000</f>
        <v>0</v>
      </c>
      <c r="J18" s="540" t="e">
        <f>H18/$C18-1</f>
        <v>#DIV/0!</v>
      </c>
      <c r="K18" s="24"/>
      <c r="L18" s="193">
        <v>0</v>
      </c>
    </row>
    <row r="19" spans="1:12" s="1" customFormat="1" ht="12" customHeight="1">
      <c r="A19" s="448" t="s">
        <v>532</v>
      </c>
      <c r="B19" s="541"/>
      <c r="C19" s="542"/>
      <c r="D19" s="542">
        <f>SUM(D14:D18)</f>
        <v>0</v>
      </c>
      <c r="E19" s="542"/>
      <c r="F19" s="542">
        <f>SUM(F14:F18)</f>
        <v>0</v>
      </c>
      <c r="G19" s="543">
        <f>IFERROR(F19/$D19-1,0)</f>
        <v>0</v>
      </c>
      <c r="H19" s="542"/>
      <c r="I19" s="542">
        <f>SUM(I14:I18)</f>
        <v>0</v>
      </c>
      <c r="J19" s="543">
        <f>IFERROR(I19/$D19-1,0)</f>
        <v>0</v>
      </c>
      <c r="K19" s="24"/>
      <c r="L19" s="24"/>
    </row>
    <row r="20" spans="1:12" s="1" customFormat="1" ht="12" customHeight="1">
      <c r="A20" s="448" t="s">
        <v>9</v>
      </c>
      <c r="B20" s="544"/>
      <c r="C20" s="545"/>
      <c r="D20" s="546"/>
      <c r="E20" s="547"/>
      <c r="F20" s="548"/>
      <c r="G20" s="549"/>
      <c r="H20" s="545"/>
      <c r="I20" s="546"/>
      <c r="J20" s="550"/>
      <c r="K20" s="24"/>
      <c r="L20" s="24"/>
    </row>
    <row r="21" spans="1:12" s="1" customFormat="1" ht="12" hidden="1" customHeight="1" outlineLevel="1" thickBot="1">
      <c r="A21" s="499" t="str">
        <f>A7</f>
        <v>Class A</v>
      </c>
      <c r="B21" s="551">
        <v>0</v>
      </c>
      <c r="C21" s="535">
        <v>0</v>
      </c>
      <c r="D21" s="536">
        <f>C21*B21</f>
        <v>0</v>
      </c>
      <c r="E21" s="537">
        <v>0</v>
      </c>
      <c r="F21" s="538">
        <f>E21*$B21</f>
        <v>0</v>
      </c>
      <c r="G21" s="539" t="e">
        <f>E21/$C21-1</f>
        <v>#DIV/0!</v>
      </c>
      <c r="H21" s="535">
        <f>ROUND($C21*(1+L21),3)</f>
        <v>0</v>
      </c>
      <c r="I21" s="536">
        <f>H21*$B21</f>
        <v>0</v>
      </c>
      <c r="J21" s="540" t="e">
        <f>H21/$C21-1</f>
        <v>#DIV/0!</v>
      </c>
      <c r="K21" s="285"/>
      <c r="L21" s="193">
        <v>0</v>
      </c>
    </row>
    <row r="22" spans="1:12" s="1" customFormat="1" ht="12" hidden="1" customHeight="1" outlineLevel="1" thickBot="1">
      <c r="A22" s="499" t="str">
        <f t="shared" ref="A22:A25" si="13">A8</f>
        <v>Class B</v>
      </c>
      <c r="B22" s="551">
        <v>0</v>
      </c>
      <c r="C22" s="535">
        <v>0</v>
      </c>
      <c r="D22" s="536">
        <f>C22*B22</f>
        <v>0</v>
      </c>
      <c r="E22" s="537">
        <v>0</v>
      </c>
      <c r="F22" s="538">
        <f>E22*$B22</f>
        <v>0</v>
      </c>
      <c r="G22" s="539" t="e">
        <f>E22/$C22-1</f>
        <v>#DIV/0!</v>
      </c>
      <c r="H22" s="535">
        <f>ROUND($C22*(1+L22),3)</f>
        <v>0</v>
      </c>
      <c r="I22" s="536">
        <f>H22*$B22</f>
        <v>0</v>
      </c>
      <c r="J22" s="540" t="e">
        <f>H22/$C22-1</f>
        <v>#DIV/0!</v>
      </c>
      <c r="K22" s="285"/>
      <c r="L22" s="193">
        <v>0</v>
      </c>
    </row>
    <row r="23" spans="1:12" s="1" customFormat="1" ht="12" hidden="1" customHeight="1" outlineLevel="1" thickBot="1">
      <c r="A23" s="499" t="str">
        <f t="shared" si="13"/>
        <v>Class C</v>
      </c>
      <c r="B23" s="551">
        <v>0</v>
      </c>
      <c r="C23" s="535">
        <v>0</v>
      </c>
      <c r="D23" s="536">
        <f>C23*B23</f>
        <v>0</v>
      </c>
      <c r="E23" s="537">
        <v>0</v>
      </c>
      <c r="F23" s="538">
        <f>E23*$B23</f>
        <v>0</v>
      </c>
      <c r="G23" s="539" t="e">
        <f>E23/$C23-1</f>
        <v>#DIV/0!</v>
      </c>
      <c r="H23" s="535">
        <f t="shared" ref="H23:H25" si="14">ROUND($C23*(1+L23),3)</f>
        <v>0</v>
      </c>
      <c r="I23" s="536">
        <f>H23*$B23</f>
        <v>0</v>
      </c>
      <c r="J23" s="540" t="e">
        <f>H23/$C23-1</f>
        <v>#DIV/0!</v>
      </c>
      <c r="K23" s="285"/>
      <c r="L23" s="193">
        <v>0</v>
      </c>
    </row>
    <row r="24" spans="1:12" s="1" customFormat="1" ht="12" hidden="1" customHeight="1" outlineLevel="1" thickBot="1">
      <c r="A24" s="499" t="str">
        <f t="shared" si="13"/>
        <v>Class D</v>
      </c>
      <c r="B24" s="551">
        <v>0</v>
      </c>
      <c r="C24" s="535">
        <v>0</v>
      </c>
      <c r="D24" s="536">
        <f>C24*B24</f>
        <v>0</v>
      </c>
      <c r="E24" s="537">
        <v>0</v>
      </c>
      <c r="F24" s="538">
        <f>E24*$B24</f>
        <v>0</v>
      </c>
      <c r="G24" s="539" t="e">
        <f>E24/$C24-1</f>
        <v>#DIV/0!</v>
      </c>
      <c r="H24" s="535">
        <f t="shared" si="14"/>
        <v>0</v>
      </c>
      <c r="I24" s="536">
        <f>H24*$B24</f>
        <v>0</v>
      </c>
      <c r="J24" s="540" t="e">
        <f>H24/$C24-1</f>
        <v>#DIV/0!</v>
      </c>
      <c r="K24" s="24"/>
      <c r="L24" s="193">
        <v>0</v>
      </c>
    </row>
    <row r="25" spans="1:12" s="1" customFormat="1" ht="12" customHeight="1" collapsed="1" thickBot="1">
      <c r="A25" s="499" t="str">
        <f t="shared" si="13"/>
        <v>All Employees</v>
      </c>
      <c r="B25" s="551">
        <v>0</v>
      </c>
      <c r="C25" s="535">
        <v>0</v>
      </c>
      <c r="D25" s="536">
        <f>C25*B25</f>
        <v>0</v>
      </c>
      <c r="E25" s="537">
        <v>0</v>
      </c>
      <c r="F25" s="538">
        <f>E25*$B25</f>
        <v>0</v>
      </c>
      <c r="G25" s="539" t="e">
        <f>E25/$C25-1</f>
        <v>#DIV/0!</v>
      </c>
      <c r="H25" s="535">
        <f t="shared" si="14"/>
        <v>0</v>
      </c>
      <c r="I25" s="536">
        <f>H25*$B25</f>
        <v>0</v>
      </c>
      <c r="J25" s="540" t="e">
        <f>H25/$C25-1</f>
        <v>#DIV/0!</v>
      </c>
      <c r="K25" s="24"/>
      <c r="L25" s="193">
        <v>0</v>
      </c>
    </row>
    <row r="26" spans="1:12" s="1" customFormat="1" ht="12" customHeight="1">
      <c r="A26" s="448" t="s">
        <v>533</v>
      </c>
      <c r="B26" s="541"/>
      <c r="C26" s="542"/>
      <c r="D26" s="542">
        <f>SUM(D21:D25)</f>
        <v>0</v>
      </c>
      <c r="E26" s="542"/>
      <c r="F26" s="542">
        <f>SUM(F21:F25)</f>
        <v>0</v>
      </c>
      <c r="G26" s="543">
        <f>IFERROR(F26/$D26-1,0)</f>
        <v>0</v>
      </c>
      <c r="H26" s="542"/>
      <c r="I26" s="542">
        <f>SUM(I21:I25)</f>
        <v>0</v>
      </c>
      <c r="J26" s="543">
        <f>IFERROR(I26/$D26-1,0)</f>
        <v>0</v>
      </c>
      <c r="K26" s="24"/>
      <c r="L26" s="24"/>
    </row>
    <row r="27" spans="1:12" s="1" customFormat="1" ht="12" customHeight="1">
      <c r="A27" s="448" t="s">
        <v>39</v>
      </c>
      <c r="B27" s="544"/>
      <c r="C27" s="545"/>
      <c r="D27" s="546"/>
      <c r="E27" s="547"/>
      <c r="F27" s="548"/>
      <c r="G27" s="549"/>
      <c r="H27" s="545"/>
      <c r="I27" s="546"/>
      <c r="J27" s="550"/>
      <c r="K27" s="24"/>
      <c r="L27" s="24"/>
    </row>
    <row r="28" spans="1:12" s="1" customFormat="1" ht="12" hidden="1" customHeight="1" outlineLevel="1" thickBot="1">
      <c r="A28" s="499" t="str">
        <f>A7</f>
        <v>Class A</v>
      </c>
      <c r="B28" s="385">
        <v>0</v>
      </c>
      <c r="C28" s="535">
        <v>0</v>
      </c>
      <c r="D28" s="536">
        <f>C28*$B28/100</f>
        <v>0</v>
      </c>
      <c r="E28" s="537">
        <v>0</v>
      </c>
      <c r="F28" s="538">
        <f>E28*$B28/100</f>
        <v>0</v>
      </c>
      <c r="G28" s="539" t="e">
        <f>E28/$C28-1</f>
        <v>#DIV/0!</v>
      </c>
      <c r="H28" s="535">
        <f>ROUND($C28*(1+L28),3)</f>
        <v>0</v>
      </c>
      <c r="I28" s="536">
        <f>H28*$B28/100</f>
        <v>0</v>
      </c>
      <c r="J28" s="540" t="e">
        <f>H28/$C28-1</f>
        <v>#DIV/0!</v>
      </c>
      <c r="K28" s="285"/>
      <c r="L28" s="193">
        <v>0</v>
      </c>
    </row>
    <row r="29" spans="1:12" s="1" customFormat="1" ht="12" hidden="1" customHeight="1" outlineLevel="1" thickBot="1">
      <c r="A29" s="499" t="str">
        <f t="shared" ref="A29:A32" si="15">A8</f>
        <v>Class B</v>
      </c>
      <c r="B29" s="385">
        <v>0</v>
      </c>
      <c r="C29" s="535">
        <v>0</v>
      </c>
      <c r="D29" s="536">
        <f>C29*$B29/100</f>
        <v>0</v>
      </c>
      <c r="E29" s="537">
        <v>0</v>
      </c>
      <c r="F29" s="538">
        <f>E29*$B29/100</f>
        <v>0</v>
      </c>
      <c r="G29" s="539" t="e">
        <f>E29/$C29-1</f>
        <v>#DIV/0!</v>
      </c>
      <c r="H29" s="535">
        <f t="shared" ref="H29:H32" si="16">ROUND($C29*(1+L29),3)</f>
        <v>0</v>
      </c>
      <c r="I29" s="536">
        <f>H29*$B29/100</f>
        <v>0</v>
      </c>
      <c r="J29" s="540" t="e">
        <f>H29/$C29-1</f>
        <v>#DIV/0!</v>
      </c>
      <c r="K29" s="285"/>
      <c r="L29" s="193">
        <v>0</v>
      </c>
    </row>
    <row r="30" spans="1:12" s="1" customFormat="1" ht="12" hidden="1" customHeight="1" outlineLevel="1" thickBot="1">
      <c r="A30" s="499" t="str">
        <f t="shared" si="15"/>
        <v>Class C</v>
      </c>
      <c r="B30" s="385">
        <v>0</v>
      </c>
      <c r="C30" s="535">
        <v>0</v>
      </c>
      <c r="D30" s="536">
        <f>C30*$B30/100</f>
        <v>0</v>
      </c>
      <c r="E30" s="537">
        <v>0</v>
      </c>
      <c r="F30" s="538">
        <f>E30*$B30/100</f>
        <v>0</v>
      </c>
      <c r="G30" s="539" t="e">
        <f>E30/$C30-1</f>
        <v>#DIV/0!</v>
      </c>
      <c r="H30" s="535">
        <f t="shared" si="16"/>
        <v>0</v>
      </c>
      <c r="I30" s="536">
        <f>H30*$B30/100</f>
        <v>0</v>
      </c>
      <c r="J30" s="540" t="e">
        <f>H30/$C30-1</f>
        <v>#DIV/0!</v>
      </c>
      <c r="K30" s="285"/>
      <c r="L30" s="193">
        <v>0</v>
      </c>
    </row>
    <row r="31" spans="1:12" s="1" customFormat="1" ht="12" hidden="1" customHeight="1" outlineLevel="1" thickBot="1">
      <c r="A31" s="499" t="str">
        <f t="shared" si="15"/>
        <v>Class D</v>
      </c>
      <c r="B31" s="385">
        <v>0</v>
      </c>
      <c r="C31" s="535">
        <v>0</v>
      </c>
      <c r="D31" s="536">
        <f>C31*$B31/100</f>
        <v>0</v>
      </c>
      <c r="E31" s="537">
        <v>0</v>
      </c>
      <c r="F31" s="538">
        <f>E31*$B31/100</f>
        <v>0</v>
      </c>
      <c r="G31" s="539" t="e">
        <f>E31/$C31-1</f>
        <v>#DIV/0!</v>
      </c>
      <c r="H31" s="535">
        <f t="shared" si="16"/>
        <v>0</v>
      </c>
      <c r="I31" s="536">
        <f>H31*$B31/100</f>
        <v>0</v>
      </c>
      <c r="J31" s="540" t="e">
        <f>H31/$C31-1</f>
        <v>#DIV/0!</v>
      </c>
      <c r="K31" s="24"/>
      <c r="L31" s="193">
        <v>0</v>
      </c>
    </row>
    <row r="32" spans="1:12" s="1" customFormat="1" ht="12" customHeight="1" collapsed="1" thickBot="1">
      <c r="A32" s="499" t="str">
        <f t="shared" si="15"/>
        <v>All Employees</v>
      </c>
      <c r="B32" s="385">
        <v>0</v>
      </c>
      <c r="C32" s="535">
        <v>0</v>
      </c>
      <c r="D32" s="536">
        <f>C32*$B32/100</f>
        <v>0</v>
      </c>
      <c r="E32" s="537">
        <v>0</v>
      </c>
      <c r="F32" s="538">
        <f>E32*$B32/100</f>
        <v>0</v>
      </c>
      <c r="G32" s="539" t="e">
        <f>E32/$C32-1</f>
        <v>#DIV/0!</v>
      </c>
      <c r="H32" s="535">
        <f t="shared" si="16"/>
        <v>0</v>
      </c>
      <c r="I32" s="536">
        <f>H32*$B32/100</f>
        <v>0</v>
      </c>
      <c r="J32" s="540" t="e">
        <f>H32/$C32-1</f>
        <v>#DIV/0!</v>
      </c>
      <c r="K32" s="24"/>
      <c r="L32" s="193">
        <v>0</v>
      </c>
    </row>
    <row r="33" spans="1:12" s="1" customFormat="1" ht="12" customHeight="1">
      <c r="A33" s="448" t="s">
        <v>534</v>
      </c>
      <c r="B33" s="541"/>
      <c r="C33" s="542"/>
      <c r="D33" s="542">
        <f>SUM(D28:D32)</f>
        <v>0</v>
      </c>
      <c r="E33" s="542"/>
      <c r="F33" s="542">
        <f>SUM(F28:F32)</f>
        <v>0</v>
      </c>
      <c r="G33" s="543">
        <f>IFERROR(F33/$D33-1,0)</f>
        <v>0</v>
      </c>
      <c r="H33" s="542"/>
      <c r="I33" s="542">
        <f>SUM(I28:I32)</f>
        <v>0</v>
      </c>
      <c r="J33" s="543">
        <f>IFERROR(I33/$D33-1,0)</f>
        <v>0</v>
      </c>
      <c r="K33" s="24"/>
      <c r="L33" s="24"/>
    </row>
    <row r="34" spans="1:12" s="1" customFormat="1" ht="12" customHeight="1">
      <c r="A34" s="448" t="s">
        <v>133</v>
      </c>
      <c r="B34" s="544"/>
      <c r="C34" s="545"/>
      <c r="D34" s="546"/>
      <c r="E34" s="547"/>
      <c r="F34" s="548"/>
      <c r="G34" s="549"/>
      <c r="H34" s="545"/>
      <c r="I34" s="546"/>
      <c r="J34" s="550"/>
      <c r="K34" s="291"/>
      <c r="L34" s="291"/>
    </row>
    <row r="35" spans="1:12" s="1" customFormat="1" ht="12" hidden="1" customHeight="1" outlineLevel="1">
      <c r="A35" s="499" t="str">
        <f>A7</f>
        <v>Class A</v>
      </c>
      <c r="B35" s="385">
        <v>0</v>
      </c>
      <c r="C35" s="535">
        <v>0</v>
      </c>
      <c r="D35" s="536">
        <f>C35*$B35/1000</f>
        <v>0</v>
      </c>
      <c r="E35" s="537">
        <v>0</v>
      </c>
      <c r="F35" s="538">
        <f>E35*$B35/1000</f>
        <v>0</v>
      </c>
      <c r="G35" s="539" t="e">
        <f>E35/$C35-1</f>
        <v>#DIV/0!</v>
      </c>
      <c r="H35" s="535">
        <v>0</v>
      </c>
      <c r="I35" s="536">
        <f>H35*$B35/1000</f>
        <v>0</v>
      </c>
      <c r="J35" s="540" t="e">
        <f>H35/$C35-1</f>
        <v>#DIV/0!</v>
      </c>
      <c r="K35" s="291"/>
      <c r="L35" s="291"/>
    </row>
    <row r="36" spans="1:12" s="1" customFormat="1" ht="12" hidden="1" customHeight="1" outlineLevel="1">
      <c r="A36" s="499" t="str">
        <f t="shared" ref="A36:A39" si="17">A8</f>
        <v>Class B</v>
      </c>
      <c r="B36" s="385">
        <v>0</v>
      </c>
      <c r="C36" s="535">
        <v>0</v>
      </c>
      <c r="D36" s="536">
        <f>C36*$B36/1000</f>
        <v>0</v>
      </c>
      <c r="E36" s="537">
        <v>0</v>
      </c>
      <c r="F36" s="538">
        <f>E36*$B36/1000</f>
        <v>0</v>
      </c>
      <c r="G36" s="539" t="e">
        <f>E36/$C36-1</f>
        <v>#DIV/0!</v>
      </c>
      <c r="H36" s="535">
        <v>0</v>
      </c>
      <c r="I36" s="536">
        <f>H36*$B36/1000</f>
        <v>0</v>
      </c>
      <c r="J36" s="540" t="e">
        <f>H36/$C36-1</f>
        <v>#DIV/0!</v>
      </c>
      <c r="K36" s="291"/>
      <c r="L36" s="291"/>
    </row>
    <row r="37" spans="1:12" s="1" customFormat="1" ht="12" hidden="1" customHeight="1" outlineLevel="1">
      <c r="A37" s="499" t="str">
        <f t="shared" si="17"/>
        <v>Class C</v>
      </c>
      <c r="B37" s="385">
        <v>0</v>
      </c>
      <c r="C37" s="535">
        <v>0</v>
      </c>
      <c r="D37" s="536">
        <f>C37*$B37/1000</f>
        <v>0</v>
      </c>
      <c r="E37" s="537">
        <v>0</v>
      </c>
      <c r="F37" s="538">
        <f>E37*$B37/1000</f>
        <v>0</v>
      </c>
      <c r="G37" s="539" t="e">
        <f>E37/$C37-1</f>
        <v>#DIV/0!</v>
      </c>
      <c r="H37" s="535">
        <v>0</v>
      </c>
      <c r="I37" s="536">
        <f>H37*$B37/1000</f>
        <v>0</v>
      </c>
      <c r="J37" s="540" t="e">
        <f>H37/$C37-1</f>
        <v>#DIV/0!</v>
      </c>
      <c r="K37" s="291"/>
      <c r="L37" s="291"/>
    </row>
    <row r="38" spans="1:12" s="1" customFormat="1" ht="12" hidden="1" customHeight="1" outlineLevel="1">
      <c r="A38" s="499" t="str">
        <f t="shared" si="17"/>
        <v>Class D</v>
      </c>
      <c r="B38" s="385">
        <v>0</v>
      </c>
      <c r="C38" s="535">
        <v>0</v>
      </c>
      <c r="D38" s="536">
        <f>C38*$B38/1000</f>
        <v>0</v>
      </c>
      <c r="E38" s="537">
        <v>0</v>
      </c>
      <c r="F38" s="538">
        <f>E38*$B38/1000</f>
        <v>0</v>
      </c>
      <c r="G38" s="539" t="e">
        <f>E38/$C38-1</f>
        <v>#DIV/0!</v>
      </c>
      <c r="H38" s="535">
        <v>0</v>
      </c>
      <c r="I38" s="536">
        <f>H38*$B38/1000</f>
        <v>0</v>
      </c>
      <c r="J38" s="540" t="e">
        <f>H38/$C38-1</f>
        <v>#DIV/0!</v>
      </c>
      <c r="K38" s="291"/>
      <c r="L38" s="291"/>
    </row>
    <row r="39" spans="1:12" s="1" customFormat="1" ht="12" customHeight="1" collapsed="1">
      <c r="A39" s="499" t="str">
        <f t="shared" si="17"/>
        <v>All Employees</v>
      </c>
      <c r="B39" s="385">
        <v>0</v>
      </c>
      <c r="C39" s="535">
        <v>0</v>
      </c>
      <c r="D39" s="536">
        <f>C39*$B39/1000</f>
        <v>0</v>
      </c>
      <c r="E39" s="537">
        <v>0</v>
      </c>
      <c r="F39" s="538">
        <f>E39*$B39/1000</f>
        <v>0</v>
      </c>
      <c r="G39" s="539" t="e">
        <f>E39/$C39-1</f>
        <v>#DIV/0!</v>
      </c>
      <c r="H39" s="535">
        <v>0</v>
      </c>
      <c r="I39" s="536">
        <f>H39*$B39/1000</f>
        <v>0</v>
      </c>
      <c r="J39" s="540" t="e">
        <f>H39/$C39-1</f>
        <v>#DIV/0!</v>
      </c>
      <c r="K39" s="291"/>
      <c r="L39" s="291"/>
    </row>
    <row r="40" spans="1:12" s="1" customFormat="1" ht="12" customHeight="1">
      <c r="A40" s="448" t="s">
        <v>683</v>
      </c>
      <c r="B40" s="541"/>
      <c r="C40" s="542"/>
      <c r="D40" s="542">
        <f>SUM(D35:D39)</f>
        <v>0</v>
      </c>
      <c r="E40" s="542"/>
      <c r="F40" s="542">
        <f>SUM(F35:F39)</f>
        <v>0</v>
      </c>
      <c r="G40" s="543">
        <f>IFERROR(F40/$D40-1,0)</f>
        <v>0</v>
      </c>
      <c r="H40" s="542"/>
      <c r="I40" s="542">
        <f>SUM(I35:I39)</f>
        <v>0</v>
      </c>
      <c r="J40" s="543">
        <f>IFERROR(I40/$D40-1,0)</f>
        <v>0</v>
      </c>
      <c r="K40" s="291"/>
      <c r="L40" s="291"/>
    </row>
    <row r="41" spans="1:12" s="1" customFormat="1" ht="12" customHeight="1">
      <c r="A41" s="1214" t="s">
        <v>161</v>
      </c>
      <c r="B41" s="1214"/>
      <c r="C41" s="1211"/>
      <c r="D41" s="1212">
        <f>D12+D19+D26+D33+D40</f>
        <v>0</v>
      </c>
      <c r="E41" s="1211"/>
      <c r="F41" s="1212">
        <f>F12+F19+F26+F33+F40</f>
        <v>0</v>
      </c>
      <c r="G41" s="1210">
        <f>IFERROR(F41/$D41-1,0)</f>
        <v>0</v>
      </c>
      <c r="H41" s="1211"/>
      <c r="I41" s="1212">
        <f>I12+I19+I26+I33+I40</f>
        <v>0</v>
      </c>
      <c r="J41" s="1210">
        <f>IFERROR(I41/$D41-1,0)</f>
        <v>0</v>
      </c>
      <c r="K41" s="24"/>
      <c r="L41" s="24"/>
    </row>
    <row r="42" spans="1:12" s="1" customFormat="1" ht="12" customHeight="1">
      <c r="A42" s="1213" t="s">
        <v>6</v>
      </c>
      <c r="B42" s="1213"/>
      <c r="C42" s="1211"/>
      <c r="D42" s="1212"/>
      <c r="E42" s="1211"/>
      <c r="F42" s="1212"/>
      <c r="G42" s="1210">
        <f t="shared" ref="G42" si="18">IFERROR(F42/$D42-1,0)</f>
        <v>0</v>
      </c>
      <c r="H42" s="1211"/>
      <c r="I42" s="1212"/>
      <c r="J42" s="1210">
        <f t="shared" ref="J42" si="19">IFERROR(I42/$D42-1,0)</f>
        <v>0</v>
      </c>
      <c r="K42" s="24"/>
      <c r="L42" s="24"/>
    </row>
    <row r="43" spans="1:12" s="1" customFormat="1" ht="12" customHeight="1">
      <c r="A43" s="448" t="s">
        <v>40</v>
      </c>
      <c r="B43" s="552"/>
      <c r="C43" s="536"/>
      <c r="D43" s="536"/>
      <c r="E43" s="538"/>
      <c r="F43" s="538"/>
      <c r="G43" s="539"/>
      <c r="H43" s="536"/>
      <c r="I43" s="536"/>
      <c r="J43" s="540"/>
      <c r="K43" s="24"/>
      <c r="L43" s="24"/>
    </row>
    <row r="44" spans="1:12" s="1" customFormat="1" ht="12" hidden="1" customHeight="1" outlineLevel="1" thickBot="1">
      <c r="A44" s="499" t="str">
        <f>A7</f>
        <v>Class A</v>
      </c>
      <c r="B44" s="385">
        <v>0</v>
      </c>
      <c r="C44" s="536">
        <v>0</v>
      </c>
      <c r="D44" s="536">
        <f>C44*$B44/10</f>
        <v>0</v>
      </c>
      <c r="E44" s="538">
        <v>0</v>
      </c>
      <c r="F44" s="538">
        <f>E44*$B44/10</f>
        <v>0</v>
      </c>
      <c r="G44" s="539" t="e">
        <f>E44/$C44-1</f>
        <v>#DIV/0!</v>
      </c>
      <c r="H44" s="536">
        <f>ROUND($C44*(1+L44),3)</f>
        <v>0</v>
      </c>
      <c r="I44" s="536">
        <f>H44*$B44/10</f>
        <v>0</v>
      </c>
      <c r="J44" s="540" t="e">
        <f>H44/$C44-1</f>
        <v>#DIV/0!</v>
      </c>
      <c r="K44" s="285"/>
      <c r="L44" s="193">
        <v>0</v>
      </c>
    </row>
    <row r="45" spans="1:12" s="1" customFormat="1" ht="12" hidden="1" customHeight="1" outlineLevel="1" thickBot="1">
      <c r="A45" s="499" t="str">
        <f t="shared" ref="A45:A48" si="20">A8</f>
        <v>Class B</v>
      </c>
      <c r="B45" s="385">
        <v>0</v>
      </c>
      <c r="C45" s="536">
        <v>0</v>
      </c>
      <c r="D45" s="536">
        <f>C45*$B45/10</f>
        <v>0</v>
      </c>
      <c r="E45" s="538">
        <v>0</v>
      </c>
      <c r="F45" s="538">
        <f>E45*$B45/10</f>
        <v>0</v>
      </c>
      <c r="G45" s="539" t="e">
        <f>E45/$C45-1</f>
        <v>#DIV/0!</v>
      </c>
      <c r="H45" s="536">
        <f t="shared" ref="H45:H47" si="21">ROUND($C45*(1+L45),3)</f>
        <v>0</v>
      </c>
      <c r="I45" s="536">
        <f>H45*$B45/10</f>
        <v>0</v>
      </c>
      <c r="J45" s="540" t="e">
        <f>H45/$C45-1</f>
        <v>#DIV/0!</v>
      </c>
      <c r="K45" s="285"/>
      <c r="L45" s="193">
        <v>0</v>
      </c>
    </row>
    <row r="46" spans="1:12" s="1" customFormat="1" ht="12" hidden="1" customHeight="1" outlineLevel="1" thickBot="1">
      <c r="A46" s="499" t="str">
        <f t="shared" si="20"/>
        <v>Class C</v>
      </c>
      <c r="B46" s="385">
        <v>0</v>
      </c>
      <c r="C46" s="536">
        <v>0</v>
      </c>
      <c r="D46" s="536">
        <f>C46*$B46/10</f>
        <v>0</v>
      </c>
      <c r="E46" s="538">
        <v>0</v>
      </c>
      <c r="F46" s="538">
        <f>E46*$B46/10</f>
        <v>0</v>
      </c>
      <c r="G46" s="539" t="e">
        <f>E46/$C46-1</f>
        <v>#DIV/0!</v>
      </c>
      <c r="H46" s="536">
        <f t="shared" si="21"/>
        <v>0</v>
      </c>
      <c r="I46" s="536">
        <f>H46*$B46/10</f>
        <v>0</v>
      </c>
      <c r="J46" s="540" t="e">
        <f>H46/$C46-1</f>
        <v>#DIV/0!</v>
      </c>
      <c r="K46" s="285"/>
      <c r="L46" s="193">
        <v>0</v>
      </c>
    </row>
    <row r="47" spans="1:12" s="1" customFormat="1" ht="12" hidden="1" customHeight="1" outlineLevel="1" thickBot="1">
      <c r="A47" s="499" t="str">
        <f t="shared" si="20"/>
        <v>Class D</v>
      </c>
      <c r="B47" s="385">
        <v>0</v>
      </c>
      <c r="C47" s="536">
        <v>0</v>
      </c>
      <c r="D47" s="536">
        <f>C47*$B47/10</f>
        <v>0</v>
      </c>
      <c r="E47" s="538">
        <v>0</v>
      </c>
      <c r="F47" s="538">
        <f>E47*$B47/10</f>
        <v>0</v>
      </c>
      <c r="G47" s="539" t="e">
        <f>E47/$C47-1</f>
        <v>#DIV/0!</v>
      </c>
      <c r="H47" s="536">
        <f t="shared" si="21"/>
        <v>0</v>
      </c>
      <c r="I47" s="536">
        <f>H47*$B47/10</f>
        <v>0</v>
      </c>
      <c r="J47" s="540" t="e">
        <f>H47/$C47-1</f>
        <v>#DIV/0!</v>
      </c>
      <c r="K47" s="24"/>
      <c r="L47" s="193">
        <v>0</v>
      </c>
    </row>
    <row r="48" spans="1:12" s="1" customFormat="1" ht="12" customHeight="1" collapsed="1" thickBot="1">
      <c r="A48" s="499" t="str">
        <f t="shared" si="20"/>
        <v>All Employees</v>
      </c>
      <c r="B48" s="385">
        <v>0</v>
      </c>
      <c r="C48" s="536">
        <v>0</v>
      </c>
      <c r="D48" s="536">
        <f t="shared" ref="D48" si="22">C48*$B48/10</f>
        <v>0</v>
      </c>
      <c r="E48" s="538">
        <v>0</v>
      </c>
      <c r="F48" s="538">
        <f t="shared" ref="F48" si="23">E48*$B48/10</f>
        <v>0</v>
      </c>
      <c r="G48" s="539" t="e">
        <f t="shared" ref="G48" si="24">E48/$C48-1</f>
        <v>#DIV/0!</v>
      </c>
      <c r="H48" s="536">
        <f>ROUND($C48*(1+L48),3)</f>
        <v>0</v>
      </c>
      <c r="I48" s="536">
        <f t="shared" ref="I48" si="25">H48*$B48/10</f>
        <v>0</v>
      </c>
      <c r="J48" s="540" t="e">
        <f t="shared" ref="J48" si="26">H48/$C48-1</f>
        <v>#DIV/0!</v>
      </c>
      <c r="K48" s="24"/>
      <c r="L48" s="193">
        <v>0</v>
      </c>
    </row>
    <row r="49" spans="1:12" s="1" customFormat="1" ht="12" customHeight="1">
      <c r="A49" s="448" t="s">
        <v>535</v>
      </c>
      <c r="B49" s="541"/>
      <c r="C49" s="542"/>
      <c r="D49" s="542">
        <f>SUM(D44:D48)</f>
        <v>0</v>
      </c>
      <c r="E49" s="542"/>
      <c r="F49" s="542">
        <f>SUM(F44:F48)</f>
        <v>0</v>
      </c>
      <c r="G49" s="543">
        <f>IFERROR(F49/$D49-1,0)</f>
        <v>0</v>
      </c>
      <c r="H49" s="542"/>
      <c r="I49" s="542">
        <f>SUM(I44:I48)</f>
        <v>0</v>
      </c>
      <c r="J49" s="543">
        <f>IFERROR(I49/$D49-1,0)</f>
        <v>0</v>
      </c>
      <c r="K49" s="24"/>
      <c r="L49" s="24"/>
    </row>
    <row r="50" spans="1:12" s="1" customFormat="1" ht="12" customHeight="1">
      <c r="A50" s="448" t="s">
        <v>162</v>
      </c>
      <c r="B50" s="438"/>
      <c r="C50" s="536"/>
      <c r="D50" s="536"/>
      <c r="E50" s="538"/>
      <c r="F50" s="538"/>
      <c r="G50" s="553"/>
      <c r="H50" s="536"/>
      <c r="I50" s="536"/>
      <c r="J50" s="554"/>
      <c r="K50" s="24"/>
      <c r="L50" s="24"/>
    </row>
    <row r="51" spans="1:12" s="1" customFormat="1" ht="12" hidden="1" customHeight="1" outlineLevel="1">
      <c r="A51" s="499" t="str">
        <f>A7</f>
        <v>Class A</v>
      </c>
      <c r="B51" s="438"/>
      <c r="C51" s="536"/>
      <c r="D51" s="536"/>
      <c r="E51" s="538"/>
      <c r="F51" s="538"/>
      <c r="G51" s="553"/>
      <c r="H51" s="536"/>
      <c r="I51" s="536"/>
      <c r="J51" s="554"/>
      <c r="K51" s="24"/>
      <c r="L51" s="24"/>
    </row>
    <row r="52" spans="1:12" s="1" customFormat="1" ht="12" hidden="1" customHeight="1" outlineLevel="1" thickBot="1">
      <c r="A52" s="448" t="s">
        <v>163</v>
      </c>
      <c r="B52" s="551">
        <v>0</v>
      </c>
      <c r="C52" s="536">
        <v>0</v>
      </c>
      <c r="D52" s="536">
        <f>C52*$B52</f>
        <v>0</v>
      </c>
      <c r="E52" s="538">
        <v>0</v>
      </c>
      <c r="F52" s="538">
        <f>E52*$B52</f>
        <v>0</v>
      </c>
      <c r="G52" s="539" t="e">
        <f>E52/$C52-1</f>
        <v>#DIV/0!</v>
      </c>
      <c r="H52" s="536">
        <f>ROUND(C52*(1+L52),2)</f>
        <v>0</v>
      </c>
      <c r="I52" s="536">
        <f>H52*$B52</f>
        <v>0</v>
      </c>
      <c r="J52" s="540" t="e">
        <f>H52/$C52-1</f>
        <v>#DIV/0!</v>
      </c>
      <c r="K52" s="24"/>
      <c r="L52" s="193">
        <v>0</v>
      </c>
    </row>
    <row r="53" spans="1:12" s="1" customFormat="1" ht="12" hidden="1" customHeight="1" outlineLevel="1" thickBot="1">
      <c r="A53" s="448" t="s">
        <v>164</v>
      </c>
      <c r="B53" s="551">
        <v>0</v>
      </c>
      <c r="C53" s="536">
        <v>0</v>
      </c>
      <c r="D53" s="536">
        <f>C53*$B53</f>
        <v>0</v>
      </c>
      <c r="E53" s="538">
        <v>0</v>
      </c>
      <c r="F53" s="538">
        <f>E53*$B53</f>
        <v>0</v>
      </c>
      <c r="G53" s="539" t="e">
        <f>E53/$C53-1</f>
        <v>#DIV/0!</v>
      </c>
      <c r="H53" s="536">
        <f>ROUND(C53*(1+L53),2)</f>
        <v>0</v>
      </c>
      <c r="I53" s="536">
        <f>H53*$B53</f>
        <v>0</v>
      </c>
      <c r="J53" s="540" t="e">
        <f>H53/$C53-1</f>
        <v>#DIV/0!</v>
      </c>
      <c r="K53" s="24"/>
      <c r="L53" s="193">
        <v>0</v>
      </c>
    </row>
    <row r="54" spans="1:12" s="1" customFormat="1" ht="12" hidden="1" customHeight="1" outlineLevel="1">
      <c r="A54" s="499" t="str">
        <f>A8</f>
        <v>Class B</v>
      </c>
      <c r="B54" s="438"/>
      <c r="C54" s="536"/>
      <c r="D54" s="536"/>
      <c r="E54" s="538"/>
      <c r="F54" s="538"/>
      <c r="G54" s="553"/>
      <c r="H54" s="536"/>
      <c r="I54" s="536"/>
      <c r="J54" s="554"/>
      <c r="K54" s="24"/>
      <c r="L54" s="24"/>
    </row>
    <row r="55" spans="1:12" s="1" customFormat="1" ht="12" hidden="1" customHeight="1" outlineLevel="1" thickBot="1">
      <c r="A55" s="448" t="s">
        <v>163</v>
      </c>
      <c r="B55" s="551">
        <v>0</v>
      </c>
      <c r="C55" s="536">
        <v>0</v>
      </c>
      <c r="D55" s="536">
        <f>C55*$B55</f>
        <v>0</v>
      </c>
      <c r="E55" s="538">
        <v>0</v>
      </c>
      <c r="F55" s="538">
        <f>E55*$B55</f>
        <v>0</v>
      </c>
      <c r="G55" s="539" t="e">
        <f>E55/$C55-1</f>
        <v>#DIV/0!</v>
      </c>
      <c r="H55" s="536">
        <f>ROUND(C55*(1+L55),2)</f>
        <v>0</v>
      </c>
      <c r="I55" s="536">
        <f>H55*$B55</f>
        <v>0</v>
      </c>
      <c r="J55" s="540" t="e">
        <f>H55/$C55-1</f>
        <v>#DIV/0!</v>
      </c>
      <c r="K55" s="24"/>
      <c r="L55" s="193">
        <v>0</v>
      </c>
    </row>
    <row r="56" spans="1:12" s="1" customFormat="1" ht="12" hidden="1" customHeight="1" outlineLevel="1" thickBot="1">
      <c r="A56" s="448" t="s">
        <v>164</v>
      </c>
      <c r="B56" s="551">
        <v>0</v>
      </c>
      <c r="C56" s="536">
        <v>0</v>
      </c>
      <c r="D56" s="536">
        <f>C56*$B56</f>
        <v>0</v>
      </c>
      <c r="E56" s="538">
        <v>0</v>
      </c>
      <c r="F56" s="538">
        <f>E56*$B56</f>
        <v>0</v>
      </c>
      <c r="G56" s="539" t="e">
        <f>E56/$C56-1</f>
        <v>#DIV/0!</v>
      </c>
      <c r="H56" s="536">
        <f>ROUND(C56*(1+L56),2)</f>
        <v>0</v>
      </c>
      <c r="I56" s="536">
        <f>H56*$B56</f>
        <v>0</v>
      </c>
      <c r="J56" s="540" t="e">
        <f>H56/$C56-1</f>
        <v>#DIV/0!</v>
      </c>
      <c r="K56" s="24"/>
      <c r="L56" s="193">
        <v>0</v>
      </c>
    </row>
    <row r="57" spans="1:12" s="1" customFormat="1" ht="12" hidden="1" customHeight="1" outlineLevel="1">
      <c r="A57" s="499" t="str">
        <f>A9</f>
        <v>Class C</v>
      </c>
      <c r="B57" s="438"/>
      <c r="C57" s="536"/>
      <c r="D57" s="536"/>
      <c r="E57" s="538"/>
      <c r="F57" s="538"/>
      <c r="G57" s="553"/>
      <c r="H57" s="536"/>
      <c r="I57" s="536"/>
      <c r="J57" s="554"/>
      <c r="K57" s="285"/>
      <c r="L57" s="285"/>
    </row>
    <row r="58" spans="1:12" s="1" customFormat="1" ht="12" hidden="1" customHeight="1" outlineLevel="1" thickBot="1">
      <c r="A58" s="448" t="s">
        <v>163</v>
      </c>
      <c r="B58" s="551">
        <v>0</v>
      </c>
      <c r="C58" s="536">
        <v>0</v>
      </c>
      <c r="D58" s="536">
        <f>C58*$B58</f>
        <v>0</v>
      </c>
      <c r="E58" s="538">
        <v>0</v>
      </c>
      <c r="F58" s="538">
        <f>E58*$B58</f>
        <v>0</v>
      </c>
      <c r="G58" s="539" t="e">
        <f>E58/$C58-1</f>
        <v>#DIV/0!</v>
      </c>
      <c r="H58" s="536">
        <f>ROUND(C58*(1+L58),2)</f>
        <v>0</v>
      </c>
      <c r="I58" s="536">
        <f>H58*$B58</f>
        <v>0</v>
      </c>
      <c r="J58" s="540" t="e">
        <f>H58/$C58-1</f>
        <v>#DIV/0!</v>
      </c>
      <c r="K58" s="285"/>
      <c r="L58" s="193">
        <v>0</v>
      </c>
    </row>
    <row r="59" spans="1:12" s="1" customFormat="1" ht="12" hidden="1" customHeight="1" outlineLevel="1" thickBot="1">
      <c r="A59" s="448" t="s">
        <v>164</v>
      </c>
      <c r="B59" s="551">
        <v>0</v>
      </c>
      <c r="C59" s="536">
        <v>0</v>
      </c>
      <c r="D59" s="536">
        <f>C59*$B59</f>
        <v>0</v>
      </c>
      <c r="E59" s="538">
        <v>0</v>
      </c>
      <c r="F59" s="538">
        <f>E59*$B59</f>
        <v>0</v>
      </c>
      <c r="G59" s="539" t="e">
        <f>E59/$C59-1</f>
        <v>#DIV/0!</v>
      </c>
      <c r="H59" s="536">
        <f>ROUND(C59*(1+L59),2)</f>
        <v>0</v>
      </c>
      <c r="I59" s="536">
        <f>H59*$B59</f>
        <v>0</v>
      </c>
      <c r="J59" s="540" t="e">
        <f>H59/$C59-1</f>
        <v>#DIV/0!</v>
      </c>
      <c r="K59" s="285"/>
      <c r="L59" s="193">
        <v>0</v>
      </c>
    </row>
    <row r="60" spans="1:12" s="1" customFormat="1" ht="12" hidden="1" customHeight="1" outlineLevel="1">
      <c r="A60" s="499" t="str">
        <f>A10</f>
        <v>Class D</v>
      </c>
      <c r="B60" s="438"/>
      <c r="C60" s="536"/>
      <c r="D60" s="536"/>
      <c r="E60" s="538"/>
      <c r="F60" s="538"/>
      <c r="G60" s="553"/>
      <c r="H60" s="536"/>
      <c r="I60" s="536"/>
      <c r="J60" s="554"/>
      <c r="K60" s="285"/>
      <c r="L60" s="285"/>
    </row>
    <row r="61" spans="1:12" s="1" customFormat="1" ht="12" hidden="1" customHeight="1" outlineLevel="1" thickBot="1">
      <c r="A61" s="448" t="s">
        <v>163</v>
      </c>
      <c r="B61" s="551">
        <v>0</v>
      </c>
      <c r="C61" s="536">
        <v>0</v>
      </c>
      <c r="D61" s="536">
        <f>C61*$B61</f>
        <v>0</v>
      </c>
      <c r="E61" s="538">
        <v>0</v>
      </c>
      <c r="F61" s="538">
        <f>E61*$B61</f>
        <v>0</v>
      </c>
      <c r="G61" s="539" t="e">
        <f>E61/$C61-1</f>
        <v>#DIV/0!</v>
      </c>
      <c r="H61" s="536">
        <f>ROUND(C61*(1+L61),2)</f>
        <v>0</v>
      </c>
      <c r="I61" s="536">
        <f>H61*$B61</f>
        <v>0</v>
      </c>
      <c r="J61" s="540" t="e">
        <f>H61/$C61-1</f>
        <v>#DIV/0!</v>
      </c>
      <c r="K61" s="285"/>
      <c r="L61" s="193">
        <v>0</v>
      </c>
    </row>
    <row r="62" spans="1:12" s="1" customFormat="1" ht="12" hidden="1" customHeight="1" outlineLevel="1" thickBot="1">
      <c r="A62" s="448" t="s">
        <v>164</v>
      </c>
      <c r="B62" s="551">
        <v>0</v>
      </c>
      <c r="C62" s="536">
        <v>0</v>
      </c>
      <c r="D62" s="536">
        <f>C62*$B62</f>
        <v>0</v>
      </c>
      <c r="E62" s="538">
        <v>0</v>
      </c>
      <c r="F62" s="538">
        <f>E62*$B62</f>
        <v>0</v>
      </c>
      <c r="G62" s="539" t="e">
        <f>E62/$C62-1</f>
        <v>#DIV/0!</v>
      </c>
      <c r="H62" s="536">
        <f>ROUND(C62*(1+L62),2)</f>
        <v>0</v>
      </c>
      <c r="I62" s="536">
        <f>H62*$B62</f>
        <v>0</v>
      </c>
      <c r="J62" s="540" t="e">
        <f>H62/$C62-1</f>
        <v>#DIV/0!</v>
      </c>
      <c r="K62" s="285"/>
      <c r="L62" s="193">
        <v>0</v>
      </c>
    </row>
    <row r="63" spans="1:12" s="1" customFormat="1" ht="12" customHeight="1" collapsed="1">
      <c r="A63" s="499" t="str">
        <f>A11</f>
        <v>All Employees</v>
      </c>
      <c r="B63" s="438"/>
      <c r="C63" s="536"/>
      <c r="D63" s="536"/>
      <c r="E63" s="538"/>
      <c r="F63" s="538"/>
      <c r="G63" s="553"/>
      <c r="H63" s="536"/>
      <c r="I63" s="536"/>
      <c r="J63" s="554"/>
      <c r="K63" s="285"/>
      <c r="L63" s="285"/>
    </row>
    <row r="64" spans="1:12" s="1" customFormat="1" ht="12" customHeight="1" thickBot="1">
      <c r="A64" s="448" t="s">
        <v>163</v>
      </c>
      <c r="B64" s="551">
        <v>0</v>
      </c>
      <c r="C64" s="536">
        <v>0</v>
      </c>
      <c r="D64" s="536">
        <f>C64*$B64</f>
        <v>0</v>
      </c>
      <c r="E64" s="538">
        <v>0</v>
      </c>
      <c r="F64" s="538">
        <f>E64*$B64</f>
        <v>0</v>
      </c>
      <c r="G64" s="539" t="e">
        <f>E64/$C64-1</f>
        <v>#DIV/0!</v>
      </c>
      <c r="H64" s="536">
        <f>ROUND(C64*(1+L64),2)</f>
        <v>0</v>
      </c>
      <c r="I64" s="536">
        <f>H64*$B64</f>
        <v>0</v>
      </c>
      <c r="J64" s="540" t="e">
        <f>H64/$C64-1</f>
        <v>#DIV/0!</v>
      </c>
      <c r="K64" s="285"/>
      <c r="L64" s="193">
        <v>0</v>
      </c>
    </row>
    <row r="65" spans="1:12" s="1" customFormat="1" ht="12" customHeight="1" thickBot="1">
      <c r="A65" s="448" t="s">
        <v>164</v>
      </c>
      <c r="B65" s="551">
        <v>0</v>
      </c>
      <c r="C65" s="536">
        <v>0</v>
      </c>
      <c r="D65" s="536">
        <f>C65*$B65</f>
        <v>0</v>
      </c>
      <c r="E65" s="538">
        <v>0</v>
      </c>
      <c r="F65" s="538">
        <f>E65*$B65</f>
        <v>0</v>
      </c>
      <c r="G65" s="539" t="e">
        <f>E65/$C65-1</f>
        <v>#DIV/0!</v>
      </c>
      <c r="H65" s="536">
        <f>ROUND(C65*(1+L65),2)</f>
        <v>0</v>
      </c>
      <c r="I65" s="536">
        <f>H65*$B65</f>
        <v>0</v>
      </c>
      <c r="J65" s="540" t="e">
        <f>H65/$C65-1</f>
        <v>#DIV/0!</v>
      </c>
      <c r="K65" s="285"/>
      <c r="L65" s="193">
        <v>0</v>
      </c>
    </row>
    <row r="66" spans="1:12" s="190" customFormat="1" ht="12" customHeight="1">
      <c r="A66" s="448" t="s">
        <v>165</v>
      </c>
      <c r="B66" s="541"/>
      <c r="C66" s="542"/>
      <c r="D66" s="542">
        <f>SUM(D52:D65)</f>
        <v>0</v>
      </c>
      <c r="E66" s="542"/>
      <c r="F66" s="542">
        <f>SUM(F52:F65)</f>
        <v>0</v>
      </c>
      <c r="G66" s="543">
        <f>IFERROR(F66/$D66-1,0)</f>
        <v>0</v>
      </c>
      <c r="H66" s="542"/>
      <c r="I66" s="542">
        <f>SUM(I52:I65)</f>
        <v>0</v>
      </c>
      <c r="J66" s="543">
        <f>IFERROR(I66/$D66-1,0)</f>
        <v>0</v>
      </c>
      <c r="K66" s="24"/>
      <c r="L66" s="24"/>
    </row>
    <row r="67" spans="1:12" s="1" customFormat="1" ht="12" customHeight="1">
      <c r="A67" s="448" t="s">
        <v>110</v>
      </c>
      <c r="B67" s="438"/>
      <c r="C67" s="536"/>
      <c r="D67" s="536"/>
      <c r="E67" s="538"/>
      <c r="F67" s="538"/>
      <c r="G67" s="553"/>
      <c r="H67" s="536"/>
      <c r="I67" s="536"/>
      <c r="J67" s="554"/>
      <c r="K67" s="291"/>
      <c r="L67" s="291"/>
    </row>
    <row r="68" spans="1:12" s="1" customFormat="1" ht="12" hidden="1" customHeight="1" outlineLevel="1">
      <c r="A68" s="499" t="str">
        <f>A7</f>
        <v>Class A</v>
      </c>
      <c r="B68" s="438"/>
      <c r="C68" s="536"/>
      <c r="D68" s="536"/>
      <c r="E68" s="538"/>
      <c r="F68" s="538"/>
      <c r="G68" s="553"/>
      <c r="H68" s="536"/>
      <c r="I68" s="536"/>
      <c r="J68" s="554"/>
      <c r="K68" s="291"/>
      <c r="L68" s="291"/>
    </row>
    <row r="69" spans="1:12" s="1" customFormat="1" ht="12" hidden="1" customHeight="1" outlineLevel="1" thickBot="1">
      <c r="A69" s="448" t="s">
        <v>163</v>
      </c>
      <c r="B69" s="551">
        <v>0</v>
      </c>
      <c r="C69" s="536">
        <v>0</v>
      </c>
      <c r="D69" s="536">
        <v>0</v>
      </c>
      <c r="E69" s="538">
        <v>0</v>
      </c>
      <c r="F69" s="538">
        <f>E69*$B69</f>
        <v>0</v>
      </c>
      <c r="G69" s="539" t="e">
        <f t="shared" ref="G69:G70" si="27">E69/$C69-1</f>
        <v>#DIV/0!</v>
      </c>
      <c r="H69" s="536">
        <f>ROUND(C69*(1+L69),2)</f>
        <v>0</v>
      </c>
      <c r="I69" s="536">
        <f>H69*$B69</f>
        <v>0</v>
      </c>
      <c r="J69" s="540" t="e">
        <f t="shared" ref="J69:J70" si="28">H69/$C69-1</f>
        <v>#DIV/0!</v>
      </c>
      <c r="K69" s="291"/>
      <c r="L69" s="193">
        <v>0</v>
      </c>
    </row>
    <row r="70" spans="1:12" s="1" customFormat="1" ht="12" hidden="1" customHeight="1" outlineLevel="1" thickBot="1">
      <c r="A70" s="448" t="s">
        <v>164</v>
      </c>
      <c r="B70" s="551">
        <v>0</v>
      </c>
      <c r="C70" s="536">
        <v>0</v>
      </c>
      <c r="D70" s="536">
        <v>0</v>
      </c>
      <c r="E70" s="538">
        <v>0</v>
      </c>
      <c r="F70" s="538">
        <f>E70*$B70</f>
        <v>0</v>
      </c>
      <c r="G70" s="539" t="e">
        <f t="shared" si="27"/>
        <v>#DIV/0!</v>
      </c>
      <c r="H70" s="536">
        <f>ROUND(C70*(1+L70),2)</f>
        <v>0</v>
      </c>
      <c r="I70" s="536">
        <f>H70*$B70</f>
        <v>0</v>
      </c>
      <c r="J70" s="540" t="e">
        <f t="shared" si="28"/>
        <v>#DIV/0!</v>
      </c>
      <c r="K70" s="291"/>
      <c r="L70" s="193">
        <v>0</v>
      </c>
    </row>
    <row r="71" spans="1:12" s="1" customFormat="1" ht="12" hidden="1" customHeight="1" outlineLevel="1">
      <c r="A71" s="499" t="str">
        <f>A8</f>
        <v>Class B</v>
      </c>
      <c r="B71" s="438"/>
      <c r="C71" s="536"/>
      <c r="D71" s="536"/>
      <c r="E71" s="538"/>
      <c r="F71" s="538"/>
      <c r="G71" s="553"/>
      <c r="H71" s="536"/>
      <c r="I71" s="536"/>
      <c r="J71" s="554"/>
      <c r="K71" s="291"/>
      <c r="L71" s="291"/>
    </row>
    <row r="72" spans="1:12" s="1" customFormat="1" ht="12" hidden="1" customHeight="1" outlineLevel="1" thickBot="1">
      <c r="A72" s="448" t="s">
        <v>163</v>
      </c>
      <c r="B72" s="551">
        <v>0</v>
      </c>
      <c r="C72" s="536">
        <v>0</v>
      </c>
      <c r="D72" s="536">
        <v>0</v>
      </c>
      <c r="E72" s="538">
        <v>0</v>
      </c>
      <c r="F72" s="538">
        <f>E72*$B72</f>
        <v>0</v>
      </c>
      <c r="G72" s="539" t="e">
        <f t="shared" ref="G72:G73" si="29">E72/$C72-1</f>
        <v>#DIV/0!</v>
      </c>
      <c r="H72" s="536">
        <f>ROUND(C72*(1+L72),2)</f>
        <v>0</v>
      </c>
      <c r="I72" s="536">
        <f>H72*$B72</f>
        <v>0</v>
      </c>
      <c r="J72" s="540" t="e">
        <f t="shared" ref="J72:J73" si="30">H72/$C72-1</f>
        <v>#DIV/0!</v>
      </c>
      <c r="K72" s="291"/>
      <c r="L72" s="193">
        <v>0</v>
      </c>
    </row>
    <row r="73" spans="1:12" s="1" customFormat="1" ht="12" hidden="1" customHeight="1" outlineLevel="1" thickBot="1">
      <c r="A73" s="448" t="s">
        <v>164</v>
      </c>
      <c r="B73" s="551">
        <v>0</v>
      </c>
      <c r="C73" s="536">
        <v>0</v>
      </c>
      <c r="D73" s="536">
        <v>0</v>
      </c>
      <c r="E73" s="538">
        <v>0</v>
      </c>
      <c r="F73" s="538">
        <f>E73*$B73</f>
        <v>0</v>
      </c>
      <c r="G73" s="539" t="e">
        <f t="shared" si="29"/>
        <v>#DIV/0!</v>
      </c>
      <c r="H73" s="536">
        <f>ROUND(C73*(1+L73),2)</f>
        <v>0</v>
      </c>
      <c r="I73" s="536">
        <f>H73*$B73</f>
        <v>0</v>
      </c>
      <c r="J73" s="540" t="e">
        <f t="shared" si="30"/>
        <v>#DIV/0!</v>
      </c>
      <c r="K73" s="291"/>
      <c r="L73" s="193">
        <v>0</v>
      </c>
    </row>
    <row r="74" spans="1:12" s="1" customFormat="1" ht="12" hidden="1" customHeight="1" outlineLevel="1">
      <c r="A74" s="499" t="str">
        <f>A9</f>
        <v>Class C</v>
      </c>
      <c r="B74" s="438"/>
      <c r="C74" s="536"/>
      <c r="D74" s="536"/>
      <c r="E74" s="538"/>
      <c r="F74" s="538"/>
      <c r="G74" s="553"/>
      <c r="H74" s="536"/>
      <c r="I74" s="536"/>
      <c r="J74" s="554"/>
      <c r="K74" s="291"/>
      <c r="L74" s="291"/>
    </row>
    <row r="75" spans="1:12" s="1" customFormat="1" ht="12" hidden="1" customHeight="1" outlineLevel="1" thickBot="1">
      <c r="A75" s="448" t="s">
        <v>163</v>
      </c>
      <c r="B75" s="551">
        <v>0</v>
      </c>
      <c r="C75" s="536">
        <v>0</v>
      </c>
      <c r="D75" s="536">
        <v>0</v>
      </c>
      <c r="E75" s="538">
        <v>0</v>
      </c>
      <c r="F75" s="538">
        <f>E75*$B75</f>
        <v>0</v>
      </c>
      <c r="G75" s="539" t="e">
        <f t="shared" ref="G75:G76" si="31">E75/$C75-1</f>
        <v>#DIV/0!</v>
      </c>
      <c r="H75" s="536">
        <f>ROUND(C75*(1+L75),2)</f>
        <v>0</v>
      </c>
      <c r="I75" s="536">
        <f>H75*$B75</f>
        <v>0</v>
      </c>
      <c r="J75" s="540" t="e">
        <f t="shared" ref="J75:J76" si="32">H75/$C75-1</f>
        <v>#DIV/0!</v>
      </c>
      <c r="K75" s="291"/>
      <c r="L75" s="193">
        <v>0</v>
      </c>
    </row>
    <row r="76" spans="1:12" s="1" customFormat="1" ht="12" hidden="1" customHeight="1" outlineLevel="1" thickBot="1">
      <c r="A76" s="448" t="s">
        <v>164</v>
      </c>
      <c r="B76" s="551">
        <v>0</v>
      </c>
      <c r="C76" s="536">
        <v>0</v>
      </c>
      <c r="D76" s="536">
        <v>0</v>
      </c>
      <c r="E76" s="538">
        <v>0</v>
      </c>
      <c r="F76" s="538">
        <f>E76*$B76</f>
        <v>0</v>
      </c>
      <c r="G76" s="539" t="e">
        <f t="shared" si="31"/>
        <v>#DIV/0!</v>
      </c>
      <c r="H76" s="536">
        <f>ROUND(C76*(1+L76),2)</f>
        <v>0</v>
      </c>
      <c r="I76" s="536">
        <f>H76*$B76</f>
        <v>0</v>
      </c>
      <c r="J76" s="540" t="e">
        <f t="shared" si="32"/>
        <v>#DIV/0!</v>
      </c>
      <c r="K76" s="291"/>
      <c r="L76" s="193">
        <v>0</v>
      </c>
    </row>
    <row r="77" spans="1:12" s="1" customFormat="1" ht="12" hidden="1" customHeight="1" outlineLevel="1">
      <c r="A77" s="499" t="str">
        <f>A10</f>
        <v>Class D</v>
      </c>
      <c r="B77" s="438"/>
      <c r="C77" s="536"/>
      <c r="D77" s="536"/>
      <c r="E77" s="538"/>
      <c r="F77" s="538"/>
      <c r="G77" s="553"/>
      <c r="H77" s="536"/>
      <c r="I77" s="536"/>
      <c r="J77" s="554"/>
      <c r="K77" s="291"/>
      <c r="L77" s="291"/>
    </row>
    <row r="78" spans="1:12" s="1" customFormat="1" ht="12" hidden="1" customHeight="1" outlineLevel="1" thickBot="1">
      <c r="A78" s="448" t="s">
        <v>163</v>
      </c>
      <c r="B78" s="551">
        <v>0</v>
      </c>
      <c r="C78" s="536">
        <v>0</v>
      </c>
      <c r="D78" s="536">
        <v>0</v>
      </c>
      <c r="E78" s="538">
        <v>0</v>
      </c>
      <c r="F78" s="538">
        <f>E78*$B78</f>
        <v>0</v>
      </c>
      <c r="G78" s="539" t="e">
        <f t="shared" ref="G78" si="33">E78/$C78-1</f>
        <v>#DIV/0!</v>
      </c>
      <c r="H78" s="536">
        <f>ROUND(C78*(1+L78),2)</f>
        <v>0</v>
      </c>
      <c r="I78" s="536">
        <f>H78*$B78</f>
        <v>0</v>
      </c>
      <c r="J78" s="540" t="e">
        <f t="shared" ref="J78:J79" si="34">H78/$C78-1</f>
        <v>#DIV/0!</v>
      </c>
      <c r="K78" s="291"/>
      <c r="L78" s="193">
        <v>0</v>
      </c>
    </row>
    <row r="79" spans="1:12" s="1" customFormat="1" ht="12" hidden="1" customHeight="1" outlineLevel="1" thickBot="1">
      <c r="A79" s="448" t="s">
        <v>164</v>
      </c>
      <c r="B79" s="551">
        <v>0</v>
      </c>
      <c r="C79" s="536">
        <v>0</v>
      </c>
      <c r="D79" s="536">
        <v>0</v>
      </c>
      <c r="E79" s="538">
        <v>0</v>
      </c>
      <c r="F79" s="538">
        <f>E79*$B79</f>
        <v>0</v>
      </c>
      <c r="G79" s="539" t="e">
        <f>E79/$C79-1</f>
        <v>#DIV/0!</v>
      </c>
      <c r="H79" s="536">
        <f>ROUND(C79*(1+L79),2)</f>
        <v>0</v>
      </c>
      <c r="I79" s="536">
        <f>H79*$B79</f>
        <v>0</v>
      </c>
      <c r="J79" s="540" t="e">
        <f t="shared" si="34"/>
        <v>#DIV/0!</v>
      </c>
      <c r="K79" s="291"/>
      <c r="L79" s="193">
        <v>0</v>
      </c>
    </row>
    <row r="80" spans="1:12" s="1" customFormat="1" ht="12" customHeight="1" collapsed="1">
      <c r="A80" s="499" t="str">
        <f>A11</f>
        <v>All Employees</v>
      </c>
      <c r="B80" s="551"/>
      <c r="C80" s="536"/>
      <c r="D80" s="536"/>
      <c r="E80" s="538"/>
      <c r="F80" s="538"/>
      <c r="G80" s="553"/>
      <c r="H80" s="536"/>
      <c r="I80" s="536"/>
      <c r="J80" s="554"/>
      <c r="K80" s="291"/>
      <c r="L80" s="291"/>
    </row>
    <row r="81" spans="1:12" s="1" customFormat="1" ht="12" customHeight="1" thickBot="1">
      <c r="A81" s="448" t="s">
        <v>163</v>
      </c>
      <c r="B81" s="551">
        <v>0</v>
      </c>
      <c r="C81" s="536">
        <v>0</v>
      </c>
      <c r="D81" s="536">
        <f>C81*$B81</f>
        <v>0</v>
      </c>
      <c r="E81" s="538">
        <v>0</v>
      </c>
      <c r="F81" s="538">
        <f>E81*$B81</f>
        <v>0</v>
      </c>
      <c r="G81" s="539" t="e">
        <f t="shared" ref="G81:G82" si="35">E81/$C81-1</f>
        <v>#DIV/0!</v>
      </c>
      <c r="H81" s="536">
        <f>ROUND(C81*(1+L81),2)</f>
        <v>0</v>
      </c>
      <c r="I81" s="536">
        <f>H81*$B81</f>
        <v>0</v>
      </c>
      <c r="J81" s="540" t="e">
        <f t="shared" ref="J81:J82" si="36">H81/$C81-1</f>
        <v>#DIV/0!</v>
      </c>
      <c r="K81" s="291"/>
      <c r="L81" s="193">
        <v>0</v>
      </c>
    </row>
    <row r="82" spans="1:12" s="1" customFormat="1" ht="12" customHeight="1" thickBot="1">
      <c r="A82" s="448" t="s">
        <v>164</v>
      </c>
      <c r="B82" s="551">
        <v>0</v>
      </c>
      <c r="C82" s="536">
        <v>0</v>
      </c>
      <c r="D82" s="536">
        <f>C82*$B82</f>
        <v>0</v>
      </c>
      <c r="E82" s="538">
        <v>0</v>
      </c>
      <c r="F82" s="538">
        <f>E82*$B82</f>
        <v>0</v>
      </c>
      <c r="G82" s="539" t="e">
        <f t="shared" si="35"/>
        <v>#DIV/0!</v>
      </c>
      <c r="H82" s="536">
        <f>ROUND(C82*(1+L82),2)</f>
        <v>0</v>
      </c>
      <c r="I82" s="536">
        <f>H82*$B82</f>
        <v>0</v>
      </c>
      <c r="J82" s="540" t="e">
        <f t="shared" si="36"/>
        <v>#DIV/0!</v>
      </c>
      <c r="K82" s="291"/>
      <c r="L82" s="193">
        <v>0</v>
      </c>
    </row>
    <row r="83" spans="1:12" s="190" customFormat="1" ht="12" customHeight="1">
      <c r="A83" s="448" t="s">
        <v>300</v>
      </c>
      <c r="B83" s="541"/>
      <c r="C83" s="542"/>
      <c r="D83" s="542">
        <f>SUM(D69:D82)</f>
        <v>0</v>
      </c>
      <c r="E83" s="542"/>
      <c r="F83" s="542">
        <f>SUM(F69:F82)</f>
        <v>0</v>
      </c>
      <c r="G83" s="543">
        <f>IFERROR(F83/$D83-1,0)</f>
        <v>0</v>
      </c>
      <c r="H83" s="542"/>
      <c r="I83" s="542">
        <f>SUM(I69:I82)</f>
        <v>0</v>
      </c>
      <c r="J83" s="543">
        <f>IFERROR(I83/$D83-1,0)</f>
        <v>0</v>
      </c>
      <c r="K83" s="291"/>
      <c r="L83" s="291"/>
    </row>
    <row r="84" spans="1:12" s="1" customFormat="1" ht="12" customHeight="1">
      <c r="A84" s="448" t="s">
        <v>43</v>
      </c>
      <c r="B84" s="438"/>
      <c r="C84" s="536"/>
      <c r="D84" s="536"/>
      <c r="E84" s="538"/>
      <c r="F84" s="538"/>
      <c r="G84" s="553"/>
      <c r="H84" s="536"/>
      <c r="I84" s="536"/>
      <c r="J84" s="554"/>
      <c r="K84" s="291"/>
      <c r="L84" s="291"/>
    </row>
    <row r="85" spans="1:12" s="1" customFormat="1" ht="12" hidden="1" customHeight="1" outlineLevel="1">
      <c r="A85" s="499" t="str">
        <f>A7</f>
        <v>Class A</v>
      </c>
      <c r="B85" s="438"/>
      <c r="C85" s="536"/>
      <c r="D85" s="536"/>
      <c r="E85" s="538"/>
      <c r="F85" s="538"/>
      <c r="G85" s="553"/>
      <c r="H85" s="536"/>
      <c r="I85" s="536"/>
      <c r="J85" s="554"/>
      <c r="K85" s="291"/>
      <c r="L85" s="291"/>
    </row>
    <row r="86" spans="1:12" s="1" customFormat="1" ht="12" hidden="1" customHeight="1" outlineLevel="1" thickBot="1">
      <c r="A86" s="448" t="s">
        <v>163</v>
      </c>
      <c r="B86" s="551">
        <v>0</v>
      </c>
      <c r="C86" s="536">
        <v>0</v>
      </c>
      <c r="D86" s="536">
        <v>0</v>
      </c>
      <c r="E86" s="538">
        <v>0</v>
      </c>
      <c r="F86" s="538">
        <f>E86*$B86</f>
        <v>0</v>
      </c>
      <c r="G86" s="539" t="e">
        <f t="shared" ref="G86:G87" si="37">E86/$C86-1</f>
        <v>#DIV/0!</v>
      </c>
      <c r="H86" s="536">
        <f>ROUND(C86*(1+L86),2)</f>
        <v>0</v>
      </c>
      <c r="I86" s="536">
        <f>H86*$B86</f>
        <v>0</v>
      </c>
      <c r="J86" s="540" t="e">
        <f t="shared" ref="J86:J87" si="38">H86/$C86-1</f>
        <v>#DIV/0!</v>
      </c>
      <c r="K86" s="291"/>
      <c r="L86" s="193">
        <v>0</v>
      </c>
    </row>
    <row r="87" spans="1:12" s="1" customFormat="1" ht="12" hidden="1" customHeight="1" outlineLevel="1" thickBot="1">
      <c r="A87" s="448" t="s">
        <v>164</v>
      </c>
      <c r="B87" s="551">
        <v>0</v>
      </c>
      <c r="C87" s="536">
        <v>0</v>
      </c>
      <c r="D87" s="536">
        <v>0</v>
      </c>
      <c r="E87" s="538">
        <v>0</v>
      </c>
      <c r="F87" s="538">
        <f>E87*$B87</f>
        <v>0</v>
      </c>
      <c r="G87" s="539" t="e">
        <f t="shared" si="37"/>
        <v>#DIV/0!</v>
      </c>
      <c r="H87" s="536">
        <f>ROUND(C87*(1+L87),2)</f>
        <v>0</v>
      </c>
      <c r="I87" s="536">
        <f>H87*$B87</f>
        <v>0</v>
      </c>
      <c r="J87" s="540" t="e">
        <f t="shared" si="38"/>
        <v>#DIV/0!</v>
      </c>
      <c r="K87" s="291"/>
      <c r="L87" s="193">
        <v>0</v>
      </c>
    </row>
    <row r="88" spans="1:12" s="1" customFormat="1" ht="12" hidden="1" customHeight="1" outlineLevel="1">
      <c r="A88" s="499" t="str">
        <f>A8</f>
        <v>Class B</v>
      </c>
      <c r="B88" s="438"/>
      <c r="C88" s="536"/>
      <c r="D88" s="536"/>
      <c r="E88" s="538"/>
      <c r="F88" s="538"/>
      <c r="G88" s="553"/>
      <c r="H88" s="536"/>
      <c r="I88" s="536"/>
      <c r="J88" s="554"/>
      <c r="K88" s="291"/>
      <c r="L88" s="291"/>
    </row>
    <row r="89" spans="1:12" s="1" customFormat="1" ht="12" hidden="1" customHeight="1" outlineLevel="1" thickBot="1">
      <c r="A89" s="448" t="s">
        <v>163</v>
      </c>
      <c r="B89" s="551">
        <v>0</v>
      </c>
      <c r="C89" s="536">
        <v>0</v>
      </c>
      <c r="D89" s="536">
        <v>0</v>
      </c>
      <c r="E89" s="538">
        <v>0</v>
      </c>
      <c r="F89" s="538">
        <f>E89*$B89</f>
        <v>0</v>
      </c>
      <c r="G89" s="539" t="e">
        <f t="shared" ref="G89:G90" si="39">E89/$C89-1</f>
        <v>#DIV/0!</v>
      </c>
      <c r="H89" s="536">
        <f>ROUND(C89*(1+L89),2)</f>
        <v>0</v>
      </c>
      <c r="I89" s="536">
        <f>H89*$B89</f>
        <v>0</v>
      </c>
      <c r="J89" s="540" t="e">
        <f t="shared" ref="J89:J90" si="40">H89/$C89-1</f>
        <v>#DIV/0!</v>
      </c>
      <c r="K89" s="291"/>
      <c r="L89" s="193">
        <v>0</v>
      </c>
    </row>
    <row r="90" spans="1:12" s="1" customFormat="1" ht="12" hidden="1" customHeight="1" outlineLevel="1" thickBot="1">
      <c r="A90" s="448" t="s">
        <v>164</v>
      </c>
      <c r="B90" s="551">
        <v>0</v>
      </c>
      <c r="C90" s="536">
        <v>0</v>
      </c>
      <c r="D90" s="536">
        <v>0</v>
      </c>
      <c r="E90" s="538">
        <v>0</v>
      </c>
      <c r="F90" s="538">
        <f>E90*$B90</f>
        <v>0</v>
      </c>
      <c r="G90" s="539" t="e">
        <f t="shared" si="39"/>
        <v>#DIV/0!</v>
      </c>
      <c r="H90" s="536">
        <f>ROUND(C90*(1+L90),2)</f>
        <v>0</v>
      </c>
      <c r="I90" s="536">
        <f>H90*$B90</f>
        <v>0</v>
      </c>
      <c r="J90" s="540" t="e">
        <f t="shared" si="40"/>
        <v>#DIV/0!</v>
      </c>
      <c r="K90" s="291"/>
      <c r="L90" s="193">
        <v>0</v>
      </c>
    </row>
    <row r="91" spans="1:12" s="1" customFormat="1" ht="12" hidden="1" customHeight="1" outlineLevel="1">
      <c r="A91" s="499" t="str">
        <f>A9</f>
        <v>Class C</v>
      </c>
      <c r="B91" s="438"/>
      <c r="C91" s="536"/>
      <c r="D91" s="536"/>
      <c r="E91" s="538"/>
      <c r="F91" s="538"/>
      <c r="G91" s="553"/>
      <c r="H91" s="536"/>
      <c r="I91" s="536"/>
      <c r="J91" s="554"/>
      <c r="K91" s="291"/>
      <c r="L91" s="291"/>
    </row>
    <row r="92" spans="1:12" s="1" customFormat="1" ht="12" hidden="1" customHeight="1" outlineLevel="1" thickBot="1">
      <c r="A92" s="448" t="s">
        <v>163</v>
      </c>
      <c r="B92" s="551">
        <v>0</v>
      </c>
      <c r="C92" s="536">
        <v>0</v>
      </c>
      <c r="D92" s="536">
        <v>0</v>
      </c>
      <c r="E92" s="538">
        <v>0</v>
      </c>
      <c r="F92" s="538">
        <f>E92*$B92</f>
        <v>0</v>
      </c>
      <c r="G92" s="539" t="e">
        <f t="shared" ref="G92:G93" si="41">E92/$C92-1</f>
        <v>#DIV/0!</v>
      </c>
      <c r="H92" s="536">
        <f>ROUND(C92*(1+L92),2)</f>
        <v>0</v>
      </c>
      <c r="I92" s="536">
        <f>H92*$B92</f>
        <v>0</v>
      </c>
      <c r="J92" s="540" t="e">
        <f t="shared" ref="J92:J93" si="42">H92/$C92-1</f>
        <v>#DIV/0!</v>
      </c>
      <c r="K92" s="291"/>
      <c r="L92" s="193">
        <v>0</v>
      </c>
    </row>
    <row r="93" spans="1:12" s="1" customFormat="1" ht="12" hidden="1" customHeight="1" outlineLevel="1" thickBot="1">
      <c r="A93" s="448" t="s">
        <v>164</v>
      </c>
      <c r="B93" s="551">
        <v>0</v>
      </c>
      <c r="C93" s="536">
        <v>0</v>
      </c>
      <c r="D93" s="536">
        <v>0</v>
      </c>
      <c r="E93" s="538">
        <v>0</v>
      </c>
      <c r="F93" s="538">
        <f>E93*$B93</f>
        <v>0</v>
      </c>
      <c r="G93" s="539" t="e">
        <f t="shared" si="41"/>
        <v>#DIV/0!</v>
      </c>
      <c r="H93" s="536">
        <f>ROUND(C93*(1+L93),2)</f>
        <v>0</v>
      </c>
      <c r="I93" s="536">
        <f>H93*$B93</f>
        <v>0</v>
      </c>
      <c r="J93" s="540" t="e">
        <f t="shared" si="42"/>
        <v>#DIV/0!</v>
      </c>
      <c r="K93" s="291"/>
      <c r="L93" s="193">
        <v>0</v>
      </c>
    </row>
    <row r="94" spans="1:12" s="1" customFormat="1" ht="12" hidden="1" customHeight="1" outlineLevel="1">
      <c r="A94" s="499" t="str">
        <f>A10</f>
        <v>Class D</v>
      </c>
      <c r="B94" s="438"/>
      <c r="C94" s="536"/>
      <c r="D94" s="536"/>
      <c r="E94" s="538"/>
      <c r="F94" s="538"/>
      <c r="G94" s="553"/>
      <c r="H94" s="536"/>
      <c r="I94" s="536"/>
      <c r="J94" s="554"/>
      <c r="K94" s="291"/>
      <c r="L94" s="291"/>
    </row>
    <row r="95" spans="1:12" s="1" customFormat="1" ht="12" hidden="1" customHeight="1" outlineLevel="1" thickBot="1">
      <c r="A95" s="448" t="s">
        <v>163</v>
      </c>
      <c r="B95" s="551">
        <v>0</v>
      </c>
      <c r="C95" s="536">
        <v>0</v>
      </c>
      <c r="D95" s="536">
        <v>0</v>
      </c>
      <c r="E95" s="538">
        <v>0</v>
      </c>
      <c r="F95" s="538">
        <f>E95*$B95</f>
        <v>0</v>
      </c>
      <c r="G95" s="539" t="e">
        <f t="shared" ref="G95:G96" si="43">E95/$C95-1</f>
        <v>#DIV/0!</v>
      </c>
      <c r="H95" s="536">
        <f>ROUND(C95*(1+L95),2)</f>
        <v>0</v>
      </c>
      <c r="I95" s="536">
        <f>H95*$B95</f>
        <v>0</v>
      </c>
      <c r="J95" s="540" t="e">
        <f t="shared" ref="J95:J96" si="44">H95/$C95-1</f>
        <v>#DIV/0!</v>
      </c>
      <c r="K95" s="291"/>
      <c r="L95" s="193">
        <v>0</v>
      </c>
    </row>
    <row r="96" spans="1:12" s="1" customFormat="1" ht="12" hidden="1" customHeight="1" outlineLevel="1" thickBot="1">
      <c r="A96" s="448" t="s">
        <v>164</v>
      </c>
      <c r="B96" s="551">
        <v>0</v>
      </c>
      <c r="C96" s="536">
        <v>0</v>
      </c>
      <c r="D96" s="536">
        <v>0</v>
      </c>
      <c r="E96" s="538">
        <v>0</v>
      </c>
      <c r="F96" s="538">
        <f>E96*$B96</f>
        <v>0</v>
      </c>
      <c r="G96" s="539" t="e">
        <f t="shared" si="43"/>
        <v>#DIV/0!</v>
      </c>
      <c r="H96" s="536">
        <f>ROUND(C96*(1+L96),2)</f>
        <v>0</v>
      </c>
      <c r="I96" s="536">
        <f>H96*$B96</f>
        <v>0</v>
      </c>
      <c r="J96" s="540" t="e">
        <f t="shared" si="44"/>
        <v>#DIV/0!</v>
      </c>
      <c r="K96" s="291"/>
      <c r="L96" s="193">
        <v>0</v>
      </c>
    </row>
    <row r="97" spans="1:12" s="1" customFormat="1" ht="12" customHeight="1" collapsed="1">
      <c r="A97" s="499" t="str">
        <f>A11</f>
        <v>All Employees</v>
      </c>
      <c r="B97" s="551"/>
      <c r="C97" s="536"/>
      <c r="D97" s="536"/>
      <c r="E97" s="538"/>
      <c r="F97" s="538"/>
      <c r="G97" s="553"/>
      <c r="H97" s="536"/>
      <c r="I97" s="536"/>
      <c r="J97" s="554"/>
      <c r="K97" s="291"/>
      <c r="L97" s="291"/>
    </row>
    <row r="98" spans="1:12" s="1" customFormat="1" ht="12" customHeight="1" thickBot="1">
      <c r="A98" s="448" t="s">
        <v>163</v>
      </c>
      <c r="B98" s="551">
        <v>0</v>
      </c>
      <c r="C98" s="536">
        <v>0</v>
      </c>
      <c r="D98" s="536">
        <f>C98*$B98</f>
        <v>0</v>
      </c>
      <c r="E98" s="538">
        <v>0</v>
      </c>
      <c r="F98" s="538">
        <f>E98*$B98</f>
        <v>0</v>
      </c>
      <c r="G98" s="539" t="e">
        <f t="shared" ref="G98:G99" si="45">E98/$C98-1</f>
        <v>#DIV/0!</v>
      </c>
      <c r="H98" s="536">
        <f>ROUND(C98*(1+L98),2)</f>
        <v>0</v>
      </c>
      <c r="I98" s="536">
        <f>H98*$B98</f>
        <v>0</v>
      </c>
      <c r="J98" s="540" t="e">
        <f t="shared" ref="J98:J99" si="46">H98/$C98-1</f>
        <v>#DIV/0!</v>
      </c>
      <c r="K98" s="291"/>
      <c r="L98" s="193">
        <v>0</v>
      </c>
    </row>
    <row r="99" spans="1:12" s="1" customFormat="1" ht="12" customHeight="1" thickBot="1">
      <c r="A99" s="448" t="s">
        <v>164</v>
      </c>
      <c r="B99" s="551">
        <v>0</v>
      </c>
      <c r="C99" s="536">
        <v>0</v>
      </c>
      <c r="D99" s="536">
        <f>C99*$B99</f>
        <v>0</v>
      </c>
      <c r="E99" s="538">
        <v>0</v>
      </c>
      <c r="F99" s="538">
        <f>E99*$B99</f>
        <v>0</v>
      </c>
      <c r="G99" s="539" t="e">
        <f t="shared" si="45"/>
        <v>#DIV/0!</v>
      </c>
      <c r="H99" s="536">
        <f>ROUND(C99*(1+L99),2)</f>
        <v>0</v>
      </c>
      <c r="I99" s="536">
        <f>H99*$B99</f>
        <v>0</v>
      </c>
      <c r="J99" s="540" t="e">
        <f t="shared" si="46"/>
        <v>#DIV/0!</v>
      </c>
      <c r="K99" s="291"/>
      <c r="L99" s="193">
        <v>0</v>
      </c>
    </row>
    <row r="100" spans="1:12" s="190" customFormat="1" ht="12" customHeight="1">
      <c r="A100" s="448" t="s">
        <v>684</v>
      </c>
      <c r="B100" s="541"/>
      <c r="C100" s="542"/>
      <c r="D100" s="542">
        <f>SUM(D86:D99)</f>
        <v>0</v>
      </c>
      <c r="E100" s="542"/>
      <c r="F100" s="542">
        <f>SUM(F86:F99)</f>
        <v>0</v>
      </c>
      <c r="G100" s="543">
        <f>IFERROR(F100/$D100-1,0)</f>
        <v>0</v>
      </c>
      <c r="H100" s="542"/>
      <c r="I100" s="542">
        <f>SUM(I86:I99)</f>
        <v>0</v>
      </c>
      <c r="J100" s="543">
        <f>IFERROR(I100/$D100-1,0)</f>
        <v>0</v>
      </c>
      <c r="K100" s="291"/>
      <c r="L100" s="291"/>
    </row>
    <row r="101" spans="1:12" s="1" customFormat="1" ht="11.25" customHeight="1">
      <c r="A101" s="448" t="s">
        <v>432</v>
      </c>
      <c r="B101" s="438"/>
      <c r="C101" s="536"/>
      <c r="D101" s="536"/>
      <c r="E101" s="538"/>
      <c r="F101" s="538"/>
      <c r="G101" s="553"/>
      <c r="H101" s="536"/>
      <c r="I101" s="536"/>
      <c r="J101" s="554"/>
      <c r="K101" s="24"/>
      <c r="L101" s="24"/>
    </row>
    <row r="102" spans="1:12" s="1" customFormat="1" ht="12" hidden="1" customHeight="1" outlineLevel="1">
      <c r="A102" s="499" t="str">
        <f>A7</f>
        <v>Class A</v>
      </c>
      <c r="B102" s="438"/>
      <c r="C102" s="536"/>
      <c r="D102" s="536"/>
      <c r="E102" s="538"/>
      <c r="F102" s="538"/>
      <c r="G102" s="553"/>
      <c r="H102" s="536"/>
      <c r="I102" s="536"/>
      <c r="J102" s="554"/>
      <c r="K102" s="24"/>
      <c r="L102" s="24"/>
    </row>
    <row r="103" spans="1:12" s="1" customFormat="1" ht="12" hidden="1" customHeight="1" outlineLevel="1" thickBot="1">
      <c r="A103" s="448" t="s">
        <v>163</v>
      </c>
      <c r="B103" s="551">
        <v>0</v>
      </c>
      <c r="C103" s="536">
        <v>0</v>
      </c>
      <c r="D103" s="536">
        <f>C103*$B103</f>
        <v>0</v>
      </c>
      <c r="E103" s="538">
        <v>0</v>
      </c>
      <c r="F103" s="538">
        <f>E103*$B103</f>
        <v>0</v>
      </c>
      <c r="G103" s="539" t="e">
        <f>E103/$C103-1</f>
        <v>#DIV/0!</v>
      </c>
      <c r="H103" s="536">
        <f>ROUND(C103*(1+L103),2)</f>
        <v>0</v>
      </c>
      <c r="I103" s="536">
        <f>H103*$B103</f>
        <v>0</v>
      </c>
      <c r="J103" s="540" t="e">
        <f>H103/$C103-1</f>
        <v>#DIV/0!</v>
      </c>
      <c r="K103" s="24"/>
      <c r="L103" s="193">
        <v>0</v>
      </c>
    </row>
    <row r="104" spans="1:12" s="1" customFormat="1" ht="12" hidden="1" customHeight="1" outlineLevel="1" thickBot="1">
      <c r="A104" s="448" t="s">
        <v>164</v>
      </c>
      <c r="B104" s="551">
        <v>0</v>
      </c>
      <c r="C104" s="536">
        <v>0</v>
      </c>
      <c r="D104" s="536">
        <f>C104*$B104</f>
        <v>0</v>
      </c>
      <c r="E104" s="538">
        <v>0</v>
      </c>
      <c r="F104" s="538">
        <f>E104*$B104</f>
        <v>0</v>
      </c>
      <c r="G104" s="539" t="e">
        <f>E104/$C104-1</f>
        <v>#DIV/0!</v>
      </c>
      <c r="H104" s="536">
        <f>ROUND(C104*(1+L104),2)</f>
        <v>0</v>
      </c>
      <c r="I104" s="536">
        <f>H104*$B104</f>
        <v>0</v>
      </c>
      <c r="J104" s="540" t="e">
        <f>H104/$C104-1</f>
        <v>#DIV/0!</v>
      </c>
      <c r="K104" s="24"/>
      <c r="L104" s="193">
        <v>0</v>
      </c>
    </row>
    <row r="105" spans="1:12" s="1" customFormat="1" ht="12" hidden="1" customHeight="1" outlineLevel="1">
      <c r="A105" s="499" t="str">
        <f>A8</f>
        <v>Class B</v>
      </c>
      <c r="B105" s="438"/>
      <c r="C105" s="536"/>
      <c r="D105" s="536"/>
      <c r="E105" s="538"/>
      <c r="F105" s="538"/>
      <c r="G105" s="553"/>
      <c r="H105" s="536"/>
      <c r="I105" s="536"/>
      <c r="J105" s="554"/>
      <c r="K105" s="24"/>
      <c r="L105" s="24"/>
    </row>
    <row r="106" spans="1:12" s="1" customFormat="1" ht="12" hidden="1" customHeight="1" outlineLevel="1" thickBot="1">
      <c r="A106" s="448" t="s">
        <v>163</v>
      </c>
      <c r="B106" s="551">
        <v>0</v>
      </c>
      <c r="C106" s="536">
        <v>0</v>
      </c>
      <c r="D106" s="536">
        <f>C106*$B106</f>
        <v>0</v>
      </c>
      <c r="E106" s="538">
        <v>0</v>
      </c>
      <c r="F106" s="538">
        <f>E106*$B106</f>
        <v>0</v>
      </c>
      <c r="G106" s="539" t="e">
        <f>E106/$C106-1</f>
        <v>#DIV/0!</v>
      </c>
      <c r="H106" s="536">
        <f>ROUND(C106*(1+L106),2)</f>
        <v>0</v>
      </c>
      <c r="I106" s="536">
        <f>H106*$B106</f>
        <v>0</v>
      </c>
      <c r="J106" s="540" t="e">
        <f>H106/$C106-1</f>
        <v>#DIV/0!</v>
      </c>
      <c r="K106" s="24"/>
      <c r="L106" s="193">
        <v>0</v>
      </c>
    </row>
    <row r="107" spans="1:12" s="1" customFormat="1" ht="12" hidden="1" customHeight="1" outlineLevel="1" thickBot="1">
      <c r="A107" s="448" t="s">
        <v>164</v>
      </c>
      <c r="B107" s="551">
        <v>0</v>
      </c>
      <c r="C107" s="536">
        <v>0</v>
      </c>
      <c r="D107" s="536">
        <f>C107*$B107</f>
        <v>0</v>
      </c>
      <c r="E107" s="538">
        <v>0</v>
      </c>
      <c r="F107" s="538">
        <f>E107*$B107</f>
        <v>0</v>
      </c>
      <c r="G107" s="539" t="e">
        <f>E107/$C107-1</f>
        <v>#DIV/0!</v>
      </c>
      <c r="H107" s="536">
        <f>ROUND(C107*(1+L107),2)</f>
        <v>0</v>
      </c>
      <c r="I107" s="536">
        <f>H107*$B107</f>
        <v>0</v>
      </c>
      <c r="J107" s="540" t="e">
        <f>H107/$C107-1</f>
        <v>#DIV/0!</v>
      </c>
      <c r="K107" s="24"/>
      <c r="L107" s="193">
        <v>0</v>
      </c>
    </row>
    <row r="108" spans="1:12" s="1" customFormat="1" ht="12" hidden="1" customHeight="1" outlineLevel="1">
      <c r="A108" s="499" t="str">
        <f>A9</f>
        <v>Class C</v>
      </c>
      <c r="B108" s="438"/>
      <c r="C108" s="536"/>
      <c r="D108" s="536"/>
      <c r="E108" s="538"/>
      <c r="F108" s="538"/>
      <c r="G108" s="553"/>
      <c r="H108" s="536"/>
      <c r="I108" s="536"/>
      <c r="J108" s="554"/>
      <c r="K108" s="285"/>
      <c r="L108" s="285"/>
    </row>
    <row r="109" spans="1:12" s="1" customFormat="1" ht="12" hidden="1" customHeight="1" outlineLevel="1" thickBot="1">
      <c r="A109" s="448" t="s">
        <v>163</v>
      </c>
      <c r="B109" s="551">
        <v>0</v>
      </c>
      <c r="C109" s="536">
        <v>0</v>
      </c>
      <c r="D109" s="536">
        <f>C109*$B109</f>
        <v>0</v>
      </c>
      <c r="E109" s="538">
        <v>0</v>
      </c>
      <c r="F109" s="538">
        <f>E109*$B109</f>
        <v>0</v>
      </c>
      <c r="G109" s="539" t="e">
        <f>E109/$C109-1</f>
        <v>#DIV/0!</v>
      </c>
      <c r="H109" s="536">
        <f>ROUND(C109*(1+L109),2)</f>
        <v>0</v>
      </c>
      <c r="I109" s="536">
        <f>H109*$B109</f>
        <v>0</v>
      </c>
      <c r="J109" s="540" t="e">
        <f>H109/$C109-1</f>
        <v>#DIV/0!</v>
      </c>
      <c r="K109" s="285"/>
      <c r="L109" s="193">
        <v>0</v>
      </c>
    </row>
    <row r="110" spans="1:12" s="1" customFormat="1" ht="12" hidden="1" customHeight="1" outlineLevel="1" thickBot="1">
      <c r="A110" s="448" t="s">
        <v>164</v>
      </c>
      <c r="B110" s="551">
        <v>0</v>
      </c>
      <c r="C110" s="536">
        <v>0</v>
      </c>
      <c r="D110" s="536">
        <f>C110*$B110</f>
        <v>0</v>
      </c>
      <c r="E110" s="538">
        <v>0</v>
      </c>
      <c r="F110" s="538">
        <f>E110*$B110</f>
        <v>0</v>
      </c>
      <c r="G110" s="539" t="e">
        <f>E110/$C110-1</f>
        <v>#DIV/0!</v>
      </c>
      <c r="H110" s="536">
        <f>ROUND(C110*(1+L110),2)</f>
        <v>0</v>
      </c>
      <c r="I110" s="536">
        <f>H110*$B110</f>
        <v>0</v>
      </c>
      <c r="J110" s="540" t="e">
        <f>H110/$C110-1</f>
        <v>#DIV/0!</v>
      </c>
      <c r="K110" s="285"/>
      <c r="L110" s="193">
        <v>0</v>
      </c>
    </row>
    <row r="111" spans="1:12" s="1" customFormat="1" ht="12" hidden="1" customHeight="1" outlineLevel="1">
      <c r="A111" s="499" t="str">
        <f>A10</f>
        <v>Class D</v>
      </c>
      <c r="B111" s="438"/>
      <c r="C111" s="536"/>
      <c r="D111" s="536"/>
      <c r="E111" s="538"/>
      <c r="F111" s="538"/>
      <c r="G111" s="553"/>
      <c r="H111" s="536"/>
      <c r="I111" s="536"/>
      <c r="J111" s="554"/>
      <c r="K111" s="285"/>
      <c r="L111" s="285"/>
    </row>
    <row r="112" spans="1:12" s="1" customFormat="1" ht="12" hidden="1" customHeight="1" outlineLevel="1" thickBot="1">
      <c r="A112" s="448" t="s">
        <v>163</v>
      </c>
      <c r="B112" s="551">
        <v>0</v>
      </c>
      <c r="C112" s="536">
        <v>0</v>
      </c>
      <c r="D112" s="536">
        <f>C112*$B112</f>
        <v>0</v>
      </c>
      <c r="E112" s="538">
        <v>0</v>
      </c>
      <c r="F112" s="538">
        <f>E112*$B112</f>
        <v>0</v>
      </c>
      <c r="G112" s="539" t="e">
        <f>E112/$C112-1</f>
        <v>#DIV/0!</v>
      </c>
      <c r="H112" s="536">
        <f>ROUND(C112*(1+L112),2)</f>
        <v>0</v>
      </c>
      <c r="I112" s="536">
        <f>H112*$B112</f>
        <v>0</v>
      </c>
      <c r="J112" s="540" t="e">
        <f>H112/$C112-1</f>
        <v>#DIV/0!</v>
      </c>
      <c r="K112" s="285"/>
      <c r="L112" s="193">
        <v>0</v>
      </c>
    </row>
    <row r="113" spans="1:12" s="1" customFormat="1" ht="12" hidden="1" customHeight="1" outlineLevel="1" thickBot="1">
      <c r="A113" s="448" t="s">
        <v>164</v>
      </c>
      <c r="B113" s="551">
        <v>0</v>
      </c>
      <c r="C113" s="536">
        <v>0</v>
      </c>
      <c r="D113" s="536">
        <f>C113*$B113</f>
        <v>0</v>
      </c>
      <c r="E113" s="538">
        <v>0</v>
      </c>
      <c r="F113" s="538">
        <f>E113*$B113</f>
        <v>0</v>
      </c>
      <c r="G113" s="539" t="e">
        <f>E113/$C113-1</f>
        <v>#DIV/0!</v>
      </c>
      <c r="H113" s="536">
        <f>ROUND(C113*(1+L113),2)</f>
        <v>0</v>
      </c>
      <c r="I113" s="536">
        <f>H113*$B113</f>
        <v>0</v>
      </c>
      <c r="J113" s="540" t="e">
        <f>H113/$C113-1</f>
        <v>#DIV/0!</v>
      </c>
      <c r="K113" s="285"/>
      <c r="L113" s="193">
        <v>0</v>
      </c>
    </row>
    <row r="114" spans="1:12" s="1" customFormat="1" ht="12" customHeight="1" collapsed="1">
      <c r="A114" s="499" t="str">
        <f>A11</f>
        <v>All Employees</v>
      </c>
      <c r="B114" s="551"/>
      <c r="C114" s="536"/>
      <c r="D114" s="536"/>
      <c r="E114" s="538"/>
      <c r="F114" s="538"/>
      <c r="G114" s="553"/>
      <c r="H114" s="536"/>
      <c r="I114" s="536"/>
      <c r="J114" s="554"/>
      <c r="K114" s="285"/>
      <c r="L114" s="285"/>
    </row>
    <row r="115" spans="1:12" s="1" customFormat="1" ht="12" customHeight="1" thickBot="1">
      <c r="A115" s="448" t="s">
        <v>163</v>
      </c>
      <c r="B115" s="551">
        <v>0</v>
      </c>
      <c r="C115" s="536">
        <v>0</v>
      </c>
      <c r="D115" s="536">
        <f>C115*$B115</f>
        <v>0</v>
      </c>
      <c r="E115" s="538">
        <v>0</v>
      </c>
      <c r="F115" s="538">
        <f>E115*$B115</f>
        <v>0</v>
      </c>
      <c r="G115" s="539" t="e">
        <f>E115/$C115-1</f>
        <v>#DIV/0!</v>
      </c>
      <c r="H115" s="536">
        <f>ROUND(C115*(1+L115),2)</f>
        <v>0</v>
      </c>
      <c r="I115" s="536">
        <f>H115*$B115</f>
        <v>0</v>
      </c>
      <c r="J115" s="540" t="e">
        <f>H115/$C115-1</f>
        <v>#DIV/0!</v>
      </c>
      <c r="K115" s="285"/>
      <c r="L115" s="193">
        <v>0</v>
      </c>
    </row>
    <row r="116" spans="1:12" s="1" customFormat="1" ht="12" customHeight="1" thickBot="1">
      <c r="A116" s="448" t="s">
        <v>164</v>
      </c>
      <c r="B116" s="551">
        <v>0</v>
      </c>
      <c r="C116" s="536">
        <v>0</v>
      </c>
      <c r="D116" s="536">
        <f>C116*$B116</f>
        <v>0</v>
      </c>
      <c r="E116" s="538">
        <v>0</v>
      </c>
      <c r="F116" s="538">
        <f>E116*$B116</f>
        <v>0</v>
      </c>
      <c r="G116" s="539" t="e">
        <f>E116/$C116-1</f>
        <v>#DIV/0!</v>
      </c>
      <c r="H116" s="536">
        <f>ROUND(C116*(1+L116),2)</f>
        <v>0</v>
      </c>
      <c r="I116" s="536">
        <f>H116*$B116</f>
        <v>0</v>
      </c>
      <c r="J116" s="540" t="e">
        <f>H116/$C116-1</f>
        <v>#DIV/0!</v>
      </c>
      <c r="K116" s="285"/>
      <c r="L116" s="193">
        <v>0</v>
      </c>
    </row>
    <row r="117" spans="1:12" s="190" customFormat="1" ht="12" customHeight="1">
      <c r="A117" s="448" t="s">
        <v>542</v>
      </c>
      <c r="B117" s="541"/>
      <c r="C117" s="542"/>
      <c r="D117" s="542">
        <f>SUM(D103:D116)</f>
        <v>0</v>
      </c>
      <c r="E117" s="542"/>
      <c r="F117" s="542">
        <f>SUM(F103:F116)</f>
        <v>0</v>
      </c>
      <c r="G117" s="543">
        <f>IFERROR(F117/$D117-1,0)</f>
        <v>0</v>
      </c>
      <c r="H117" s="542"/>
      <c r="I117" s="542">
        <f>SUM(I103:I116)</f>
        <v>0</v>
      </c>
      <c r="J117" s="543">
        <f>IFERROR(I117/$D117-1,0)</f>
        <v>0</v>
      </c>
      <c r="K117" s="24"/>
      <c r="L117" s="24"/>
    </row>
    <row r="118" spans="1:12" s="1" customFormat="1" ht="12" customHeight="1">
      <c r="A118" s="448" t="s">
        <v>16</v>
      </c>
      <c r="B118" s="438"/>
      <c r="C118" s="536"/>
      <c r="D118" s="536"/>
      <c r="E118" s="538"/>
      <c r="F118" s="538"/>
      <c r="G118" s="553"/>
      <c r="H118" s="536"/>
      <c r="I118" s="536"/>
      <c r="J118" s="554"/>
      <c r="K118" s="24"/>
      <c r="L118" s="24"/>
    </row>
    <row r="119" spans="1:12" s="1" customFormat="1" ht="12" hidden="1" customHeight="1" outlineLevel="1">
      <c r="A119" s="499" t="str">
        <f>A7</f>
        <v>Class A</v>
      </c>
      <c r="B119" s="438"/>
      <c r="C119" s="536"/>
      <c r="D119" s="536"/>
      <c r="E119" s="538"/>
      <c r="F119" s="538"/>
      <c r="G119" s="553"/>
      <c r="H119" s="536"/>
      <c r="I119" s="536"/>
      <c r="J119" s="554"/>
      <c r="K119" s="24"/>
      <c r="L119" s="24"/>
    </row>
    <row r="120" spans="1:12" s="1" customFormat="1" ht="12" hidden="1" customHeight="1" outlineLevel="1" thickBot="1">
      <c r="A120" s="448" t="s">
        <v>163</v>
      </c>
      <c r="B120" s="551">
        <v>0</v>
      </c>
      <c r="C120" s="536">
        <v>0</v>
      </c>
      <c r="D120" s="536">
        <f>C120*$B120</f>
        <v>0</v>
      </c>
      <c r="E120" s="538">
        <v>0</v>
      </c>
      <c r="F120" s="538">
        <f>E120*$B120</f>
        <v>0</v>
      </c>
      <c r="G120" s="539" t="e">
        <f>E120/$C120-1</f>
        <v>#DIV/0!</v>
      </c>
      <c r="H120" s="536">
        <f>ROUND(C120*(1+L120),2)</f>
        <v>0</v>
      </c>
      <c r="I120" s="536">
        <f>H120*$B120</f>
        <v>0</v>
      </c>
      <c r="J120" s="540" t="e">
        <f>H120/$C120-1</f>
        <v>#DIV/0!</v>
      </c>
      <c r="K120" s="24"/>
      <c r="L120" s="193">
        <v>0</v>
      </c>
    </row>
    <row r="121" spans="1:12" s="1" customFormat="1" ht="12" hidden="1" customHeight="1" outlineLevel="1" thickBot="1">
      <c r="A121" s="448" t="s">
        <v>164</v>
      </c>
      <c r="B121" s="551">
        <v>0</v>
      </c>
      <c r="C121" s="536">
        <v>0</v>
      </c>
      <c r="D121" s="536">
        <f>C121*$B121</f>
        <v>0</v>
      </c>
      <c r="E121" s="538">
        <v>0</v>
      </c>
      <c r="F121" s="538">
        <f>E121*$B121</f>
        <v>0</v>
      </c>
      <c r="G121" s="539" t="e">
        <f>E121/$C121-1</f>
        <v>#DIV/0!</v>
      </c>
      <c r="H121" s="536">
        <f>ROUND(C121*(1+L121),2)</f>
        <v>0</v>
      </c>
      <c r="I121" s="536">
        <f>H121*$B121</f>
        <v>0</v>
      </c>
      <c r="J121" s="540" t="e">
        <f>H121/$C121-1</f>
        <v>#DIV/0!</v>
      </c>
      <c r="K121" s="24"/>
      <c r="L121" s="193">
        <v>0</v>
      </c>
    </row>
    <row r="122" spans="1:12" s="1" customFormat="1" ht="12" hidden="1" customHeight="1" outlineLevel="1">
      <c r="A122" s="499" t="str">
        <f>A8</f>
        <v>Class B</v>
      </c>
      <c r="B122" s="438"/>
      <c r="C122" s="536"/>
      <c r="D122" s="536"/>
      <c r="E122" s="538"/>
      <c r="F122" s="538"/>
      <c r="G122" s="553"/>
      <c r="H122" s="536"/>
      <c r="I122" s="536"/>
      <c r="J122" s="554"/>
      <c r="K122" s="24"/>
      <c r="L122" s="24"/>
    </row>
    <row r="123" spans="1:12" s="1" customFormat="1" ht="12" hidden="1" customHeight="1" outlineLevel="1" thickBot="1">
      <c r="A123" s="448" t="s">
        <v>163</v>
      </c>
      <c r="B123" s="551">
        <v>0</v>
      </c>
      <c r="C123" s="536">
        <v>0</v>
      </c>
      <c r="D123" s="536">
        <f>C123*$B123</f>
        <v>0</v>
      </c>
      <c r="E123" s="538">
        <v>0</v>
      </c>
      <c r="F123" s="538">
        <f>E123*$B123</f>
        <v>0</v>
      </c>
      <c r="G123" s="539" t="e">
        <f>E123/$C123-1</f>
        <v>#DIV/0!</v>
      </c>
      <c r="H123" s="536">
        <f>ROUND(C123*(1+L123),2)</f>
        <v>0</v>
      </c>
      <c r="I123" s="536">
        <f>H123*$B123</f>
        <v>0</v>
      </c>
      <c r="J123" s="540" t="e">
        <f>H123/$C123-1</f>
        <v>#DIV/0!</v>
      </c>
      <c r="K123" s="24"/>
      <c r="L123" s="193">
        <v>0</v>
      </c>
    </row>
    <row r="124" spans="1:12" s="1" customFormat="1" ht="12" hidden="1" customHeight="1" outlineLevel="1" thickBot="1">
      <c r="A124" s="448" t="s">
        <v>164</v>
      </c>
      <c r="B124" s="551">
        <v>0</v>
      </c>
      <c r="C124" s="536">
        <v>0</v>
      </c>
      <c r="D124" s="536">
        <f>C124*$B124</f>
        <v>0</v>
      </c>
      <c r="E124" s="538">
        <v>0</v>
      </c>
      <c r="F124" s="538">
        <f>E124*$B124</f>
        <v>0</v>
      </c>
      <c r="G124" s="539" t="e">
        <f>E124/$C124-1</f>
        <v>#DIV/0!</v>
      </c>
      <c r="H124" s="536">
        <f>ROUND(C124*(1+L124),2)</f>
        <v>0</v>
      </c>
      <c r="I124" s="536">
        <f>H124*$B124</f>
        <v>0</v>
      </c>
      <c r="J124" s="540" t="e">
        <f>H124/$C124-1</f>
        <v>#DIV/0!</v>
      </c>
      <c r="K124" s="24"/>
      <c r="L124" s="193">
        <v>0</v>
      </c>
    </row>
    <row r="125" spans="1:12" s="1" customFormat="1" ht="12" hidden="1" customHeight="1" outlineLevel="1">
      <c r="A125" s="499" t="str">
        <f>A9</f>
        <v>Class C</v>
      </c>
      <c r="B125" s="438"/>
      <c r="C125" s="536"/>
      <c r="D125" s="536"/>
      <c r="E125" s="538"/>
      <c r="F125" s="538"/>
      <c r="G125" s="553"/>
      <c r="H125" s="536"/>
      <c r="I125" s="536"/>
      <c r="J125" s="554"/>
      <c r="K125" s="285"/>
      <c r="L125" s="285"/>
    </row>
    <row r="126" spans="1:12" s="1" customFormat="1" ht="12" hidden="1" customHeight="1" outlineLevel="1" thickBot="1">
      <c r="A126" s="448" t="s">
        <v>163</v>
      </c>
      <c r="B126" s="551">
        <v>0</v>
      </c>
      <c r="C126" s="536">
        <v>0</v>
      </c>
      <c r="D126" s="536">
        <f>C126*$B126</f>
        <v>0</v>
      </c>
      <c r="E126" s="538">
        <v>0</v>
      </c>
      <c r="F126" s="538">
        <f>E126*$B126</f>
        <v>0</v>
      </c>
      <c r="G126" s="539" t="e">
        <f>E126/$C126-1</f>
        <v>#DIV/0!</v>
      </c>
      <c r="H126" s="536">
        <f>ROUND(C126*(1+L126),2)</f>
        <v>0</v>
      </c>
      <c r="I126" s="536">
        <f>H126*$B126</f>
        <v>0</v>
      </c>
      <c r="J126" s="540" t="e">
        <f>H126/$C126-1</f>
        <v>#DIV/0!</v>
      </c>
      <c r="K126" s="285"/>
      <c r="L126" s="193">
        <v>0</v>
      </c>
    </row>
    <row r="127" spans="1:12" s="1" customFormat="1" ht="12" hidden="1" customHeight="1" outlineLevel="1" thickBot="1">
      <c r="A127" s="448" t="s">
        <v>164</v>
      </c>
      <c r="B127" s="551">
        <v>0</v>
      </c>
      <c r="C127" s="536">
        <v>0</v>
      </c>
      <c r="D127" s="536">
        <f>C127*$B127</f>
        <v>0</v>
      </c>
      <c r="E127" s="538">
        <v>0</v>
      </c>
      <c r="F127" s="538">
        <f>E127*$B127</f>
        <v>0</v>
      </c>
      <c r="G127" s="539" t="e">
        <f>E127/$C127-1</f>
        <v>#DIV/0!</v>
      </c>
      <c r="H127" s="536">
        <f>ROUND(C127*(1+L127),2)</f>
        <v>0</v>
      </c>
      <c r="I127" s="536">
        <f>H127*$B127</f>
        <v>0</v>
      </c>
      <c r="J127" s="540" t="e">
        <f>H127/$C127-1</f>
        <v>#DIV/0!</v>
      </c>
      <c r="K127" s="285"/>
      <c r="L127" s="193">
        <v>0</v>
      </c>
    </row>
    <row r="128" spans="1:12" s="1" customFormat="1" ht="12" hidden="1" customHeight="1" outlineLevel="1">
      <c r="A128" s="499" t="str">
        <f>A10</f>
        <v>Class D</v>
      </c>
      <c r="B128" s="438"/>
      <c r="C128" s="536"/>
      <c r="D128" s="536"/>
      <c r="E128" s="538"/>
      <c r="F128" s="538"/>
      <c r="G128" s="553"/>
      <c r="H128" s="536"/>
      <c r="I128" s="536"/>
      <c r="J128" s="554"/>
      <c r="K128" s="285"/>
      <c r="L128" s="285"/>
    </row>
    <row r="129" spans="1:12" s="1" customFormat="1" ht="12" hidden="1" customHeight="1" outlineLevel="1" thickBot="1">
      <c r="A129" s="448" t="s">
        <v>163</v>
      </c>
      <c r="B129" s="551">
        <v>0</v>
      </c>
      <c r="C129" s="536">
        <v>0</v>
      </c>
      <c r="D129" s="536">
        <f>C129*$B129</f>
        <v>0</v>
      </c>
      <c r="E129" s="538">
        <v>0</v>
      </c>
      <c r="F129" s="538">
        <f>E129*$B129</f>
        <v>0</v>
      </c>
      <c r="G129" s="539" t="e">
        <f>E129/$C129-1</f>
        <v>#DIV/0!</v>
      </c>
      <c r="H129" s="536">
        <f>ROUND(C129*(1+L129),2)</f>
        <v>0</v>
      </c>
      <c r="I129" s="536">
        <f>H129*$B129</f>
        <v>0</v>
      </c>
      <c r="J129" s="540" t="e">
        <f>H129/$C129-1</f>
        <v>#DIV/0!</v>
      </c>
      <c r="K129" s="285"/>
      <c r="L129" s="193">
        <v>0</v>
      </c>
    </row>
    <row r="130" spans="1:12" s="1" customFormat="1" ht="12" hidden="1" customHeight="1" outlineLevel="1" thickBot="1">
      <c r="A130" s="448" t="s">
        <v>164</v>
      </c>
      <c r="B130" s="551">
        <v>0</v>
      </c>
      <c r="C130" s="536">
        <v>0</v>
      </c>
      <c r="D130" s="536">
        <f>C130*$B130</f>
        <v>0</v>
      </c>
      <c r="E130" s="538">
        <v>0</v>
      </c>
      <c r="F130" s="538">
        <f>E130*$B130</f>
        <v>0</v>
      </c>
      <c r="G130" s="539" t="e">
        <f>E130/$C130-1</f>
        <v>#DIV/0!</v>
      </c>
      <c r="H130" s="536">
        <f>ROUND(C130*(1+L130),2)</f>
        <v>0</v>
      </c>
      <c r="I130" s="536">
        <f>H130*$B130</f>
        <v>0</v>
      </c>
      <c r="J130" s="540" t="e">
        <f>H130/$C130-1</f>
        <v>#DIV/0!</v>
      </c>
      <c r="K130" s="285"/>
      <c r="L130" s="193">
        <v>0</v>
      </c>
    </row>
    <row r="131" spans="1:12" s="1" customFormat="1" ht="12" customHeight="1" collapsed="1">
      <c r="A131" s="499" t="str">
        <f>A11</f>
        <v>All Employees</v>
      </c>
      <c r="B131" s="438"/>
      <c r="C131" s="536"/>
      <c r="D131" s="536"/>
      <c r="E131" s="538"/>
      <c r="F131" s="538"/>
      <c r="G131" s="553"/>
      <c r="H131" s="536"/>
      <c r="I131" s="536"/>
      <c r="J131" s="554"/>
      <c r="K131" s="285"/>
      <c r="L131" s="285"/>
    </row>
    <row r="132" spans="1:12" s="1" customFormat="1" ht="12" customHeight="1" thickBot="1">
      <c r="A132" s="448" t="s">
        <v>163</v>
      </c>
      <c r="B132" s="551">
        <v>0</v>
      </c>
      <c r="C132" s="536">
        <v>0</v>
      </c>
      <c r="D132" s="536">
        <f>C132*$B132</f>
        <v>0</v>
      </c>
      <c r="E132" s="538">
        <v>0</v>
      </c>
      <c r="F132" s="538">
        <f>E132*$B132</f>
        <v>0</v>
      </c>
      <c r="G132" s="539" t="e">
        <f>E132/$C132-1</f>
        <v>#DIV/0!</v>
      </c>
      <c r="H132" s="536">
        <f>ROUND(C132*(1+L132),2)</f>
        <v>0</v>
      </c>
      <c r="I132" s="536">
        <f>H132*$B132</f>
        <v>0</v>
      </c>
      <c r="J132" s="540" t="e">
        <f>H132/$C132-1</f>
        <v>#DIV/0!</v>
      </c>
      <c r="K132" s="285"/>
      <c r="L132" s="193">
        <v>0</v>
      </c>
    </row>
    <row r="133" spans="1:12" s="1" customFormat="1" ht="12" customHeight="1" thickBot="1">
      <c r="A133" s="448" t="s">
        <v>164</v>
      </c>
      <c r="B133" s="551">
        <v>0</v>
      </c>
      <c r="C133" s="536">
        <v>0</v>
      </c>
      <c r="D133" s="536">
        <f>C133*$B133</f>
        <v>0</v>
      </c>
      <c r="E133" s="538">
        <v>0</v>
      </c>
      <c r="F133" s="538">
        <f>E133*$B133</f>
        <v>0</v>
      </c>
      <c r="G133" s="539" t="e">
        <f>E133/$C133-1</f>
        <v>#DIV/0!</v>
      </c>
      <c r="H133" s="536">
        <f>ROUND(C133*(1+L133),2)</f>
        <v>0</v>
      </c>
      <c r="I133" s="536">
        <f>H133*$B133</f>
        <v>0</v>
      </c>
      <c r="J133" s="540" t="e">
        <f>H133/$C133-1</f>
        <v>#DIV/0!</v>
      </c>
      <c r="K133" s="285"/>
      <c r="L133" s="193">
        <v>0</v>
      </c>
    </row>
    <row r="134" spans="1:12" s="190" customFormat="1" ht="12" customHeight="1">
      <c r="A134" s="448" t="s">
        <v>166</v>
      </c>
      <c r="B134" s="541"/>
      <c r="C134" s="542"/>
      <c r="D134" s="542">
        <f>SUM(D120:D133)</f>
        <v>0</v>
      </c>
      <c r="E134" s="542"/>
      <c r="F134" s="542">
        <f>SUM(F120:F133)</f>
        <v>0</v>
      </c>
      <c r="G134" s="543">
        <f>IFERROR(F134/$D134-1,0)</f>
        <v>0</v>
      </c>
      <c r="H134" s="542"/>
      <c r="I134" s="542">
        <f>SUM(I120:I133)</f>
        <v>0</v>
      </c>
      <c r="J134" s="543">
        <f>IFERROR(I134/$D134-1,0)</f>
        <v>0</v>
      </c>
      <c r="K134" s="24"/>
      <c r="L134" s="24"/>
    </row>
    <row r="135" spans="1:12" s="1" customFormat="1" ht="12" customHeight="1">
      <c r="A135" s="448" t="s">
        <v>681</v>
      </c>
      <c r="B135" s="438"/>
      <c r="C135" s="536"/>
      <c r="D135" s="536"/>
      <c r="E135" s="538"/>
      <c r="F135" s="538"/>
      <c r="G135" s="553"/>
      <c r="H135" s="536"/>
      <c r="I135" s="536"/>
      <c r="J135" s="554"/>
      <c r="K135" s="291"/>
      <c r="L135" s="291"/>
    </row>
    <row r="136" spans="1:12" s="1" customFormat="1" ht="12" hidden="1" customHeight="1" outlineLevel="1">
      <c r="A136" s="499" t="str">
        <f>A7</f>
        <v>Class A</v>
      </c>
      <c r="B136" s="438"/>
      <c r="C136" s="536"/>
      <c r="D136" s="536"/>
      <c r="E136" s="538"/>
      <c r="F136" s="538"/>
      <c r="G136" s="553"/>
      <c r="H136" s="536"/>
      <c r="I136" s="536"/>
      <c r="J136" s="554"/>
      <c r="K136" s="291"/>
      <c r="L136" s="291"/>
    </row>
    <row r="137" spans="1:12" s="1" customFormat="1" ht="12" hidden="1" customHeight="1" outlineLevel="1" thickBot="1">
      <c r="A137" s="448" t="s">
        <v>163</v>
      </c>
      <c r="B137" s="551">
        <v>0</v>
      </c>
      <c r="C137" s="536">
        <v>0</v>
      </c>
      <c r="D137" s="536">
        <f>C137*$B137</f>
        <v>0</v>
      </c>
      <c r="E137" s="538">
        <v>0</v>
      </c>
      <c r="F137" s="538">
        <f>E137*$B137</f>
        <v>0</v>
      </c>
      <c r="G137" s="539" t="e">
        <f>E137/$C137-1</f>
        <v>#DIV/0!</v>
      </c>
      <c r="H137" s="536">
        <f>ROUND(C137*(1+L137),2)</f>
        <v>0</v>
      </c>
      <c r="I137" s="536">
        <f>H137*$B137</f>
        <v>0</v>
      </c>
      <c r="J137" s="540" t="e">
        <f>H137/$C137-1</f>
        <v>#DIV/0!</v>
      </c>
      <c r="K137" s="291"/>
      <c r="L137" s="193">
        <v>0</v>
      </c>
    </row>
    <row r="138" spans="1:12" s="1" customFormat="1" ht="12" hidden="1" customHeight="1" outlineLevel="1" thickBot="1">
      <c r="A138" s="448" t="s">
        <v>164</v>
      </c>
      <c r="B138" s="551">
        <v>0</v>
      </c>
      <c r="C138" s="536">
        <v>0</v>
      </c>
      <c r="D138" s="536">
        <f>C138*$B138</f>
        <v>0</v>
      </c>
      <c r="E138" s="538">
        <v>0</v>
      </c>
      <c r="F138" s="538">
        <f>E138*$B138</f>
        <v>0</v>
      </c>
      <c r="G138" s="539" t="e">
        <f>E138/$C138-1</f>
        <v>#DIV/0!</v>
      </c>
      <c r="H138" s="536">
        <f>ROUND(C138*(1+L138),2)</f>
        <v>0</v>
      </c>
      <c r="I138" s="536">
        <f>H138*$B138</f>
        <v>0</v>
      </c>
      <c r="J138" s="540" t="e">
        <f>H138/$C138-1</f>
        <v>#DIV/0!</v>
      </c>
      <c r="K138" s="291"/>
      <c r="L138" s="193">
        <v>0</v>
      </c>
    </row>
    <row r="139" spans="1:12" s="1" customFormat="1" ht="12" hidden="1" customHeight="1" outlineLevel="1">
      <c r="A139" s="499" t="str">
        <f>A8</f>
        <v>Class B</v>
      </c>
      <c r="B139" s="438"/>
      <c r="C139" s="536"/>
      <c r="D139" s="536"/>
      <c r="E139" s="538"/>
      <c r="F139" s="538"/>
      <c r="G139" s="553"/>
      <c r="H139" s="536"/>
      <c r="I139" s="536"/>
      <c r="J139" s="554"/>
      <c r="K139" s="291"/>
      <c r="L139" s="291"/>
    </row>
    <row r="140" spans="1:12" s="1" customFormat="1" ht="12" hidden="1" customHeight="1" outlineLevel="1" thickBot="1">
      <c r="A140" s="448" t="s">
        <v>163</v>
      </c>
      <c r="B140" s="551">
        <v>0</v>
      </c>
      <c r="C140" s="536">
        <v>0</v>
      </c>
      <c r="D140" s="536">
        <f>C140*$B140</f>
        <v>0</v>
      </c>
      <c r="E140" s="538">
        <v>0</v>
      </c>
      <c r="F140" s="538">
        <f>E140*$B140</f>
        <v>0</v>
      </c>
      <c r="G140" s="539" t="e">
        <f>E140/$C140-1</f>
        <v>#DIV/0!</v>
      </c>
      <c r="H140" s="536">
        <f>ROUND(C140*(1+L140),2)</f>
        <v>0</v>
      </c>
      <c r="I140" s="536">
        <f>H140*$B140</f>
        <v>0</v>
      </c>
      <c r="J140" s="540" t="e">
        <f>H140/$C140-1</f>
        <v>#DIV/0!</v>
      </c>
      <c r="K140" s="291"/>
      <c r="L140" s="193">
        <v>0</v>
      </c>
    </row>
    <row r="141" spans="1:12" s="1" customFormat="1" ht="12" hidden="1" customHeight="1" outlineLevel="1" thickBot="1">
      <c r="A141" s="448" t="s">
        <v>164</v>
      </c>
      <c r="B141" s="551">
        <v>0</v>
      </c>
      <c r="C141" s="536">
        <v>0</v>
      </c>
      <c r="D141" s="536">
        <f>C141*$B141</f>
        <v>0</v>
      </c>
      <c r="E141" s="538">
        <v>0</v>
      </c>
      <c r="F141" s="538">
        <f>E141*$B141</f>
        <v>0</v>
      </c>
      <c r="G141" s="539" t="e">
        <f>E141/$C141-1</f>
        <v>#DIV/0!</v>
      </c>
      <c r="H141" s="536">
        <f>ROUND(C141*(1+L141),2)</f>
        <v>0</v>
      </c>
      <c r="I141" s="536">
        <f>H141*$B141</f>
        <v>0</v>
      </c>
      <c r="J141" s="540" t="e">
        <f>H141/$C141-1</f>
        <v>#DIV/0!</v>
      </c>
      <c r="K141" s="291"/>
      <c r="L141" s="193">
        <v>0</v>
      </c>
    </row>
    <row r="142" spans="1:12" s="1" customFormat="1" ht="12" hidden="1" customHeight="1" outlineLevel="1">
      <c r="A142" s="499" t="str">
        <f>A9</f>
        <v>Class C</v>
      </c>
      <c r="B142" s="438"/>
      <c r="C142" s="536"/>
      <c r="D142" s="536"/>
      <c r="E142" s="538"/>
      <c r="F142" s="538"/>
      <c r="G142" s="553"/>
      <c r="H142" s="536"/>
      <c r="I142" s="536"/>
      <c r="J142" s="554"/>
      <c r="K142" s="291"/>
      <c r="L142" s="291"/>
    </row>
    <row r="143" spans="1:12" s="1" customFormat="1" ht="12" hidden="1" customHeight="1" outlineLevel="1" thickBot="1">
      <c r="A143" s="448" t="s">
        <v>163</v>
      </c>
      <c r="B143" s="551">
        <v>0</v>
      </c>
      <c r="C143" s="536">
        <v>0</v>
      </c>
      <c r="D143" s="536">
        <f>C143*$B143</f>
        <v>0</v>
      </c>
      <c r="E143" s="538">
        <v>0</v>
      </c>
      <c r="F143" s="538">
        <f>E143*$B143</f>
        <v>0</v>
      </c>
      <c r="G143" s="539" t="e">
        <f>E143/$C143-1</f>
        <v>#DIV/0!</v>
      </c>
      <c r="H143" s="536">
        <f>ROUND(C143*(1+L143),2)</f>
        <v>0</v>
      </c>
      <c r="I143" s="536">
        <f>H143*$B143</f>
        <v>0</v>
      </c>
      <c r="J143" s="540" t="e">
        <f>H143/$C143-1</f>
        <v>#DIV/0!</v>
      </c>
      <c r="K143" s="291"/>
      <c r="L143" s="193">
        <v>0</v>
      </c>
    </row>
    <row r="144" spans="1:12" s="1" customFormat="1" ht="12" hidden="1" customHeight="1" outlineLevel="1" thickBot="1">
      <c r="A144" s="448" t="s">
        <v>164</v>
      </c>
      <c r="B144" s="551">
        <v>0</v>
      </c>
      <c r="C144" s="536">
        <v>0</v>
      </c>
      <c r="D144" s="536">
        <f>C144*$B144</f>
        <v>0</v>
      </c>
      <c r="E144" s="538">
        <v>0</v>
      </c>
      <c r="F144" s="538">
        <f>E144*$B144</f>
        <v>0</v>
      </c>
      <c r="G144" s="539" t="e">
        <f>E144/$C144-1</f>
        <v>#DIV/0!</v>
      </c>
      <c r="H144" s="536">
        <f>ROUND(C144*(1+L144),2)</f>
        <v>0</v>
      </c>
      <c r="I144" s="536">
        <f>H144*$B144</f>
        <v>0</v>
      </c>
      <c r="J144" s="540" t="e">
        <f>H144/$C144-1</f>
        <v>#DIV/0!</v>
      </c>
      <c r="K144" s="291"/>
      <c r="L144" s="193">
        <v>0</v>
      </c>
    </row>
    <row r="145" spans="1:12" s="1" customFormat="1" ht="12" hidden="1" customHeight="1" outlineLevel="1">
      <c r="A145" s="499" t="str">
        <f>A10</f>
        <v>Class D</v>
      </c>
      <c r="B145" s="438"/>
      <c r="C145" s="536"/>
      <c r="D145" s="536"/>
      <c r="E145" s="538"/>
      <c r="F145" s="538"/>
      <c r="G145" s="553"/>
      <c r="H145" s="536"/>
      <c r="I145" s="536"/>
      <c r="J145" s="554"/>
      <c r="K145" s="291"/>
      <c r="L145" s="291"/>
    </row>
    <row r="146" spans="1:12" s="1" customFormat="1" ht="12" hidden="1" customHeight="1" outlineLevel="1" thickBot="1">
      <c r="A146" s="448" t="s">
        <v>163</v>
      </c>
      <c r="B146" s="551">
        <v>0</v>
      </c>
      <c r="C146" s="536">
        <v>0</v>
      </c>
      <c r="D146" s="536">
        <f>C146*$B146</f>
        <v>0</v>
      </c>
      <c r="E146" s="538">
        <v>0</v>
      </c>
      <c r="F146" s="538">
        <f>E146*$B146</f>
        <v>0</v>
      </c>
      <c r="G146" s="539" t="e">
        <f>E146/$C146-1</f>
        <v>#DIV/0!</v>
      </c>
      <c r="H146" s="536">
        <f>ROUND(C146*(1+L146),2)</f>
        <v>0</v>
      </c>
      <c r="I146" s="536">
        <f>H146*$B146</f>
        <v>0</v>
      </c>
      <c r="J146" s="540" t="e">
        <f>H146/$C146-1</f>
        <v>#DIV/0!</v>
      </c>
      <c r="K146" s="291"/>
      <c r="L146" s="193">
        <v>0</v>
      </c>
    </row>
    <row r="147" spans="1:12" s="1" customFormat="1" ht="12" hidden="1" customHeight="1" outlineLevel="1" thickBot="1">
      <c r="A147" s="448" t="s">
        <v>164</v>
      </c>
      <c r="B147" s="551">
        <v>0</v>
      </c>
      <c r="C147" s="536">
        <v>0</v>
      </c>
      <c r="D147" s="536">
        <f>C147*$B147</f>
        <v>0</v>
      </c>
      <c r="E147" s="538">
        <v>0</v>
      </c>
      <c r="F147" s="538">
        <f>E147*$B147</f>
        <v>0</v>
      </c>
      <c r="G147" s="539" t="e">
        <f>E147/$C147-1</f>
        <v>#DIV/0!</v>
      </c>
      <c r="H147" s="536">
        <f>ROUND(C147*(1+L147),2)</f>
        <v>0</v>
      </c>
      <c r="I147" s="536">
        <f>H147*$B147</f>
        <v>0</v>
      </c>
      <c r="J147" s="540" t="e">
        <f>H147/$C147-1</f>
        <v>#DIV/0!</v>
      </c>
      <c r="K147" s="291"/>
      <c r="L147" s="193">
        <v>0</v>
      </c>
    </row>
    <row r="148" spans="1:12" s="1" customFormat="1" ht="12" customHeight="1" collapsed="1">
      <c r="A148" s="499" t="str">
        <f>A11</f>
        <v>All Employees</v>
      </c>
      <c r="B148" s="438"/>
      <c r="C148" s="536"/>
      <c r="D148" s="536"/>
      <c r="E148" s="538"/>
      <c r="F148" s="538"/>
      <c r="G148" s="553"/>
      <c r="H148" s="536"/>
      <c r="I148" s="536"/>
      <c r="J148" s="554"/>
      <c r="K148" s="291"/>
      <c r="L148" s="291"/>
    </row>
    <row r="149" spans="1:12" s="1" customFormat="1" ht="12" customHeight="1" thickBot="1">
      <c r="A149" s="448" t="s">
        <v>163</v>
      </c>
      <c r="B149" s="551">
        <v>0</v>
      </c>
      <c r="C149" s="536">
        <v>0</v>
      </c>
      <c r="D149" s="536">
        <f>C149*$B149</f>
        <v>0</v>
      </c>
      <c r="E149" s="538">
        <v>0</v>
      </c>
      <c r="F149" s="538">
        <f>E149*$B149</f>
        <v>0</v>
      </c>
      <c r="G149" s="539" t="e">
        <f>E149/$C149-1</f>
        <v>#DIV/0!</v>
      </c>
      <c r="H149" s="536">
        <f>ROUND(C149*(1+L149),2)</f>
        <v>0</v>
      </c>
      <c r="I149" s="536">
        <f>H149*$B149</f>
        <v>0</v>
      </c>
      <c r="J149" s="540" t="e">
        <f>H149/$C149-1</f>
        <v>#DIV/0!</v>
      </c>
      <c r="K149" s="291"/>
      <c r="L149" s="193">
        <v>0</v>
      </c>
    </row>
    <row r="150" spans="1:12" s="1" customFormat="1" ht="12" customHeight="1" thickBot="1">
      <c r="A150" s="448" t="s">
        <v>164</v>
      </c>
      <c r="B150" s="551">
        <v>0</v>
      </c>
      <c r="C150" s="536">
        <v>0</v>
      </c>
      <c r="D150" s="536">
        <f>C150*$B150</f>
        <v>0</v>
      </c>
      <c r="E150" s="538">
        <v>0</v>
      </c>
      <c r="F150" s="538">
        <f>E150*$B150</f>
        <v>0</v>
      </c>
      <c r="G150" s="539" t="e">
        <f>E150/$C150-1</f>
        <v>#DIV/0!</v>
      </c>
      <c r="H150" s="536">
        <f>ROUND(C150*(1+L150),2)</f>
        <v>0</v>
      </c>
      <c r="I150" s="536">
        <f>H150*$B150</f>
        <v>0</v>
      </c>
      <c r="J150" s="540" t="e">
        <f>H150/$C150-1</f>
        <v>#DIV/0!</v>
      </c>
      <c r="K150" s="291"/>
      <c r="L150" s="193">
        <v>0</v>
      </c>
    </row>
    <row r="151" spans="1:12" s="190" customFormat="1" ht="12" customHeight="1">
      <c r="A151" s="448" t="s">
        <v>682</v>
      </c>
      <c r="B151" s="541"/>
      <c r="C151" s="542"/>
      <c r="D151" s="542">
        <f>SUM(D137:D150)</f>
        <v>0</v>
      </c>
      <c r="E151" s="542"/>
      <c r="F151" s="542">
        <f>SUM(F137:F150)</f>
        <v>0</v>
      </c>
      <c r="G151" s="543">
        <f>IFERROR(F151/$D151-1,0)</f>
        <v>0</v>
      </c>
      <c r="H151" s="542"/>
      <c r="I151" s="542">
        <f>SUM(I137:I150)</f>
        <v>0</v>
      </c>
      <c r="J151" s="543">
        <f>IFERROR(I151/$D151-1,0)</f>
        <v>0</v>
      </c>
      <c r="K151" s="291"/>
      <c r="L151" s="291"/>
    </row>
    <row r="152" spans="1:12" s="1" customFormat="1" ht="12" customHeight="1">
      <c r="A152" s="448" t="s">
        <v>134</v>
      </c>
      <c r="B152" s="544"/>
      <c r="C152" s="545"/>
      <c r="D152" s="546"/>
      <c r="E152" s="547"/>
      <c r="F152" s="548"/>
      <c r="G152" s="549"/>
      <c r="H152" s="545"/>
      <c r="I152" s="546"/>
      <c r="J152" s="550"/>
      <c r="K152" s="285"/>
      <c r="L152" s="285"/>
    </row>
    <row r="153" spans="1:12" s="1" customFormat="1" ht="12" hidden="1" customHeight="1" outlineLevel="1">
      <c r="A153" s="499" t="str">
        <f>A7</f>
        <v>Class A</v>
      </c>
      <c r="B153" s="551">
        <v>0</v>
      </c>
      <c r="C153" s="536">
        <v>0</v>
      </c>
      <c r="D153" s="536">
        <f t="shared" ref="D153:D156" si="47">C153*$B153</f>
        <v>0</v>
      </c>
      <c r="E153" s="538">
        <v>0</v>
      </c>
      <c r="F153" s="538">
        <f t="shared" ref="F153:F156" si="48">E153*$B153</f>
        <v>0</v>
      </c>
      <c r="G153" s="539" t="e">
        <f t="shared" ref="G153:G156" si="49">E153/$C153-1</f>
        <v>#DIV/0!</v>
      </c>
      <c r="H153" s="536">
        <v>0</v>
      </c>
      <c r="I153" s="536">
        <f t="shared" ref="I153:I156" si="50">H153*$B153</f>
        <v>0</v>
      </c>
      <c r="J153" s="540" t="e">
        <f t="shared" ref="J153:J156" si="51">H153/$C153-1</f>
        <v>#DIV/0!</v>
      </c>
      <c r="K153" s="291"/>
      <c r="L153"/>
    </row>
    <row r="154" spans="1:12" s="1" customFormat="1" ht="12" hidden="1" customHeight="1" outlineLevel="1">
      <c r="A154" s="499" t="str">
        <f t="shared" ref="A154:A157" si="52">A8</f>
        <v>Class B</v>
      </c>
      <c r="B154" s="551">
        <v>0</v>
      </c>
      <c r="C154" s="536">
        <v>0</v>
      </c>
      <c r="D154" s="536">
        <f t="shared" si="47"/>
        <v>0</v>
      </c>
      <c r="E154" s="538">
        <v>0</v>
      </c>
      <c r="F154" s="538">
        <f t="shared" si="48"/>
        <v>0</v>
      </c>
      <c r="G154" s="539" t="e">
        <f t="shared" si="49"/>
        <v>#DIV/0!</v>
      </c>
      <c r="H154" s="536">
        <v>0</v>
      </c>
      <c r="I154" s="536">
        <f t="shared" si="50"/>
        <v>0</v>
      </c>
      <c r="J154" s="540" t="e">
        <f t="shared" si="51"/>
        <v>#DIV/0!</v>
      </c>
      <c r="K154" s="291"/>
      <c r="L154"/>
    </row>
    <row r="155" spans="1:12" s="1" customFormat="1" ht="12" hidden="1" customHeight="1" outlineLevel="1">
      <c r="A155" s="499" t="str">
        <f t="shared" si="52"/>
        <v>Class C</v>
      </c>
      <c r="B155" s="551">
        <v>0</v>
      </c>
      <c r="C155" s="536">
        <v>0</v>
      </c>
      <c r="D155" s="536">
        <f t="shared" si="47"/>
        <v>0</v>
      </c>
      <c r="E155" s="538">
        <v>0</v>
      </c>
      <c r="F155" s="538">
        <f t="shared" si="48"/>
        <v>0</v>
      </c>
      <c r="G155" s="539" t="e">
        <f t="shared" si="49"/>
        <v>#DIV/0!</v>
      </c>
      <c r="H155" s="536">
        <v>0</v>
      </c>
      <c r="I155" s="536">
        <f t="shared" si="50"/>
        <v>0</v>
      </c>
      <c r="J155" s="540" t="e">
        <f t="shared" si="51"/>
        <v>#DIV/0!</v>
      </c>
      <c r="K155" s="291"/>
      <c r="L155"/>
    </row>
    <row r="156" spans="1:12" s="1" customFormat="1" ht="12" hidden="1" customHeight="1" outlineLevel="1">
      <c r="A156" s="499" t="str">
        <f t="shared" si="52"/>
        <v>Class D</v>
      </c>
      <c r="B156" s="551">
        <v>0</v>
      </c>
      <c r="C156" s="536">
        <v>0</v>
      </c>
      <c r="D156" s="536">
        <f t="shared" si="47"/>
        <v>0</v>
      </c>
      <c r="E156" s="538">
        <v>0</v>
      </c>
      <c r="F156" s="538">
        <f t="shared" si="48"/>
        <v>0</v>
      </c>
      <c r="G156" s="539" t="e">
        <f t="shared" si="49"/>
        <v>#DIV/0!</v>
      </c>
      <c r="H156" s="536">
        <v>0</v>
      </c>
      <c r="I156" s="536">
        <f t="shared" si="50"/>
        <v>0</v>
      </c>
      <c r="J156" s="540" t="e">
        <f t="shared" si="51"/>
        <v>#DIV/0!</v>
      </c>
      <c r="K156" s="291"/>
      <c r="L156"/>
    </row>
    <row r="157" spans="1:12" s="1" customFormat="1" ht="12" customHeight="1" collapsed="1">
      <c r="A157" s="499" t="str">
        <f t="shared" si="52"/>
        <v>All Employees</v>
      </c>
      <c r="B157" s="551">
        <v>0</v>
      </c>
      <c r="C157" s="536">
        <v>0</v>
      </c>
      <c r="D157" s="536">
        <f>C157*$B157</f>
        <v>0</v>
      </c>
      <c r="E157" s="538">
        <v>0</v>
      </c>
      <c r="F157" s="538">
        <f>E157*$B157</f>
        <v>0</v>
      </c>
      <c r="G157" s="539" t="e">
        <f>E157/$C157-1</f>
        <v>#DIV/0!</v>
      </c>
      <c r="H157" s="536">
        <v>0</v>
      </c>
      <c r="I157" s="536">
        <f>H157*$B157</f>
        <v>0</v>
      </c>
      <c r="J157" s="540" t="e">
        <f>H157/$C157-1</f>
        <v>#DIV/0!</v>
      </c>
      <c r="K157" s="285"/>
      <c r="L157"/>
    </row>
    <row r="158" spans="1:12" s="1" customFormat="1" ht="12" customHeight="1">
      <c r="A158" s="448" t="s">
        <v>679</v>
      </c>
      <c r="B158" s="541"/>
      <c r="C158" s="542"/>
      <c r="D158" s="542">
        <f>SUM(D153:D157)</f>
        <v>0</v>
      </c>
      <c r="E158" s="542"/>
      <c r="F158" s="542">
        <f>SUM(F153:F157)</f>
        <v>0</v>
      </c>
      <c r="G158" s="543">
        <f>IFERROR(F158/$D158-1,0)</f>
        <v>0</v>
      </c>
      <c r="H158" s="542"/>
      <c r="I158" s="542">
        <f>SUM(I153:I157)</f>
        <v>0</v>
      </c>
      <c r="J158" s="543">
        <f>IFERROR(I158/$D158-1,0)</f>
        <v>0</v>
      </c>
      <c r="K158" s="285"/>
      <c r="L158" s="285"/>
    </row>
    <row r="159" spans="1:12" s="1" customFormat="1" ht="12" customHeight="1">
      <c r="A159" s="1214" t="s">
        <v>161</v>
      </c>
      <c r="B159" s="1214"/>
      <c r="C159" s="1211"/>
      <c r="D159" s="1212">
        <f>D49+D66+D83+D100+D117+D134+D151+D158</f>
        <v>0</v>
      </c>
      <c r="E159" s="1211"/>
      <c r="F159" s="1212">
        <f>F49+F66+F83+F100+F117+F134+F151+F158</f>
        <v>0</v>
      </c>
      <c r="G159" s="1210">
        <f>IFERROR(F159/$D159-1,0)</f>
        <v>0</v>
      </c>
      <c r="H159" s="1211"/>
      <c r="I159" s="1212">
        <f>I49+I66+I83+I100+I117+I134+I151+I158</f>
        <v>0</v>
      </c>
      <c r="J159" s="1210">
        <f>IFERROR(I159/$D159-1,0)</f>
        <v>0</v>
      </c>
      <c r="K159" s="24"/>
      <c r="L159" s="24"/>
    </row>
    <row r="160" spans="1:12" s="1" customFormat="1" ht="12" customHeight="1">
      <c r="A160" s="1213" t="s">
        <v>167</v>
      </c>
      <c r="B160" s="1213"/>
      <c r="C160" s="1211"/>
      <c r="D160" s="1212"/>
      <c r="E160" s="1211"/>
      <c r="F160" s="1212"/>
      <c r="G160" s="1210">
        <f t="shared" ref="G160" si="53">IFERROR(F160/$D160-1,0)</f>
        <v>0</v>
      </c>
      <c r="H160" s="1211"/>
      <c r="I160" s="1212"/>
      <c r="J160" s="1210">
        <f t="shared" ref="J160" si="54">IFERROR(I160/$D160-1,0)</f>
        <v>0</v>
      </c>
      <c r="K160" s="24"/>
      <c r="L160" s="24"/>
    </row>
    <row r="161" spans="1:12" s="1" customFormat="1" ht="12" customHeight="1">
      <c r="A161" s="1139" t="s">
        <v>168</v>
      </c>
      <c r="B161" s="1139"/>
      <c r="C161" s="555"/>
      <c r="D161" s="436">
        <f>D41+D159</f>
        <v>0</v>
      </c>
      <c r="E161" s="436"/>
      <c r="F161" s="436">
        <f>F41+F159</f>
        <v>0</v>
      </c>
      <c r="G161" s="1209">
        <f>IFERROR(F163/$D162,0)</f>
        <v>0</v>
      </c>
      <c r="H161" s="555"/>
      <c r="I161" s="436">
        <f>I41+I159</f>
        <v>0</v>
      </c>
      <c r="J161" s="1209">
        <f>IFERROR(I163/$D162,0)</f>
        <v>0</v>
      </c>
      <c r="K161" s="24"/>
      <c r="L161" s="24"/>
    </row>
    <row r="162" spans="1:12" s="1" customFormat="1" ht="12" customHeight="1">
      <c r="A162" s="1139" t="s">
        <v>169</v>
      </c>
      <c r="B162" s="1139"/>
      <c r="C162" s="555"/>
      <c r="D162" s="436">
        <f>D161*12</f>
        <v>0</v>
      </c>
      <c r="E162" s="436"/>
      <c r="F162" s="436">
        <f>F161*12</f>
        <v>0</v>
      </c>
      <c r="G162" s="1209"/>
      <c r="H162" s="555"/>
      <c r="I162" s="436">
        <f>I161*12</f>
        <v>0</v>
      </c>
      <c r="J162" s="1209"/>
      <c r="K162" s="24"/>
      <c r="L162" s="24"/>
    </row>
    <row r="163" spans="1:12" s="1" customFormat="1" ht="12" customHeight="1">
      <c r="A163" s="1139" t="s">
        <v>47</v>
      </c>
      <c r="B163" s="1139"/>
      <c r="C163" s="555"/>
      <c r="D163" s="555"/>
      <c r="E163" s="555"/>
      <c r="F163" s="436">
        <f>F162-$D162</f>
        <v>0</v>
      </c>
      <c r="G163" s="1209"/>
      <c r="H163" s="555"/>
      <c r="I163" s="436">
        <f>I162-$D162</f>
        <v>0</v>
      </c>
      <c r="J163" s="1209"/>
      <c r="K163" s="24"/>
      <c r="L163" s="24"/>
    </row>
    <row r="164" spans="1:12" s="1" customFormat="1" ht="24" customHeight="1">
      <c r="A164" s="412" t="str">
        <f>"Negotiated Renewal Rates are effective " &amp; RenewalMonth &amp; " 1, " &amp; RenewalYear &amp;"."</f>
        <v>Negotiated Renewal Rates are effective Month 1, Year.</v>
      </c>
      <c r="B164" s="533"/>
      <c r="C164" s="533"/>
      <c r="D164" s="533"/>
      <c r="E164" s="24"/>
      <c r="F164" s="24"/>
      <c r="G164" s="24"/>
      <c r="H164" s="24"/>
      <c r="I164" s="24"/>
      <c r="J164" s="24"/>
      <c r="K164" s="24"/>
      <c r="L164" s="24"/>
    </row>
    <row r="165" spans="1:12" s="1" customFormat="1" ht="12" customHeight="1">
      <c r="A165" s="430" t="s">
        <v>170</v>
      </c>
      <c r="B165" s="533"/>
      <c r="C165" s="533"/>
      <c r="D165" s="533"/>
      <c r="E165" s="24"/>
      <c r="F165" s="24"/>
      <c r="G165" s="24"/>
      <c r="H165" s="24"/>
      <c r="I165" s="24"/>
      <c r="J165" s="24"/>
      <c r="K165" s="24"/>
      <c r="L165" s="24"/>
    </row>
    <row r="166" spans="1:12" s="1" customFormat="1" ht="12" customHeight="1">
      <c r="A166" s="430" t="s">
        <v>171</v>
      </c>
      <c r="B166" s="533"/>
      <c r="C166" s="533"/>
      <c r="D166" s="533"/>
      <c r="E166" s="24"/>
      <c r="F166" s="24"/>
      <c r="G166" s="24"/>
      <c r="H166" s="24"/>
      <c r="I166" s="24"/>
      <c r="J166" s="24"/>
      <c r="K166" s="24"/>
      <c r="L166" s="24"/>
    </row>
    <row r="167" spans="1:12" s="1" customFormat="1" ht="12" customHeight="1">
      <c r="A167" s="25"/>
      <c r="B167" s="24"/>
      <c r="C167" s="24"/>
      <c r="D167" s="24"/>
      <c r="E167" s="24"/>
      <c r="F167" s="24"/>
      <c r="G167" s="24"/>
      <c r="H167" s="24"/>
      <c r="I167" s="24"/>
      <c r="J167" s="24"/>
      <c r="K167" s="24"/>
      <c r="L167" s="24"/>
    </row>
    <row r="168" spans="1:12" s="1" customFormat="1" ht="12" customHeight="1">
      <c r="A168" s="25"/>
      <c r="B168" s="24"/>
      <c r="C168" s="24"/>
      <c r="D168" s="24"/>
      <c r="E168" s="24"/>
      <c r="F168" s="24"/>
      <c r="G168" s="24"/>
      <c r="H168" s="24"/>
      <c r="I168" s="24"/>
      <c r="J168" s="24"/>
      <c r="K168" s="24"/>
      <c r="L168" s="24"/>
    </row>
    <row r="169" spans="1:12" s="1" customFormat="1" ht="12" customHeight="1">
      <c r="A169" s="25"/>
      <c r="B169" s="24"/>
      <c r="C169" s="24"/>
      <c r="D169" s="24"/>
      <c r="E169" s="24"/>
      <c r="F169" s="24"/>
      <c r="G169" s="24"/>
      <c r="H169" s="24"/>
      <c r="I169" s="24"/>
      <c r="J169" s="24"/>
      <c r="K169" s="24"/>
      <c r="L169" s="24"/>
    </row>
    <row r="170" spans="1:12" s="1" customFormat="1" ht="12" customHeight="1">
      <c r="A170" s="25"/>
      <c r="B170" s="24"/>
      <c r="C170" s="24"/>
      <c r="D170" s="24"/>
      <c r="E170" s="24"/>
      <c r="F170" s="24"/>
      <c r="G170" s="24"/>
      <c r="H170" s="24"/>
      <c r="I170" s="24"/>
      <c r="J170" s="24"/>
      <c r="K170" s="24"/>
      <c r="L170" s="24"/>
    </row>
    <row r="171" spans="1:12" s="1" customFormat="1" ht="12" customHeight="1">
      <c r="A171" s="25"/>
      <c r="B171" s="24"/>
      <c r="C171" s="24"/>
      <c r="D171" s="24"/>
      <c r="E171" s="24"/>
      <c r="F171" s="24"/>
      <c r="G171" s="24"/>
      <c r="H171" s="24"/>
      <c r="I171" s="24"/>
      <c r="J171" s="24"/>
      <c r="K171" s="24"/>
      <c r="L171" s="24"/>
    </row>
    <row r="172" spans="1:12" s="1" customFormat="1" ht="12" customHeight="1">
      <c r="A172" s="25"/>
      <c r="B172" s="24"/>
      <c r="C172" s="24"/>
      <c r="D172" s="24"/>
      <c r="E172" s="24"/>
      <c r="F172" s="24"/>
      <c r="G172" s="24"/>
      <c r="H172" s="24"/>
      <c r="I172" s="24"/>
      <c r="J172" s="24"/>
      <c r="K172" s="24"/>
      <c r="L172" s="24"/>
    </row>
    <row r="173" spans="1:12" s="1" customFormat="1" ht="12" customHeight="1">
      <c r="A173" s="25"/>
      <c r="B173" s="24"/>
      <c r="C173" s="24"/>
      <c r="D173" s="24"/>
      <c r="E173" s="24"/>
      <c r="F173" s="24"/>
      <c r="G173" s="24"/>
      <c r="H173" s="24"/>
      <c r="I173" s="24"/>
      <c r="J173" s="24"/>
      <c r="K173" s="24"/>
      <c r="L173" s="24"/>
    </row>
    <row r="174" spans="1:12" s="1" customFormat="1" ht="15" customHeight="1">
      <c r="A174" s="24"/>
      <c r="B174" s="24"/>
      <c r="C174" s="24"/>
      <c r="D174" s="24"/>
      <c r="E174" s="24"/>
      <c r="F174" s="24"/>
      <c r="G174" s="24"/>
    </row>
    <row r="175" spans="1:12" s="1" customFormat="1" ht="15" customHeight="1">
      <c r="A175" s="24"/>
      <c r="B175" s="24"/>
      <c r="C175" s="24"/>
      <c r="D175" s="24"/>
      <c r="E175" s="24"/>
      <c r="F175" s="24"/>
      <c r="G175" s="24"/>
    </row>
  </sheetData>
  <mergeCells count="29">
    <mergeCell ref="A2:G3"/>
    <mergeCell ref="A42:B42"/>
    <mergeCell ref="C4:D4"/>
    <mergeCell ref="E4:G4"/>
    <mergeCell ref="H4:J4"/>
    <mergeCell ref="A41:B41"/>
    <mergeCell ref="C41:C42"/>
    <mergeCell ref="D41:D42"/>
    <mergeCell ref="E41:E42"/>
    <mergeCell ref="F41:F42"/>
    <mergeCell ref="G41:G42"/>
    <mergeCell ref="H41:H42"/>
    <mergeCell ref="I41:I42"/>
    <mergeCell ref="J41:J42"/>
    <mergeCell ref="G159:G160"/>
    <mergeCell ref="H159:H160"/>
    <mergeCell ref="I159:I160"/>
    <mergeCell ref="J159:J160"/>
    <mergeCell ref="A160:B160"/>
    <mergeCell ref="A159:B159"/>
    <mergeCell ref="C159:C160"/>
    <mergeCell ref="D159:D160"/>
    <mergeCell ref="E159:E160"/>
    <mergeCell ref="F159:F160"/>
    <mergeCell ref="A161:B161"/>
    <mergeCell ref="G161:G163"/>
    <mergeCell ref="J161:J163"/>
    <mergeCell ref="A162:B162"/>
    <mergeCell ref="A163:B163"/>
  </mergeCells>
  <pageMargins left="0.405092592592593" right="0.47453703703703698" top="0.55118110236220497" bottom="0.94488188976377996" header="0.31496062992126" footer="0.31496062992126"/>
  <pageSetup scale="78" fitToHeight="0" orientation="portrait" r:id="rId1"/>
  <headerFooter scaleWithDoc="0">
    <oddHeader>&amp;C&amp;G</oddHeader>
    <oddFooter>&amp;C&amp;G&amp;R&amp;P</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3">
    <tabColor rgb="FF7030A0"/>
  </sheetPr>
  <dimension ref="A1:F42"/>
  <sheetViews>
    <sheetView showGridLines="0" view="pageLayout" topLeftCell="A16" zoomScaleNormal="100" workbookViewId="0">
      <selection activeCell="H10" sqref="H10"/>
    </sheetView>
  </sheetViews>
  <sheetFormatPr baseColWidth="10" defaultColWidth="9.1640625" defaultRowHeight="15"/>
  <cols>
    <col min="1" max="1" width="35.6640625" customWidth="1"/>
    <col min="2" max="4" width="20" customWidth="1"/>
    <col min="5" max="5" width="7.5" customWidth="1"/>
    <col min="6" max="6" width="12.83203125" customWidth="1"/>
  </cols>
  <sheetData>
    <row r="1" spans="1:6" ht="21.75" customHeight="1"/>
    <row r="2" spans="1:6" s="1" customFormat="1" ht="15" customHeight="1">
      <c r="A2" s="1004" t="s">
        <v>24</v>
      </c>
      <c r="B2" s="1149"/>
      <c r="C2" s="1149"/>
      <c r="D2" s="1149"/>
      <c r="E2" s="3"/>
      <c r="F2" s="3"/>
    </row>
    <row r="3" spans="1:6" s="1" customFormat="1" ht="15" customHeight="1">
      <c r="A3" s="1004"/>
      <c r="B3" s="1149"/>
      <c r="C3" s="1149"/>
      <c r="D3" s="1149"/>
      <c r="E3" s="3"/>
      <c r="F3" s="3"/>
    </row>
    <row r="4" spans="1:6" s="1" customFormat="1" ht="9" customHeight="1"/>
    <row r="5" spans="1:6" s="1" customFormat="1" ht="15" customHeight="1">
      <c r="A5" s="557" t="s">
        <v>174</v>
      </c>
      <c r="B5" s="456" t="s">
        <v>31</v>
      </c>
      <c r="C5" s="456" t="s">
        <v>32</v>
      </c>
      <c r="D5" s="405" t="s">
        <v>33</v>
      </c>
      <c r="E5" s="20"/>
    </row>
    <row r="6" spans="1:6" s="1" customFormat="1" ht="15" customHeight="1">
      <c r="A6" s="737" t="s">
        <v>176</v>
      </c>
      <c r="B6" s="562">
        <v>0</v>
      </c>
      <c r="C6" s="562">
        <v>0</v>
      </c>
      <c r="D6" s="562">
        <v>0</v>
      </c>
      <c r="E6" s="20"/>
    </row>
    <row r="7" spans="1:6" s="1" customFormat="1" ht="15" customHeight="1">
      <c r="A7" s="737" t="s">
        <v>177</v>
      </c>
      <c r="B7" s="562"/>
      <c r="C7" s="562"/>
      <c r="D7" s="562"/>
      <c r="E7" s="20"/>
    </row>
    <row r="8" spans="1:6" s="1" customFormat="1" ht="15" customHeight="1">
      <c r="A8" s="737" t="s">
        <v>40</v>
      </c>
      <c r="B8" s="562">
        <v>0</v>
      </c>
      <c r="C8" s="562">
        <v>0</v>
      </c>
      <c r="D8" s="562">
        <v>0</v>
      </c>
      <c r="E8" s="370"/>
    </row>
    <row r="9" spans="1:6" s="1" customFormat="1" ht="15" customHeight="1">
      <c r="A9" s="737" t="s">
        <v>140</v>
      </c>
      <c r="B9" s="562">
        <v>0</v>
      </c>
      <c r="C9" s="562">
        <v>0</v>
      </c>
      <c r="D9" s="562">
        <v>0</v>
      </c>
      <c r="E9" s="20"/>
    </row>
    <row r="10" spans="1:6" s="1" customFormat="1" ht="15" customHeight="1">
      <c r="A10" s="737" t="s">
        <v>44</v>
      </c>
      <c r="B10" s="562">
        <v>0</v>
      </c>
      <c r="C10" s="562">
        <v>0</v>
      </c>
      <c r="D10" s="562">
        <v>0</v>
      </c>
      <c r="E10" s="20"/>
    </row>
    <row r="11" spans="1:6" s="1" customFormat="1" ht="15" customHeight="1">
      <c r="A11" s="737" t="s">
        <v>178</v>
      </c>
      <c r="B11" s="562">
        <v>0</v>
      </c>
      <c r="C11" s="562">
        <v>0</v>
      </c>
      <c r="D11" s="562">
        <v>0</v>
      </c>
      <c r="E11" s="20"/>
    </row>
    <row r="12" spans="1:6" s="1" customFormat="1" ht="15" customHeight="1">
      <c r="A12" s="737" t="s">
        <v>179</v>
      </c>
      <c r="B12" s="562">
        <v>0</v>
      </c>
      <c r="C12" s="562">
        <v>0</v>
      </c>
      <c r="D12" s="562">
        <v>0</v>
      </c>
      <c r="E12" s="20"/>
    </row>
    <row r="13" spans="1:6" s="1" customFormat="1" ht="15" customHeight="1">
      <c r="A13" s="737" t="s">
        <v>180</v>
      </c>
      <c r="B13" s="562">
        <v>0</v>
      </c>
      <c r="C13" s="562">
        <v>0</v>
      </c>
      <c r="D13" s="562">
        <v>0</v>
      </c>
      <c r="E13" s="20"/>
    </row>
    <row r="14" spans="1:6" s="1" customFormat="1" ht="15" customHeight="1">
      <c r="A14" s="737" t="s">
        <v>181</v>
      </c>
      <c r="B14" s="562">
        <v>0</v>
      </c>
      <c r="C14" s="562">
        <v>0</v>
      </c>
      <c r="D14" s="562">
        <v>0</v>
      </c>
      <c r="E14" s="20"/>
    </row>
    <row r="15" spans="1:6" s="1" customFormat="1" ht="15" customHeight="1">
      <c r="A15" s="737" t="s">
        <v>182</v>
      </c>
      <c r="B15" s="562">
        <v>0</v>
      </c>
      <c r="C15" s="562">
        <v>0</v>
      </c>
      <c r="D15" s="562">
        <v>0</v>
      </c>
      <c r="E15" s="20"/>
    </row>
    <row r="16" spans="1:6" s="1" customFormat="1" ht="13">
      <c r="A16" s="737" t="s">
        <v>183</v>
      </c>
      <c r="B16" s="736" t="str">
        <f>'Experience Summary'!D41</f>
        <v>$10,000 LAP;  1st $ OOC</v>
      </c>
      <c r="C16" s="736" t="str">
        <f>B16</f>
        <v>$10,000 LAP;  1st $ OOC</v>
      </c>
      <c r="D16" s="736" t="str">
        <f>C16</f>
        <v>$10,000 LAP;  1st $ OOC</v>
      </c>
      <c r="E16" s="20"/>
    </row>
    <row r="17" spans="1:5" s="1" customFormat="1" ht="15" customHeight="1">
      <c r="A17" s="505" t="s">
        <v>185</v>
      </c>
      <c r="B17" s="558"/>
      <c r="C17" s="558"/>
      <c r="D17" s="559"/>
      <c r="E17" s="20"/>
    </row>
    <row r="18" spans="1:5" s="1" customFormat="1" ht="15" customHeight="1">
      <c r="A18" s="737" t="s">
        <v>40</v>
      </c>
      <c r="B18" s="465">
        <f>STDCLAIMCURR</f>
        <v>0</v>
      </c>
      <c r="C18" s="465">
        <f>B18*(1+ASO_STD_Trend)</f>
        <v>0</v>
      </c>
      <c r="D18" s="465">
        <f>C18</f>
        <v>0</v>
      </c>
      <c r="E18" s="370"/>
    </row>
    <row r="19" spans="1:5" s="1" customFormat="1" ht="15" customHeight="1">
      <c r="A19" s="737" t="s">
        <v>549</v>
      </c>
      <c r="B19" s="465">
        <f>'EHC Breakdown - w S&amp;S'!B14-B20</f>
        <v>0</v>
      </c>
      <c r="C19" s="465">
        <f>B19*(1+ASO_EHC_Trend)</f>
        <v>0</v>
      </c>
      <c r="D19" s="465">
        <f>C19</f>
        <v>0</v>
      </c>
      <c r="E19" s="20"/>
    </row>
    <row r="20" spans="1:5" s="1" customFormat="1" ht="15" customHeight="1">
      <c r="A20" s="737" t="s">
        <v>186</v>
      </c>
      <c r="B20" s="465">
        <f>'Stop Loss '!E11</f>
        <v>0</v>
      </c>
      <c r="C20" s="465">
        <f>B20</f>
        <v>0</v>
      </c>
      <c r="D20" s="465">
        <f>B20</f>
        <v>0</v>
      </c>
      <c r="E20" s="20"/>
    </row>
    <row r="21" spans="1:5" s="1" customFormat="1" ht="15" customHeight="1">
      <c r="A21" s="737" t="s">
        <v>44</v>
      </c>
      <c r="B21" s="465">
        <f>'Dental Care History'!B13</f>
        <v>0</v>
      </c>
      <c r="C21" s="465">
        <f>B21*(1+ASO_Dental_Trend)</f>
        <v>0</v>
      </c>
      <c r="D21" s="465">
        <f>C21</f>
        <v>0</v>
      </c>
      <c r="E21" s="20"/>
    </row>
    <row r="22" spans="1:5" s="1" customFormat="1" ht="15" customHeight="1">
      <c r="A22" s="451" t="s">
        <v>187</v>
      </c>
      <c r="B22" s="436">
        <f>B18+B19+B21</f>
        <v>0</v>
      </c>
      <c r="C22" s="783">
        <f>C18+C19+C21</f>
        <v>0</v>
      </c>
      <c r="D22" s="783">
        <f>D18+D19+D21</f>
        <v>0</v>
      </c>
      <c r="E22" s="20"/>
    </row>
    <row r="23" spans="1:5" s="1" customFormat="1" ht="15" customHeight="1">
      <c r="A23" s="505" t="s">
        <v>48</v>
      </c>
      <c r="B23" s="561"/>
      <c r="C23" s="560"/>
      <c r="D23" s="559"/>
      <c r="E23" s="20"/>
    </row>
    <row r="24" spans="1:5" s="1" customFormat="1" ht="15" customHeight="1">
      <c r="A24" s="737" t="s">
        <v>188</v>
      </c>
      <c r="B24" s="465">
        <f>B22*B6</f>
        <v>0</v>
      </c>
      <c r="C24" s="465">
        <f>C22*C6</f>
        <v>0</v>
      </c>
      <c r="D24" s="465">
        <f>D22*D6</f>
        <v>0</v>
      </c>
      <c r="E24" s="20"/>
    </row>
    <row r="25" spans="1:5" s="1" customFormat="1" ht="15" customHeight="1">
      <c r="A25" s="737" t="s">
        <v>189</v>
      </c>
      <c r="B25" s="465"/>
      <c r="C25" s="465"/>
      <c r="D25" s="465"/>
      <c r="E25" s="20"/>
    </row>
    <row r="26" spans="1:5" s="1" customFormat="1" ht="15" customHeight="1">
      <c r="A26" s="737" t="s">
        <v>40</v>
      </c>
      <c r="B26" s="465">
        <f>B8*B18</f>
        <v>0</v>
      </c>
      <c r="C26" s="465">
        <f>C8*C18</f>
        <v>0</v>
      </c>
      <c r="D26" s="465">
        <f>D8*D18</f>
        <v>0</v>
      </c>
      <c r="E26" s="370"/>
    </row>
    <row r="27" spans="1:5" s="1" customFormat="1" ht="15" customHeight="1">
      <c r="A27" s="737" t="s">
        <v>140</v>
      </c>
      <c r="B27" s="465">
        <f>B19*B9</f>
        <v>0</v>
      </c>
      <c r="C27" s="465">
        <f>C19*C9</f>
        <v>0</v>
      </c>
      <c r="D27" s="465">
        <f>D19*D9</f>
        <v>0</v>
      </c>
      <c r="E27" s="20"/>
    </row>
    <row r="28" spans="1:5" s="1" customFormat="1" ht="15" customHeight="1">
      <c r="A28" s="737" t="s">
        <v>44</v>
      </c>
      <c r="B28" s="465">
        <f>B10*B21</f>
        <v>0</v>
      </c>
      <c r="C28" s="465">
        <f>C10*C21</f>
        <v>0</v>
      </c>
      <c r="D28" s="465">
        <f>D10*D21</f>
        <v>0</v>
      </c>
      <c r="E28" s="20"/>
    </row>
    <row r="29" spans="1:5" s="1" customFormat="1" ht="15" customHeight="1">
      <c r="A29" s="737" t="s">
        <v>178</v>
      </c>
      <c r="B29" s="465">
        <f>B22*B11</f>
        <v>0</v>
      </c>
      <c r="C29" s="465">
        <f>C22*C11</f>
        <v>0</v>
      </c>
      <c r="D29" s="465">
        <f>D22*D11</f>
        <v>0</v>
      </c>
      <c r="E29" s="20"/>
    </row>
    <row r="30" spans="1:5">
      <c r="A30" s="737" t="s">
        <v>179</v>
      </c>
      <c r="B30" s="465">
        <f>B12*B22</f>
        <v>0</v>
      </c>
      <c r="C30" s="465">
        <f>C12*C22</f>
        <v>0</v>
      </c>
      <c r="D30" s="465">
        <f>D12*D22</f>
        <v>0</v>
      </c>
    </row>
    <row r="31" spans="1:5">
      <c r="A31" s="737" t="s">
        <v>190</v>
      </c>
      <c r="B31" s="465">
        <f>B19*(B14+B15)</f>
        <v>0</v>
      </c>
      <c r="C31" s="465">
        <f t="shared" ref="C31:D31" si="0">C19*(C14+C15)</f>
        <v>0</v>
      </c>
      <c r="D31" s="465">
        <f t="shared" si="0"/>
        <v>0</v>
      </c>
    </row>
    <row r="32" spans="1:5">
      <c r="A32" s="737" t="s">
        <v>180</v>
      </c>
      <c r="B32" s="465">
        <f>B13*(B22+B24+B26+B27+B28+B29+B30)</f>
        <v>0</v>
      </c>
      <c r="C32" s="465">
        <f>C13*(C22+C24+C26+C27+C28+C29+C30)</f>
        <v>0</v>
      </c>
      <c r="D32" s="465">
        <f>D13*(D22+D24+D26+D27+D28+D29+D30)</f>
        <v>0</v>
      </c>
    </row>
    <row r="33" spans="1:4">
      <c r="A33" s="451" t="s">
        <v>191</v>
      </c>
      <c r="B33" s="436">
        <f>SUM(B24:B32)</f>
        <v>0</v>
      </c>
      <c r="C33" s="436">
        <f>SUM(C24:C32)</f>
        <v>0</v>
      </c>
      <c r="D33" s="436">
        <f>SUM(D24:D32)</f>
        <v>0</v>
      </c>
    </row>
    <row r="34" spans="1:4">
      <c r="A34" s="451" t="s">
        <v>192</v>
      </c>
      <c r="B34" s="436">
        <f>B22+B33</f>
        <v>0</v>
      </c>
      <c r="C34" s="436">
        <f>C22+C33</f>
        <v>0</v>
      </c>
      <c r="D34" s="436">
        <f>D22+D33</f>
        <v>0</v>
      </c>
    </row>
    <row r="35" spans="1:4" s="364" customFormat="1" hidden="1">
      <c r="A35" s="801" t="s">
        <v>837</v>
      </c>
      <c r="B35" s="806">
        <f>('Renewal Rates '!D66+'Renewal Rates '!D83+'Renewal Rates '!D100+'Renewal Rates '!D117+'Renewal Rates '!D134)*12-B34</f>
        <v>0</v>
      </c>
      <c r="C35" s="806">
        <f>('Renewal Rates '!F66+'Renewal Rates '!F83+'Renewal Rates '!F100+'Renewal Rates '!F117+'Renewal Rates '!F134)*12-'ASO Projections '!C34</f>
        <v>0</v>
      </c>
      <c r="D35" s="806">
        <f>('Renewal Rates '!I66+'Renewal Rates '!I83+'Renewal Rates '!I100+'Renewal Rates '!I117+'Renewal Rates '!I134)*12-'Retention Projections'!D40</f>
        <v>0</v>
      </c>
    </row>
    <row r="37" spans="1:4">
      <c r="A37" s="430" t="str">
        <f>"*Claims based on " &amp; EP_Current &amp;"."</f>
        <v>*Claims based on MMM DD YYY - MMM DD YYYY.</v>
      </c>
    </row>
    <row r="38" spans="1:4">
      <c r="A38" s="314" t="str">
        <f>"Renewal claims are based on "&amp;ASO_STD_Trend*100&amp;"% trend for STD, "&amp;ASO_EHC_Trend*100&amp; "% trend for EHC and "&amp;ASO_Dental_Trend*100&amp;"% trend for Dental Care"</f>
        <v>Renewal claims are based on 4% trend for STD, 10% trend for EHC and 7% trend for Dental Care</v>
      </c>
    </row>
    <row r="39" spans="1:4">
      <c r="A39" s="13" t="s">
        <v>750</v>
      </c>
    </row>
    <row r="40" spans="1:4">
      <c r="A40" s="430" t="s">
        <v>344</v>
      </c>
    </row>
    <row r="41" spans="1:4">
      <c r="A41" s="430" t="s">
        <v>751</v>
      </c>
    </row>
    <row r="42" spans="1:4" ht="29.25" customHeight="1">
      <c r="A42" s="1014" t="s">
        <v>550</v>
      </c>
      <c r="B42" s="1014"/>
      <c r="C42" s="1014"/>
      <c r="D42" s="1014"/>
    </row>
  </sheetData>
  <mergeCells count="2">
    <mergeCell ref="A2:D3"/>
    <mergeCell ref="A42:D42"/>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34">
    <tabColor rgb="FF7030A0"/>
  </sheetPr>
  <dimension ref="A1:F46"/>
  <sheetViews>
    <sheetView showGridLines="0" view="pageLayout" topLeftCell="A19" zoomScaleNormal="100" workbookViewId="0">
      <selection activeCell="H10" sqref="H10"/>
    </sheetView>
  </sheetViews>
  <sheetFormatPr baseColWidth="10" defaultColWidth="9.1640625" defaultRowHeight="15"/>
  <cols>
    <col min="1" max="1" width="23.5" customWidth="1"/>
    <col min="2" max="4" width="24.5" customWidth="1"/>
    <col min="5" max="5" width="12.83203125" customWidth="1"/>
    <col min="6" max="6" width="7.5" customWidth="1"/>
  </cols>
  <sheetData>
    <row r="1" spans="1:6" ht="22.5" customHeight="1"/>
    <row r="2" spans="1:6" s="1" customFormat="1" ht="15" customHeight="1">
      <c r="A2" s="1004" t="s">
        <v>25</v>
      </c>
      <c r="B2" s="1149"/>
      <c r="C2" s="1149"/>
      <c r="D2" s="1149"/>
      <c r="E2" s="3"/>
      <c r="F2" s="3"/>
    </row>
    <row r="3" spans="1:6" s="1" customFormat="1" ht="15" customHeight="1">
      <c r="A3" s="1004"/>
      <c r="B3" s="1149"/>
      <c r="C3" s="1149"/>
      <c r="D3" s="1149"/>
      <c r="E3" s="3"/>
      <c r="F3" s="3"/>
    </row>
    <row r="4" spans="1:6" s="1" customFormat="1" ht="15" customHeight="1">
      <c r="A4" s="716" t="s">
        <v>193</v>
      </c>
      <c r="B4" s="712" t="s">
        <v>31</v>
      </c>
      <c r="C4" s="712" t="s">
        <v>32</v>
      </c>
      <c r="D4" s="714" t="s">
        <v>33</v>
      </c>
      <c r="E4" s="20"/>
    </row>
    <row r="5" spans="1:6" s="1" customFormat="1" ht="15" customHeight="1">
      <c r="A5" s="531" t="s">
        <v>176</v>
      </c>
      <c r="B5" s="530">
        <v>0</v>
      </c>
      <c r="C5" s="530">
        <v>0</v>
      </c>
      <c r="D5" s="530">
        <v>0</v>
      </c>
      <c r="E5" s="20"/>
    </row>
    <row r="6" spans="1:6" s="1" customFormat="1" ht="15" customHeight="1">
      <c r="A6" s="531" t="s">
        <v>177</v>
      </c>
      <c r="B6" s="530"/>
      <c r="C6" s="530"/>
      <c r="D6" s="530"/>
      <c r="E6" s="20"/>
    </row>
    <row r="7" spans="1:6" s="1" customFormat="1" ht="15" customHeight="1">
      <c r="A7" s="531" t="s">
        <v>140</v>
      </c>
      <c r="B7" s="530">
        <v>0</v>
      </c>
      <c r="C7" s="530">
        <v>0</v>
      </c>
      <c r="D7" s="530">
        <v>0</v>
      </c>
      <c r="E7" s="20"/>
    </row>
    <row r="8" spans="1:6" s="1" customFormat="1" ht="15" customHeight="1">
      <c r="A8" s="531" t="s">
        <v>44</v>
      </c>
      <c r="B8" s="530">
        <v>0</v>
      </c>
      <c r="C8" s="530">
        <v>0</v>
      </c>
      <c r="D8" s="530">
        <v>0</v>
      </c>
      <c r="E8" s="20"/>
    </row>
    <row r="9" spans="1:6" s="1" customFormat="1" ht="15" customHeight="1">
      <c r="A9" s="531" t="s">
        <v>178</v>
      </c>
      <c r="B9" s="530">
        <v>0</v>
      </c>
      <c r="C9" s="530">
        <v>0</v>
      </c>
      <c r="D9" s="530">
        <v>0</v>
      </c>
      <c r="E9" s="20"/>
    </row>
    <row r="10" spans="1:6" s="1" customFormat="1" ht="15" customHeight="1">
      <c r="A10" s="531" t="s">
        <v>194</v>
      </c>
      <c r="B10" s="530">
        <v>0</v>
      </c>
      <c r="C10" s="530">
        <v>0</v>
      </c>
      <c r="D10" s="530">
        <v>0</v>
      </c>
      <c r="E10" s="20"/>
    </row>
    <row r="11" spans="1:6" s="1" customFormat="1" ht="15" customHeight="1">
      <c r="A11" s="531" t="s">
        <v>179</v>
      </c>
      <c r="B11" s="530">
        <v>0</v>
      </c>
      <c r="C11" s="530">
        <v>0</v>
      </c>
      <c r="D11" s="530">
        <v>0</v>
      </c>
      <c r="E11" s="20"/>
    </row>
    <row r="12" spans="1:6" s="1" customFormat="1" ht="15" customHeight="1">
      <c r="A12" s="531" t="s">
        <v>180</v>
      </c>
      <c r="B12" s="530">
        <v>0</v>
      </c>
      <c r="C12" s="530">
        <v>0</v>
      </c>
      <c r="D12" s="530">
        <v>0</v>
      </c>
      <c r="E12" s="20"/>
    </row>
    <row r="13" spans="1:6" s="1" customFormat="1" ht="15" customHeight="1">
      <c r="A13" s="531" t="s">
        <v>181</v>
      </c>
      <c r="B13" s="530">
        <v>0</v>
      </c>
      <c r="C13" s="530">
        <v>0</v>
      </c>
      <c r="D13" s="530">
        <v>0</v>
      </c>
      <c r="E13" s="20"/>
    </row>
    <row r="14" spans="1:6" s="1" customFormat="1" ht="15" customHeight="1">
      <c r="A14" s="531" t="s">
        <v>182</v>
      </c>
      <c r="B14" s="530">
        <v>0</v>
      </c>
      <c r="C14" s="530">
        <v>0</v>
      </c>
      <c r="D14" s="530">
        <v>0</v>
      </c>
      <c r="E14" s="20"/>
    </row>
    <row r="15" spans="1:6" s="1" customFormat="1" ht="15" customHeight="1">
      <c r="A15" s="531" t="s">
        <v>183</v>
      </c>
      <c r="B15" s="438" t="s">
        <v>184</v>
      </c>
      <c r="C15" s="438" t="s">
        <v>184</v>
      </c>
      <c r="D15" s="438" t="s">
        <v>184</v>
      </c>
      <c r="E15" s="20"/>
    </row>
    <row r="16" spans="1:6" s="1" customFormat="1" ht="15" customHeight="1">
      <c r="A16" s="716" t="s">
        <v>195</v>
      </c>
      <c r="B16" s="712" t="s">
        <v>31</v>
      </c>
      <c r="C16" s="712" t="s">
        <v>31</v>
      </c>
      <c r="D16" s="714" t="s">
        <v>175</v>
      </c>
      <c r="E16" s="20"/>
    </row>
    <row r="17" spans="1:5" s="1" customFormat="1" ht="15" customHeight="1">
      <c r="A17" s="531" t="s">
        <v>140</v>
      </c>
      <c r="B17" s="435">
        <f>'Renewal Rates '!D66*12</f>
        <v>0</v>
      </c>
      <c r="C17" s="435">
        <f>'Renewal Rates '!F66*12</f>
        <v>0</v>
      </c>
      <c r="D17" s="435">
        <f>'Renewal Rates '!I66*12</f>
        <v>0</v>
      </c>
      <c r="E17" s="20"/>
    </row>
    <row r="18" spans="1:5" s="1" customFormat="1" ht="15" customHeight="1">
      <c r="A18" s="531" t="s">
        <v>186</v>
      </c>
      <c r="B18" s="435">
        <v>0</v>
      </c>
      <c r="C18" s="435">
        <v>0</v>
      </c>
      <c r="D18" s="435">
        <v>0</v>
      </c>
      <c r="E18" s="20"/>
    </row>
    <row r="19" spans="1:5" s="1" customFormat="1" ht="15" customHeight="1">
      <c r="A19" s="531" t="s">
        <v>44</v>
      </c>
      <c r="B19" s="435">
        <f>'Renewal Rates '!D134*12</f>
        <v>0</v>
      </c>
      <c r="C19" s="435">
        <f>'Renewal Rates '!F134*12</f>
        <v>0</v>
      </c>
      <c r="D19" s="435">
        <f>'Renewal Rates '!I134*12</f>
        <v>0</v>
      </c>
      <c r="E19" s="20"/>
    </row>
    <row r="20" spans="1:5" s="1" customFormat="1" ht="15" customHeight="1">
      <c r="A20" s="531" t="s">
        <v>196</v>
      </c>
      <c r="B20" s="435">
        <f>B17-B18+B19</f>
        <v>0</v>
      </c>
      <c r="C20" s="435">
        <f>C17-C18+C19</f>
        <v>0</v>
      </c>
      <c r="D20" s="435">
        <f>D17-D18+D19</f>
        <v>0</v>
      </c>
      <c r="E20" s="20"/>
    </row>
    <row r="21" spans="1:5" s="1" customFormat="1" ht="15" customHeight="1">
      <c r="A21" s="716" t="s">
        <v>185</v>
      </c>
      <c r="B21" s="712" t="s">
        <v>31</v>
      </c>
      <c r="C21" s="712" t="s">
        <v>31</v>
      </c>
      <c r="D21" s="714" t="s">
        <v>175</v>
      </c>
      <c r="E21" s="20"/>
    </row>
    <row r="22" spans="1:5" s="1" customFormat="1" ht="15" customHeight="1">
      <c r="A22" s="531" t="s">
        <v>140</v>
      </c>
      <c r="B22" s="435">
        <f>'ASO Projections '!B19</f>
        <v>0</v>
      </c>
      <c r="C22" s="435"/>
      <c r="D22" s="435">
        <f>C22</f>
        <v>0</v>
      </c>
      <c r="E22" s="20"/>
    </row>
    <row r="23" spans="1:5" s="1" customFormat="1" ht="15" customHeight="1">
      <c r="A23" s="531" t="s">
        <v>186</v>
      </c>
      <c r="B23" s="435">
        <f>'ASO Projections '!B20</f>
        <v>0</v>
      </c>
      <c r="C23" s="435">
        <f>B23</f>
        <v>0</v>
      </c>
      <c r="D23" s="435">
        <v>0</v>
      </c>
      <c r="E23" s="20"/>
    </row>
    <row r="24" spans="1:5" s="1" customFormat="1" ht="15" customHeight="1">
      <c r="A24" s="531" t="s">
        <v>44</v>
      </c>
      <c r="B24" s="435">
        <f>'ASO Projections '!B21</f>
        <v>0</v>
      </c>
      <c r="C24" s="435"/>
      <c r="D24" s="435">
        <f>C24</f>
        <v>0</v>
      </c>
      <c r="E24" s="20"/>
    </row>
    <row r="25" spans="1:5" s="1" customFormat="1" ht="15" customHeight="1">
      <c r="A25" s="531" t="s">
        <v>187</v>
      </c>
      <c r="B25" s="435">
        <f>SUM(B22:B24)</f>
        <v>0</v>
      </c>
      <c r="C25" s="435">
        <f>SUM(C22:C24)</f>
        <v>0</v>
      </c>
      <c r="D25" s="435">
        <f>SUM(D22:D24)</f>
        <v>0</v>
      </c>
      <c r="E25" s="20"/>
    </row>
    <row r="26" spans="1:5">
      <c r="A26" s="531" t="s">
        <v>197</v>
      </c>
      <c r="B26" s="435">
        <v>0</v>
      </c>
      <c r="C26" s="435">
        <v>0</v>
      </c>
      <c r="D26" s="435">
        <v>0</v>
      </c>
    </row>
    <row r="27" spans="1:5">
      <c r="A27" s="716" t="s">
        <v>48</v>
      </c>
      <c r="B27" s="712" t="s">
        <v>31</v>
      </c>
      <c r="C27" s="712" t="s">
        <v>31</v>
      </c>
      <c r="D27" s="714" t="s">
        <v>175</v>
      </c>
    </row>
    <row r="28" spans="1:5">
      <c r="A28" s="479" t="s">
        <v>188</v>
      </c>
      <c r="B28" s="465">
        <f>B20*B5</f>
        <v>0</v>
      </c>
      <c r="C28" s="465">
        <f>C20*C5</f>
        <v>0</v>
      </c>
      <c r="D28" s="465">
        <f>D25*D5</f>
        <v>0</v>
      </c>
    </row>
    <row r="29" spans="1:5">
      <c r="A29" s="479" t="s">
        <v>189</v>
      </c>
      <c r="B29" s="465"/>
      <c r="C29" s="465"/>
      <c r="D29" s="465"/>
    </row>
    <row r="30" spans="1:5">
      <c r="A30" s="479" t="s">
        <v>140</v>
      </c>
      <c r="B30" s="465">
        <f>(B17-B18)*B7</f>
        <v>0</v>
      </c>
      <c r="C30" s="465">
        <f>(C17-C18)*C7</f>
        <v>0</v>
      </c>
      <c r="D30" s="465">
        <f>(D22-D23)*D7</f>
        <v>0</v>
      </c>
    </row>
    <row r="31" spans="1:5">
      <c r="A31" s="479" t="s">
        <v>44</v>
      </c>
      <c r="B31" s="465">
        <f>B8*B19</f>
        <v>0</v>
      </c>
      <c r="C31" s="465">
        <f>C8*C19</f>
        <v>0</v>
      </c>
      <c r="D31" s="465">
        <f>D8*D24</f>
        <v>0</v>
      </c>
    </row>
    <row r="32" spans="1:5">
      <c r="A32" s="479" t="s">
        <v>178</v>
      </c>
      <c r="B32" s="465">
        <f>B20*B9</f>
        <v>0</v>
      </c>
      <c r="C32" s="465">
        <f>C20*C9</f>
        <v>0</v>
      </c>
      <c r="D32" s="465">
        <f>D25*D9</f>
        <v>0</v>
      </c>
    </row>
    <row r="33" spans="1:4">
      <c r="A33" s="479" t="s">
        <v>194</v>
      </c>
      <c r="B33" s="465">
        <f>B20*B10</f>
        <v>0</v>
      </c>
      <c r="C33" s="465">
        <f>C20*C10</f>
        <v>0</v>
      </c>
      <c r="D33" s="465">
        <f>D25*D10</f>
        <v>0</v>
      </c>
    </row>
    <row r="34" spans="1:4">
      <c r="A34" s="479" t="s">
        <v>179</v>
      </c>
      <c r="B34" s="465">
        <f>B11*B20</f>
        <v>0</v>
      </c>
      <c r="C34" s="465">
        <f>C11*C20</f>
        <v>0</v>
      </c>
      <c r="D34" s="465">
        <f>D11*D25</f>
        <v>0</v>
      </c>
    </row>
    <row r="35" spans="1:4">
      <c r="A35" s="479" t="s">
        <v>190</v>
      </c>
      <c r="B35" s="465">
        <f>(B17-B18)*B13+(B17-B18)*B14</f>
        <v>0</v>
      </c>
      <c r="C35" s="465">
        <f>(C17-C18)*C13+(C17-C18)*C14</f>
        <v>0</v>
      </c>
      <c r="D35" s="465">
        <f>(D22-D23)*D13+(D22-D23)*D14</f>
        <v>0</v>
      </c>
    </row>
    <row r="36" spans="1:4">
      <c r="A36" s="479" t="s">
        <v>180</v>
      </c>
      <c r="B36" s="465">
        <f>B12*(B20+B28+B30+B31+B32+B33+B34)</f>
        <v>0</v>
      </c>
      <c r="C36" s="465">
        <f>C12*(C20+C28+C30+C31+C32+C33+C34)</f>
        <v>0</v>
      </c>
      <c r="D36" s="465">
        <f>D12*(D25+D28+D30+D31+D32+D34)</f>
        <v>0</v>
      </c>
    </row>
    <row r="37" spans="1:4">
      <c r="A37" s="451" t="s">
        <v>191</v>
      </c>
      <c r="B37" s="436">
        <f>SUM(B28:B36)</f>
        <v>0</v>
      </c>
      <c r="C37" s="436">
        <f>SUM(C28:C36)</f>
        <v>0</v>
      </c>
      <c r="D37" s="436">
        <f>SUM(D28:D36)</f>
        <v>0</v>
      </c>
    </row>
    <row r="38" spans="1:4">
      <c r="A38" s="451" t="s">
        <v>198</v>
      </c>
      <c r="B38" s="436">
        <f>B25+B26+B37</f>
        <v>0</v>
      </c>
      <c r="C38" s="436">
        <f>C25+C26+C37</f>
        <v>0</v>
      </c>
      <c r="D38" s="436">
        <f>D25+D26+D37</f>
        <v>0</v>
      </c>
    </row>
    <row r="39" spans="1:4">
      <c r="A39" s="451" t="s">
        <v>199</v>
      </c>
      <c r="B39" s="436">
        <f>B20-B38</f>
        <v>0</v>
      </c>
      <c r="C39" s="436">
        <f>C20-C38</f>
        <v>0</v>
      </c>
      <c r="D39" s="436">
        <f>D20-D38</f>
        <v>0</v>
      </c>
    </row>
    <row r="40" spans="1:4">
      <c r="A40" s="451" t="s">
        <v>200</v>
      </c>
      <c r="B40" s="436">
        <v>0</v>
      </c>
      <c r="C40" s="436">
        <v>0</v>
      </c>
      <c r="D40" s="436">
        <v>0</v>
      </c>
    </row>
    <row r="41" spans="1:4">
      <c r="A41" s="451" t="s">
        <v>201</v>
      </c>
      <c r="B41" s="436">
        <v>0</v>
      </c>
      <c r="C41" s="436">
        <v>0</v>
      </c>
      <c r="D41" s="436">
        <v>0</v>
      </c>
    </row>
    <row r="42" spans="1:4" ht="18.75" customHeight="1">
      <c r="A42" s="430" t="str">
        <f>"*Claims based on " &amp; EP_Current &amp;"."</f>
        <v>*Claims based on MMM DD YYY - MMM DD YYYY.</v>
      </c>
      <c r="B42" s="91"/>
      <c r="C42" s="91"/>
    </row>
    <row r="43" spans="1:4">
      <c r="A43" s="430" t="s">
        <v>578</v>
      </c>
      <c r="B43" s="91"/>
      <c r="C43" s="91"/>
    </row>
    <row r="44" spans="1:4">
      <c r="A44" s="430" t="s">
        <v>752</v>
      </c>
      <c r="B44" s="91"/>
      <c r="C44" s="91"/>
    </row>
    <row r="45" spans="1:4">
      <c r="A45" s="430" t="s">
        <v>344</v>
      </c>
      <c r="B45" s="91"/>
      <c r="C45" s="91"/>
    </row>
    <row r="46" spans="1:4">
      <c r="A46" s="430" t="s">
        <v>751</v>
      </c>
    </row>
  </sheetData>
  <mergeCells count="1">
    <mergeCell ref="A2:D3"/>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1">
    <tabColor rgb="FFFF0000"/>
    <pageSetUpPr fitToPage="1"/>
  </sheetPr>
  <dimension ref="A1:M171"/>
  <sheetViews>
    <sheetView showGridLines="0" view="pageLayout" zoomScaleNormal="100" workbookViewId="0">
      <selection activeCell="H10" sqref="H10"/>
    </sheetView>
  </sheetViews>
  <sheetFormatPr baseColWidth="10" defaultColWidth="9.1640625" defaultRowHeight="15" outlineLevelRow="1"/>
  <cols>
    <col min="1" max="1" width="17.6640625" style="311" customWidth="1"/>
    <col min="2" max="2" width="10.5" style="41" customWidth="1"/>
    <col min="3" max="3" width="10.33203125" style="41" customWidth="1"/>
    <col min="4" max="4" width="12.1640625" style="41" customWidth="1"/>
    <col min="5" max="5" width="10.33203125" style="41" customWidth="1"/>
    <col min="6" max="6" width="12.1640625" style="41" customWidth="1"/>
    <col min="7" max="7" width="9.5" style="41" customWidth="1"/>
    <col min="8" max="8" width="10.33203125" style="41" customWidth="1"/>
    <col min="9" max="9" width="12.1640625" style="41" customWidth="1"/>
    <col min="10" max="10" width="9.5" style="41" customWidth="1"/>
    <col min="11" max="11" width="10.33203125" style="41" customWidth="1"/>
    <col min="12" max="12" width="12.1640625" style="41" customWidth="1"/>
    <col min="13" max="13" width="9.5" style="41" customWidth="1"/>
    <col min="14" max="14" width="10.5" style="41" customWidth="1"/>
    <col min="15" max="16384" width="9.1640625" style="41"/>
  </cols>
  <sheetData>
    <row r="1" spans="1:13" ht="35.25" customHeight="1"/>
    <row r="2" spans="1:13" s="42" customFormat="1" ht="30" customHeight="1">
      <c r="A2" s="1222" t="s">
        <v>23</v>
      </c>
      <c r="B2" s="1223"/>
      <c r="C2" s="1223"/>
      <c r="D2" s="1223"/>
      <c r="E2" s="1223"/>
      <c r="F2" s="1223"/>
      <c r="G2" s="1223"/>
      <c r="H2" s="1223"/>
      <c r="I2" s="1223"/>
      <c r="J2" s="1223"/>
      <c r="K2" s="1223"/>
      <c r="L2" s="1223"/>
    </row>
    <row r="3" spans="1:13" s="42" customFormat="1" ht="5.25" customHeight="1">
      <c r="A3" s="1222"/>
      <c r="B3" s="1223"/>
      <c r="C3" s="1223"/>
      <c r="D3" s="1223"/>
      <c r="E3" s="1223"/>
      <c r="F3" s="1223"/>
      <c r="G3" s="1223"/>
      <c r="H3" s="1223"/>
      <c r="I3" s="1223"/>
      <c r="J3" s="1223"/>
      <c r="K3" s="1223"/>
      <c r="L3" s="1223"/>
    </row>
    <row r="4" spans="1:13" s="42" customFormat="1" ht="3" customHeight="1">
      <c r="A4" s="312"/>
      <c r="B4" s="43"/>
      <c r="C4" s="43"/>
      <c r="D4" s="43"/>
      <c r="E4" s="43"/>
      <c r="F4" s="43"/>
      <c r="G4" s="43"/>
      <c r="H4" s="43"/>
      <c r="I4" s="43"/>
      <c r="J4" s="43"/>
      <c r="K4" s="43"/>
      <c r="L4" s="43"/>
      <c r="M4" s="43"/>
    </row>
    <row r="5" spans="1:13" s="1" customFormat="1" ht="12" customHeight="1">
      <c r="A5" s="313"/>
      <c r="B5" s="532"/>
      <c r="C5" s="1215" t="s">
        <v>31</v>
      </c>
      <c r="D5" s="1224"/>
      <c r="E5" s="1177" t="s">
        <v>33</v>
      </c>
      <c r="F5" s="1178"/>
      <c r="G5" s="1225"/>
      <c r="H5" s="1220" t="s">
        <v>172</v>
      </c>
      <c r="I5" s="1215"/>
      <c r="J5" s="1224"/>
      <c r="K5" s="1177" t="s">
        <v>173</v>
      </c>
      <c r="L5" s="1178"/>
      <c r="M5" s="1178"/>
    </row>
    <row r="6" spans="1:13" s="1" customFormat="1" ht="12" customHeight="1">
      <c r="A6" s="534" t="s">
        <v>34</v>
      </c>
      <c r="B6" s="407" t="s">
        <v>77</v>
      </c>
      <c r="C6" s="458" t="s">
        <v>160</v>
      </c>
      <c r="D6" s="458" t="s">
        <v>35</v>
      </c>
      <c r="E6" s="458" t="s">
        <v>160</v>
      </c>
      <c r="F6" s="458" t="s">
        <v>35</v>
      </c>
      <c r="G6" s="458" t="s">
        <v>36</v>
      </c>
      <c r="H6" s="458" t="s">
        <v>160</v>
      </c>
      <c r="I6" s="458" t="s">
        <v>35</v>
      </c>
      <c r="J6" s="458" t="s">
        <v>36</v>
      </c>
      <c r="K6" s="458" t="s">
        <v>160</v>
      </c>
      <c r="L6" s="458" t="s">
        <v>35</v>
      </c>
      <c r="M6" s="492" t="s">
        <v>36</v>
      </c>
    </row>
    <row r="7" spans="1:13" s="1" customFormat="1" ht="12" customHeight="1">
      <c r="A7" s="448" t="s">
        <v>132</v>
      </c>
      <c r="B7" s="385"/>
      <c r="C7" s="535"/>
      <c r="D7" s="536"/>
      <c r="E7" s="537"/>
      <c r="F7" s="538"/>
      <c r="G7" s="539"/>
      <c r="H7" s="535"/>
      <c r="I7" s="536"/>
      <c r="J7" s="540"/>
      <c r="K7" s="537"/>
      <c r="L7" s="538"/>
      <c r="M7" s="539"/>
    </row>
    <row r="8" spans="1:13" s="1" customFormat="1" ht="12" hidden="1" customHeight="1" outlineLevel="1">
      <c r="A8" s="499" t="str">
        <f>'Renewal Rates '!A7</f>
        <v>Class A</v>
      </c>
      <c r="B8" s="385">
        <f>'Renewal Rates '!B7</f>
        <v>0</v>
      </c>
      <c r="C8" s="535">
        <f>'Renewal Rates '!C7</f>
        <v>0</v>
      </c>
      <c r="D8" s="536">
        <f>C8*B8/1000</f>
        <v>0</v>
      </c>
      <c r="E8" s="537">
        <f>'Renewal Rates '!H7</f>
        <v>0</v>
      </c>
      <c r="F8" s="538">
        <f>E8*$B8/1000</f>
        <v>0</v>
      </c>
      <c r="G8" s="539" t="e">
        <f>E8/$C8-1</f>
        <v>#DIV/0!</v>
      </c>
      <c r="H8" s="535">
        <v>0</v>
      </c>
      <c r="I8" s="536">
        <f>H8*$B8/1000</f>
        <v>0</v>
      </c>
      <c r="J8" s="540" t="e">
        <f>H8/$C8-1</f>
        <v>#DIV/0!</v>
      </c>
      <c r="K8" s="537">
        <v>0</v>
      </c>
      <c r="L8" s="538">
        <f>K8*$B8/1000</f>
        <v>0</v>
      </c>
      <c r="M8" s="539" t="e">
        <f>K8/$C8-1</f>
        <v>#DIV/0!</v>
      </c>
    </row>
    <row r="9" spans="1:13" s="1" customFormat="1" ht="12" hidden="1" customHeight="1" outlineLevel="1">
      <c r="A9" s="499" t="str">
        <f>'Renewal Rates '!A8</f>
        <v>Class B</v>
      </c>
      <c r="B9" s="385">
        <f>'Renewal Rates '!B8</f>
        <v>0</v>
      </c>
      <c r="C9" s="535">
        <f>'Renewal Rates '!C8</f>
        <v>0</v>
      </c>
      <c r="D9" s="536">
        <f t="shared" ref="D9:D11" si="0">C9*B9/1000</f>
        <v>0</v>
      </c>
      <c r="E9" s="537">
        <f>'Renewal Rates '!H8</f>
        <v>0</v>
      </c>
      <c r="F9" s="538">
        <f t="shared" ref="F9:F11" si="1">E9*$B9/1000</f>
        <v>0</v>
      </c>
      <c r="G9" s="539" t="e">
        <f t="shared" ref="G9:G12" si="2">E9/$C9-1</f>
        <v>#DIV/0!</v>
      </c>
      <c r="H9" s="535">
        <v>0</v>
      </c>
      <c r="I9" s="536">
        <f t="shared" ref="I9:I12" si="3">H9*$B9/1000</f>
        <v>0</v>
      </c>
      <c r="J9" s="540" t="e">
        <f t="shared" ref="J9:J11" si="4">H9/$C9-1</f>
        <v>#DIV/0!</v>
      </c>
      <c r="K9" s="537">
        <v>0</v>
      </c>
      <c r="L9" s="538">
        <f t="shared" ref="L9:L12" si="5">K9*$B9/1000</f>
        <v>0</v>
      </c>
      <c r="M9" s="539" t="e">
        <f t="shared" ref="M9:M12" si="6">K9/$C9-1</f>
        <v>#DIV/0!</v>
      </c>
    </row>
    <row r="10" spans="1:13" s="1" customFormat="1" ht="12" hidden="1" customHeight="1" outlineLevel="1">
      <c r="A10" s="499" t="str">
        <f>'Renewal Rates '!A9</f>
        <v>Class C</v>
      </c>
      <c r="B10" s="385">
        <f>'Renewal Rates '!B9</f>
        <v>0</v>
      </c>
      <c r="C10" s="535">
        <f>'Renewal Rates '!C9</f>
        <v>0</v>
      </c>
      <c r="D10" s="536">
        <f t="shared" si="0"/>
        <v>0</v>
      </c>
      <c r="E10" s="537">
        <f>'Renewal Rates '!H9</f>
        <v>0</v>
      </c>
      <c r="F10" s="538">
        <f t="shared" si="1"/>
        <v>0</v>
      </c>
      <c r="G10" s="539" t="e">
        <f t="shared" si="2"/>
        <v>#DIV/0!</v>
      </c>
      <c r="H10" s="535">
        <v>0</v>
      </c>
      <c r="I10" s="536">
        <f t="shared" si="3"/>
        <v>0</v>
      </c>
      <c r="J10" s="540" t="e">
        <f t="shared" si="4"/>
        <v>#DIV/0!</v>
      </c>
      <c r="K10" s="537">
        <v>0</v>
      </c>
      <c r="L10" s="538">
        <f t="shared" si="5"/>
        <v>0</v>
      </c>
      <c r="M10" s="539" t="e">
        <f t="shared" si="6"/>
        <v>#DIV/0!</v>
      </c>
    </row>
    <row r="11" spans="1:13" s="1" customFormat="1" ht="12" hidden="1" customHeight="1" outlineLevel="1">
      <c r="A11" s="499" t="str">
        <f>'Renewal Rates '!A10</f>
        <v>Class D</v>
      </c>
      <c r="B11" s="385">
        <f>'Renewal Rates '!B10</f>
        <v>0</v>
      </c>
      <c r="C11" s="535">
        <f>'Renewal Rates '!C10</f>
        <v>0</v>
      </c>
      <c r="D11" s="536">
        <f t="shared" si="0"/>
        <v>0</v>
      </c>
      <c r="E11" s="537">
        <f>'Renewal Rates '!H10</f>
        <v>0</v>
      </c>
      <c r="F11" s="538">
        <f t="shared" si="1"/>
        <v>0</v>
      </c>
      <c r="G11" s="539" t="e">
        <f t="shared" si="2"/>
        <v>#DIV/0!</v>
      </c>
      <c r="H11" s="535">
        <v>0</v>
      </c>
      <c r="I11" s="536">
        <f t="shared" si="3"/>
        <v>0</v>
      </c>
      <c r="J11" s="540" t="e">
        <f t="shared" si="4"/>
        <v>#DIV/0!</v>
      </c>
      <c r="K11" s="537">
        <v>0</v>
      </c>
      <c r="L11" s="538">
        <f t="shared" si="5"/>
        <v>0</v>
      </c>
      <c r="M11" s="539" t="e">
        <f t="shared" si="6"/>
        <v>#DIV/0!</v>
      </c>
    </row>
    <row r="12" spans="1:13" s="1" customFormat="1" ht="12" customHeight="1" collapsed="1">
      <c r="A12" s="499" t="str">
        <f>'Renewal Rates '!A11</f>
        <v>All Employees</v>
      </c>
      <c r="B12" s="385">
        <f>'Renewal Rates '!B11</f>
        <v>0</v>
      </c>
      <c r="C12" s="535">
        <f>'Renewal Rates '!C11</f>
        <v>0</v>
      </c>
      <c r="D12" s="536">
        <f>C12*B12/1000</f>
        <v>0</v>
      </c>
      <c r="E12" s="537">
        <f>'Renewal Rates '!H11</f>
        <v>0</v>
      </c>
      <c r="F12" s="538">
        <f>E12*$B12/1000</f>
        <v>0</v>
      </c>
      <c r="G12" s="787" t="e">
        <f t="shared" si="2"/>
        <v>#DIV/0!</v>
      </c>
      <c r="H12" s="535">
        <v>0</v>
      </c>
      <c r="I12" s="536">
        <f t="shared" si="3"/>
        <v>0</v>
      </c>
      <c r="J12" s="790" t="e">
        <f>H12/$C12-1</f>
        <v>#DIV/0!</v>
      </c>
      <c r="K12" s="537">
        <v>0</v>
      </c>
      <c r="L12" s="538">
        <f t="shared" si="5"/>
        <v>0</v>
      </c>
      <c r="M12" s="787" t="e">
        <f t="shared" si="6"/>
        <v>#DIV/0!</v>
      </c>
    </row>
    <row r="13" spans="1:13" s="1" customFormat="1" ht="12" customHeight="1">
      <c r="A13" s="448" t="s">
        <v>531</v>
      </c>
      <c r="B13" s="541"/>
      <c r="C13" s="542"/>
      <c r="D13" s="542">
        <f>SUM(D8:D12)</f>
        <v>0</v>
      </c>
      <c r="E13" s="542"/>
      <c r="F13" s="542">
        <f>SUM(F8:F12)</f>
        <v>0</v>
      </c>
      <c r="G13" s="788" t="e">
        <f>F13/$D13-1</f>
        <v>#DIV/0!</v>
      </c>
      <c r="H13" s="542"/>
      <c r="I13" s="542">
        <f>SUM(I8:I12)</f>
        <v>0</v>
      </c>
      <c r="J13" s="788" t="e">
        <f>I13/$D13-1</f>
        <v>#DIV/0!</v>
      </c>
      <c r="K13" s="448"/>
      <c r="L13" s="542">
        <f>SUM(L8:L12)</f>
        <v>0</v>
      </c>
      <c r="M13" s="788" t="e">
        <f>L13/$D13-1</f>
        <v>#DIV/0!</v>
      </c>
    </row>
    <row r="14" spans="1:13" s="1" customFormat="1" ht="12" customHeight="1">
      <c r="A14" s="448" t="s">
        <v>38</v>
      </c>
      <c r="B14" s="544"/>
      <c r="C14" s="545"/>
      <c r="D14" s="546"/>
      <c r="E14" s="547"/>
      <c r="F14" s="548"/>
      <c r="G14" s="789"/>
      <c r="H14" s="545"/>
      <c r="I14" s="546"/>
      <c r="J14" s="791"/>
      <c r="K14" s="547"/>
      <c r="L14" s="548"/>
      <c r="M14" s="789"/>
    </row>
    <row r="15" spans="1:13" s="1" customFormat="1" ht="12" hidden="1" customHeight="1" outlineLevel="1">
      <c r="A15" s="499" t="str">
        <f>'Renewal Rates '!A14</f>
        <v>Class A</v>
      </c>
      <c r="B15" s="385">
        <f>'Renewal Rates '!B14</f>
        <v>0</v>
      </c>
      <c r="C15" s="535">
        <f>'Renewal Rates '!C14</f>
        <v>0</v>
      </c>
      <c r="D15" s="536">
        <f>C15*B15/1000</f>
        <v>0</v>
      </c>
      <c r="E15" s="537">
        <f>'Renewal Rates '!H14</f>
        <v>0</v>
      </c>
      <c r="F15" s="538">
        <f>E15*$B15/1000</f>
        <v>0</v>
      </c>
      <c r="G15" s="787" t="e">
        <f>E15/$C15-1</f>
        <v>#DIV/0!</v>
      </c>
      <c r="H15" s="535">
        <v>0</v>
      </c>
      <c r="I15" s="536">
        <f>H15*$B15/1000</f>
        <v>0</v>
      </c>
      <c r="J15" s="790" t="e">
        <f>H15/$C15-1</f>
        <v>#DIV/0!</v>
      </c>
      <c r="K15" s="537">
        <v>0</v>
      </c>
      <c r="L15" s="538">
        <f>K15*$B15/1000</f>
        <v>0</v>
      </c>
      <c r="M15" s="787" t="e">
        <f>K15/$C15-1</f>
        <v>#DIV/0!</v>
      </c>
    </row>
    <row r="16" spans="1:13" s="1" customFormat="1" ht="12" hidden="1" customHeight="1" outlineLevel="1">
      <c r="A16" s="499" t="str">
        <f>'Renewal Rates '!A15</f>
        <v>Class B</v>
      </c>
      <c r="B16" s="385">
        <f>'Renewal Rates '!B15</f>
        <v>0</v>
      </c>
      <c r="C16" s="535">
        <f>'Renewal Rates '!C15</f>
        <v>0</v>
      </c>
      <c r="D16" s="536">
        <f t="shared" ref="D16:D19" si="7">C16*B16/1000</f>
        <v>0</v>
      </c>
      <c r="E16" s="537">
        <f>'Renewal Rates '!H15</f>
        <v>0</v>
      </c>
      <c r="F16" s="538">
        <f t="shared" ref="F16:F19" si="8">E16*$B16/1000</f>
        <v>0</v>
      </c>
      <c r="G16" s="787" t="e">
        <f t="shared" ref="G16:G19" si="9">E16/$C16-1</f>
        <v>#DIV/0!</v>
      </c>
      <c r="H16" s="535">
        <v>0</v>
      </c>
      <c r="I16" s="536">
        <f t="shared" ref="I16:I19" si="10">H16*$B16/1000</f>
        <v>0</v>
      </c>
      <c r="J16" s="790" t="e">
        <f t="shared" ref="J16:J19" si="11">H16/$C16-1</f>
        <v>#DIV/0!</v>
      </c>
      <c r="K16" s="537">
        <v>0</v>
      </c>
      <c r="L16" s="538">
        <f t="shared" ref="L16:L19" si="12">K16*$B16/1000</f>
        <v>0</v>
      </c>
      <c r="M16" s="787" t="e">
        <f t="shared" ref="M16:M19" si="13">K16/$C16-1</f>
        <v>#DIV/0!</v>
      </c>
    </row>
    <row r="17" spans="1:13" s="1" customFormat="1" ht="12" hidden="1" customHeight="1" outlineLevel="1">
      <c r="A17" s="499" t="str">
        <f>'Renewal Rates '!A16</f>
        <v>Class C</v>
      </c>
      <c r="B17" s="385">
        <f>'Renewal Rates '!B16</f>
        <v>0</v>
      </c>
      <c r="C17" s="535">
        <f>'Renewal Rates '!C16</f>
        <v>0</v>
      </c>
      <c r="D17" s="536">
        <f t="shared" si="7"/>
        <v>0</v>
      </c>
      <c r="E17" s="537">
        <f>'Renewal Rates '!H16</f>
        <v>0</v>
      </c>
      <c r="F17" s="538">
        <f t="shared" si="8"/>
        <v>0</v>
      </c>
      <c r="G17" s="787" t="e">
        <f t="shared" si="9"/>
        <v>#DIV/0!</v>
      </c>
      <c r="H17" s="535">
        <v>0</v>
      </c>
      <c r="I17" s="536">
        <f t="shared" si="10"/>
        <v>0</v>
      </c>
      <c r="J17" s="790" t="e">
        <f t="shared" si="11"/>
        <v>#DIV/0!</v>
      </c>
      <c r="K17" s="537">
        <v>0</v>
      </c>
      <c r="L17" s="538">
        <f t="shared" si="12"/>
        <v>0</v>
      </c>
      <c r="M17" s="787" t="e">
        <f t="shared" si="13"/>
        <v>#DIV/0!</v>
      </c>
    </row>
    <row r="18" spans="1:13" s="1" customFormat="1" ht="12" hidden="1" customHeight="1" outlineLevel="1">
      <c r="A18" s="499" t="str">
        <f>'Renewal Rates '!A17</f>
        <v>Class D</v>
      </c>
      <c r="B18" s="385">
        <f>'Renewal Rates '!B17</f>
        <v>0</v>
      </c>
      <c r="C18" s="535">
        <f>'Renewal Rates '!C17</f>
        <v>0</v>
      </c>
      <c r="D18" s="536">
        <f t="shared" si="7"/>
        <v>0</v>
      </c>
      <c r="E18" s="537">
        <f>'Renewal Rates '!H17</f>
        <v>0</v>
      </c>
      <c r="F18" s="538">
        <f t="shared" si="8"/>
        <v>0</v>
      </c>
      <c r="G18" s="787" t="e">
        <f t="shared" si="9"/>
        <v>#DIV/0!</v>
      </c>
      <c r="H18" s="535">
        <v>0</v>
      </c>
      <c r="I18" s="536">
        <f t="shared" si="10"/>
        <v>0</v>
      </c>
      <c r="J18" s="790" t="e">
        <f t="shared" si="11"/>
        <v>#DIV/0!</v>
      </c>
      <c r="K18" s="537">
        <v>0</v>
      </c>
      <c r="L18" s="538">
        <f t="shared" si="12"/>
        <v>0</v>
      </c>
      <c r="M18" s="787" t="e">
        <f t="shared" si="13"/>
        <v>#DIV/0!</v>
      </c>
    </row>
    <row r="19" spans="1:13" s="1" customFormat="1" ht="12" customHeight="1" collapsed="1">
      <c r="A19" s="499" t="str">
        <f>'Renewal Rates '!A18</f>
        <v>All Employees</v>
      </c>
      <c r="B19" s="385">
        <f>'Renewal Rates '!B18</f>
        <v>0</v>
      </c>
      <c r="C19" s="535">
        <f>'Renewal Rates '!C18</f>
        <v>0</v>
      </c>
      <c r="D19" s="536">
        <f t="shared" si="7"/>
        <v>0</v>
      </c>
      <c r="E19" s="537">
        <f>'Renewal Rates '!H18</f>
        <v>0</v>
      </c>
      <c r="F19" s="538">
        <f t="shared" si="8"/>
        <v>0</v>
      </c>
      <c r="G19" s="787" t="e">
        <f t="shared" si="9"/>
        <v>#DIV/0!</v>
      </c>
      <c r="H19" s="535">
        <v>0</v>
      </c>
      <c r="I19" s="536">
        <f t="shared" si="10"/>
        <v>0</v>
      </c>
      <c r="J19" s="790" t="e">
        <f t="shared" si="11"/>
        <v>#DIV/0!</v>
      </c>
      <c r="K19" s="537">
        <v>0</v>
      </c>
      <c r="L19" s="538">
        <f t="shared" si="12"/>
        <v>0</v>
      </c>
      <c r="M19" s="787" t="e">
        <f t="shared" si="13"/>
        <v>#DIV/0!</v>
      </c>
    </row>
    <row r="20" spans="1:13" s="1" customFormat="1" ht="12" customHeight="1">
      <c r="A20" s="448" t="s">
        <v>532</v>
      </c>
      <c r="B20" s="541"/>
      <c r="C20" s="542"/>
      <c r="D20" s="542">
        <f>SUM(D15:D19)</f>
        <v>0</v>
      </c>
      <c r="E20" s="542"/>
      <c r="F20" s="542">
        <f>SUM(F15:F19)</f>
        <v>0</v>
      </c>
      <c r="G20" s="788" t="e">
        <f>F20/$D20-1</f>
        <v>#DIV/0!</v>
      </c>
      <c r="H20" s="542"/>
      <c r="I20" s="542">
        <f>SUM(I15:I19)</f>
        <v>0</v>
      </c>
      <c r="J20" s="788" t="e">
        <f>I20/$D20-1</f>
        <v>#DIV/0!</v>
      </c>
      <c r="K20" s="448"/>
      <c r="L20" s="542">
        <f>SUM(L15:L19)</f>
        <v>0</v>
      </c>
      <c r="M20" s="788" t="e">
        <f>L20/$D20-1</f>
        <v>#DIV/0!</v>
      </c>
    </row>
    <row r="21" spans="1:13" s="1" customFormat="1" ht="12" customHeight="1">
      <c r="A21" s="448" t="s">
        <v>9</v>
      </c>
      <c r="B21" s="544"/>
      <c r="C21" s="545"/>
      <c r="D21" s="546"/>
      <c r="E21" s="547"/>
      <c r="F21" s="548"/>
      <c r="G21" s="789"/>
      <c r="H21" s="545"/>
      <c r="I21" s="546"/>
      <c r="J21" s="791"/>
      <c r="K21" s="547"/>
      <c r="L21" s="548"/>
      <c r="M21" s="789"/>
    </row>
    <row r="22" spans="1:13" s="1" customFormat="1" ht="12" hidden="1" customHeight="1" outlineLevel="1">
      <c r="A22" s="499" t="str">
        <f>'Renewal Rates '!A21</f>
        <v>Class A</v>
      </c>
      <c r="B22" s="551">
        <f>'Renewal Rates '!B21</f>
        <v>0</v>
      </c>
      <c r="C22" s="535">
        <f>'Renewal Rates '!C21</f>
        <v>0</v>
      </c>
      <c r="D22" s="536">
        <f>C22*B22</f>
        <v>0</v>
      </c>
      <c r="E22" s="537">
        <f>'Renewal Rates '!H21</f>
        <v>0</v>
      </c>
      <c r="F22" s="538">
        <f>E22*$B22</f>
        <v>0</v>
      </c>
      <c r="G22" s="787" t="e">
        <f>E22/$C22-1</f>
        <v>#DIV/0!</v>
      </c>
      <c r="H22" s="535">
        <v>0</v>
      </c>
      <c r="I22" s="536">
        <f>H22*$B22</f>
        <v>0</v>
      </c>
      <c r="J22" s="790" t="e">
        <f>H22/$C22-1</f>
        <v>#DIV/0!</v>
      </c>
      <c r="K22" s="537">
        <v>0</v>
      </c>
      <c r="L22" s="538">
        <f>K22*$B22</f>
        <v>0</v>
      </c>
      <c r="M22" s="787" t="e">
        <f>K22/$C22-1</f>
        <v>#DIV/0!</v>
      </c>
    </row>
    <row r="23" spans="1:13" s="1" customFormat="1" ht="12" hidden="1" customHeight="1" outlineLevel="1">
      <c r="A23" s="499" t="str">
        <f>'Renewal Rates '!A22</f>
        <v>Class B</v>
      </c>
      <c r="B23" s="551">
        <f>'Renewal Rates '!B22</f>
        <v>0</v>
      </c>
      <c r="C23" s="535">
        <f>'Renewal Rates '!C22</f>
        <v>0</v>
      </c>
      <c r="D23" s="536">
        <f t="shared" ref="D23:D26" si="14">C23*B23</f>
        <v>0</v>
      </c>
      <c r="E23" s="537">
        <f>'Renewal Rates '!H22</f>
        <v>0</v>
      </c>
      <c r="F23" s="538">
        <f t="shared" ref="F23:F26" si="15">E23*$B23</f>
        <v>0</v>
      </c>
      <c r="G23" s="787" t="e">
        <f t="shared" ref="G23:G26" si="16">E23/$C23-1</f>
        <v>#DIV/0!</v>
      </c>
      <c r="H23" s="535">
        <v>0</v>
      </c>
      <c r="I23" s="536">
        <f t="shared" ref="I23:I26" si="17">H23*$B23</f>
        <v>0</v>
      </c>
      <c r="J23" s="790" t="e">
        <f t="shared" ref="J23:J26" si="18">H23/$C23-1</f>
        <v>#DIV/0!</v>
      </c>
      <c r="K23" s="537">
        <v>0</v>
      </c>
      <c r="L23" s="538">
        <f t="shared" ref="L23:L26" si="19">K23*$B23</f>
        <v>0</v>
      </c>
      <c r="M23" s="787" t="e">
        <f t="shared" ref="M23:M26" si="20">K23/$C23-1</f>
        <v>#DIV/0!</v>
      </c>
    </row>
    <row r="24" spans="1:13" s="1" customFormat="1" ht="12" hidden="1" customHeight="1" outlineLevel="1">
      <c r="A24" s="499" t="str">
        <f>'Renewal Rates '!A23</f>
        <v>Class C</v>
      </c>
      <c r="B24" s="551">
        <f>'Renewal Rates '!B23</f>
        <v>0</v>
      </c>
      <c r="C24" s="535">
        <f>'Renewal Rates '!C23</f>
        <v>0</v>
      </c>
      <c r="D24" s="536">
        <f t="shared" si="14"/>
        <v>0</v>
      </c>
      <c r="E24" s="537">
        <f>'Renewal Rates '!H23</f>
        <v>0</v>
      </c>
      <c r="F24" s="538">
        <f t="shared" si="15"/>
        <v>0</v>
      </c>
      <c r="G24" s="787" t="e">
        <f t="shared" si="16"/>
        <v>#DIV/0!</v>
      </c>
      <c r="H24" s="535">
        <v>0</v>
      </c>
      <c r="I24" s="536">
        <f t="shared" si="17"/>
        <v>0</v>
      </c>
      <c r="J24" s="790" t="e">
        <f t="shared" si="18"/>
        <v>#DIV/0!</v>
      </c>
      <c r="K24" s="537">
        <v>0</v>
      </c>
      <c r="L24" s="538">
        <f t="shared" si="19"/>
        <v>0</v>
      </c>
      <c r="M24" s="787" t="e">
        <f t="shared" si="20"/>
        <v>#DIV/0!</v>
      </c>
    </row>
    <row r="25" spans="1:13" s="1" customFormat="1" ht="12" hidden="1" customHeight="1" outlineLevel="1">
      <c r="A25" s="499" t="str">
        <f>'Renewal Rates '!A24</f>
        <v>Class D</v>
      </c>
      <c r="B25" s="551">
        <f>'Renewal Rates '!B24</f>
        <v>0</v>
      </c>
      <c r="C25" s="535">
        <f>'Renewal Rates '!C24</f>
        <v>0</v>
      </c>
      <c r="D25" s="536">
        <f t="shared" si="14"/>
        <v>0</v>
      </c>
      <c r="E25" s="537">
        <f>'Renewal Rates '!H24</f>
        <v>0</v>
      </c>
      <c r="F25" s="538">
        <f t="shared" si="15"/>
        <v>0</v>
      </c>
      <c r="G25" s="787" t="e">
        <f t="shared" si="16"/>
        <v>#DIV/0!</v>
      </c>
      <c r="H25" s="535">
        <v>0</v>
      </c>
      <c r="I25" s="536">
        <f t="shared" si="17"/>
        <v>0</v>
      </c>
      <c r="J25" s="790" t="e">
        <f t="shared" si="18"/>
        <v>#DIV/0!</v>
      </c>
      <c r="K25" s="537">
        <v>0</v>
      </c>
      <c r="L25" s="538">
        <f t="shared" si="19"/>
        <v>0</v>
      </c>
      <c r="M25" s="787" t="e">
        <f t="shared" si="20"/>
        <v>#DIV/0!</v>
      </c>
    </row>
    <row r="26" spans="1:13" s="1" customFormat="1" ht="12" customHeight="1" collapsed="1">
      <c r="A26" s="499" t="str">
        <f>'Renewal Rates '!A25</f>
        <v>All Employees</v>
      </c>
      <c r="B26" s="551">
        <f>'Renewal Rates '!B25</f>
        <v>0</v>
      </c>
      <c r="C26" s="535">
        <f>'Renewal Rates '!C25</f>
        <v>0</v>
      </c>
      <c r="D26" s="536">
        <f t="shared" si="14"/>
        <v>0</v>
      </c>
      <c r="E26" s="537">
        <f>'Renewal Rates '!H25</f>
        <v>0</v>
      </c>
      <c r="F26" s="538">
        <f t="shared" si="15"/>
        <v>0</v>
      </c>
      <c r="G26" s="787" t="e">
        <f t="shared" si="16"/>
        <v>#DIV/0!</v>
      </c>
      <c r="H26" s="535">
        <v>0</v>
      </c>
      <c r="I26" s="536">
        <f t="shared" si="17"/>
        <v>0</v>
      </c>
      <c r="J26" s="790" t="e">
        <f t="shared" si="18"/>
        <v>#DIV/0!</v>
      </c>
      <c r="K26" s="537">
        <v>0</v>
      </c>
      <c r="L26" s="538">
        <f t="shared" si="19"/>
        <v>0</v>
      </c>
      <c r="M26" s="787" t="e">
        <f t="shared" si="20"/>
        <v>#DIV/0!</v>
      </c>
    </row>
    <row r="27" spans="1:13" s="1" customFormat="1" ht="12" customHeight="1">
      <c r="A27" s="448" t="s">
        <v>533</v>
      </c>
      <c r="B27" s="541"/>
      <c r="C27" s="542"/>
      <c r="D27" s="542">
        <f>SUM(D22:D26)</f>
        <v>0</v>
      </c>
      <c r="E27" s="542"/>
      <c r="F27" s="542">
        <f>SUM(F22:F26)</f>
        <v>0</v>
      </c>
      <c r="G27" s="788" t="e">
        <f>F27/$D27-1</f>
        <v>#DIV/0!</v>
      </c>
      <c r="H27" s="542"/>
      <c r="I27" s="542">
        <f>SUM(I22:I26)</f>
        <v>0</v>
      </c>
      <c r="J27" s="788" t="e">
        <f>I27/$D27-1</f>
        <v>#DIV/0!</v>
      </c>
      <c r="K27" s="448"/>
      <c r="L27" s="542">
        <f>SUM(L22:L26)</f>
        <v>0</v>
      </c>
      <c r="M27" s="788" t="e">
        <f>L27/$D27-1</f>
        <v>#DIV/0!</v>
      </c>
    </row>
    <row r="28" spans="1:13" s="1" customFormat="1" ht="12" customHeight="1">
      <c r="A28" s="448" t="s">
        <v>39</v>
      </c>
      <c r="B28" s="544"/>
      <c r="C28" s="545"/>
      <c r="D28" s="546"/>
      <c r="E28" s="547"/>
      <c r="F28" s="548"/>
      <c r="G28" s="789"/>
      <c r="H28" s="545"/>
      <c r="I28" s="546"/>
      <c r="J28" s="791"/>
      <c r="K28" s="547"/>
      <c r="L28" s="548"/>
      <c r="M28" s="789"/>
    </row>
    <row r="29" spans="1:13" s="1" customFormat="1" ht="12" hidden="1" customHeight="1" outlineLevel="1">
      <c r="A29" s="499" t="str">
        <f>'Renewal Rates '!A28</f>
        <v>Class A</v>
      </c>
      <c r="B29" s="385">
        <f>'Renewal Rates '!B28</f>
        <v>0</v>
      </c>
      <c r="C29" s="535">
        <f>'Renewal Rates '!C28</f>
        <v>0</v>
      </c>
      <c r="D29" s="536">
        <f>C29*$B29/100</f>
        <v>0</v>
      </c>
      <c r="E29" s="537">
        <f>'Renewal Rates '!H28</f>
        <v>0</v>
      </c>
      <c r="F29" s="538">
        <f>E29*$B29/100</f>
        <v>0</v>
      </c>
      <c r="G29" s="787" t="e">
        <f>E29/$C29-1</f>
        <v>#DIV/0!</v>
      </c>
      <c r="H29" s="535">
        <v>0</v>
      </c>
      <c r="I29" s="536">
        <f>H29*$B29/100</f>
        <v>0</v>
      </c>
      <c r="J29" s="790" t="e">
        <f>H29/$C29-1</f>
        <v>#DIV/0!</v>
      </c>
      <c r="K29" s="537">
        <v>0</v>
      </c>
      <c r="L29" s="538">
        <f>K29*$B29/100</f>
        <v>0</v>
      </c>
      <c r="M29" s="787" t="e">
        <f>K29/$C29-1</f>
        <v>#DIV/0!</v>
      </c>
    </row>
    <row r="30" spans="1:13" s="1" customFormat="1" ht="12" hidden="1" customHeight="1" outlineLevel="1">
      <c r="A30" s="499" t="str">
        <f>'Renewal Rates '!A29</f>
        <v>Class B</v>
      </c>
      <c r="B30" s="385">
        <f>'Renewal Rates '!B29</f>
        <v>0</v>
      </c>
      <c r="C30" s="535">
        <f>'Renewal Rates '!C29</f>
        <v>0</v>
      </c>
      <c r="D30" s="536">
        <f t="shared" ref="D30:D33" si="21">C30*$B30/100</f>
        <v>0</v>
      </c>
      <c r="E30" s="537">
        <f>'Renewal Rates '!H29</f>
        <v>0</v>
      </c>
      <c r="F30" s="538">
        <f t="shared" ref="F30:F33" si="22">E30*$B30/100</f>
        <v>0</v>
      </c>
      <c r="G30" s="787" t="e">
        <f t="shared" ref="G30:G33" si="23">E30/$C30-1</f>
        <v>#DIV/0!</v>
      </c>
      <c r="H30" s="535">
        <v>0</v>
      </c>
      <c r="I30" s="536">
        <f t="shared" ref="I30:I33" si="24">H30*$B30/100</f>
        <v>0</v>
      </c>
      <c r="J30" s="790" t="e">
        <f t="shared" ref="J30:J33" si="25">H30/$C30-1</f>
        <v>#DIV/0!</v>
      </c>
      <c r="K30" s="537">
        <v>0</v>
      </c>
      <c r="L30" s="538">
        <f t="shared" ref="L30:L33" si="26">K30*$B30/100</f>
        <v>0</v>
      </c>
      <c r="M30" s="787" t="e">
        <f t="shared" ref="M30:M33" si="27">K30/$C30-1</f>
        <v>#DIV/0!</v>
      </c>
    </row>
    <row r="31" spans="1:13" s="1" customFormat="1" ht="12" hidden="1" customHeight="1" outlineLevel="1">
      <c r="A31" s="499" t="str">
        <f>'Renewal Rates '!A30</f>
        <v>Class C</v>
      </c>
      <c r="B31" s="385">
        <f>'Renewal Rates '!B30</f>
        <v>0</v>
      </c>
      <c r="C31" s="535">
        <f>'Renewal Rates '!C30</f>
        <v>0</v>
      </c>
      <c r="D31" s="536">
        <f t="shared" si="21"/>
        <v>0</v>
      </c>
      <c r="E31" s="537">
        <f>'Renewal Rates '!H30</f>
        <v>0</v>
      </c>
      <c r="F31" s="538">
        <f t="shared" si="22"/>
        <v>0</v>
      </c>
      <c r="G31" s="787" t="e">
        <f t="shared" si="23"/>
        <v>#DIV/0!</v>
      </c>
      <c r="H31" s="535">
        <v>0</v>
      </c>
      <c r="I31" s="536">
        <f t="shared" si="24"/>
        <v>0</v>
      </c>
      <c r="J31" s="790" t="e">
        <f t="shared" si="25"/>
        <v>#DIV/0!</v>
      </c>
      <c r="K31" s="537">
        <v>0</v>
      </c>
      <c r="L31" s="538">
        <f t="shared" si="26"/>
        <v>0</v>
      </c>
      <c r="M31" s="787" t="e">
        <f t="shared" si="27"/>
        <v>#DIV/0!</v>
      </c>
    </row>
    <row r="32" spans="1:13" s="1" customFormat="1" ht="12" hidden="1" customHeight="1" outlineLevel="1">
      <c r="A32" s="499" t="str">
        <f>'Renewal Rates '!A31</f>
        <v>Class D</v>
      </c>
      <c r="B32" s="385">
        <f>'Renewal Rates '!B31</f>
        <v>0</v>
      </c>
      <c r="C32" s="535">
        <f>'Renewal Rates '!C31</f>
        <v>0</v>
      </c>
      <c r="D32" s="536">
        <f t="shared" si="21"/>
        <v>0</v>
      </c>
      <c r="E32" s="537">
        <f>'Renewal Rates '!H31</f>
        <v>0</v>
      </c>
      <c r="F32" s="538">
        <f t="shared" si="22"/>
        <v>0</v>
      </c>
      <c r="G32" s="787" t="e">
        <f t="shared" si="23"/>
        <v>#DIV/0!</v>
      </c>
      <c r="H32" s="535">
        <v>0</v>
      </c>
      <c r="I32" s="536">
        <f t="shared" si="24"/>
        <v>0</v>
      </c>
      <c r="J32" s="790" t="e">
        <f t="shared" si="25"/>
        <v>#DIV/0!</v>
      </c>
      <c r="K32" s="537">
        <v>0</v>
      </c>
      <c r="L32" s="538">
        <f t="shared" si="26"/>
        <v>0</v>
      </c>
      <c r="M32" s="787" t="e">
        <f t="shared" si="27"/>
        <v>#DIV/0!</v>
      </c>
    </row>
    <row r="33" spans="1:13" s="1" customFormat="1" ht="12" customHeight="1" collapsed="1">
      <c r="A33" s="499" t="str">
        <f>'Renewal Rates '!A32</f>
        <v>All Employees</v>
      </c>
      <c r="B33" s="385">
        <f>'Renewal Rates '!B32</f>
        <v>0</v>
      </c>
      <c r="C33" s="535">
        <f>'Renewal Rates '!C32</f>
        <v>0</v>
      </c>
      <c r="D33" s="536">
        <f t="shared" si="21"/>
        <v>0</v>
      </c>
      <c r="E33" s="537">
        <f>'Renewal Rates '!H32</f>
        <v>0</v>
      </c>
      <c r="F33" s="538">
        <f t="shared" si="22"/>
        <v>0</v>
      </c>
      <c r="G33" s="787" t="e">
        <f t="shared" si="23"/>
        <v>#DIV/0!</v>
      </c>
      <c r="H33" s="535">
        <v>0</v>
      </c>
      <c r="I33" s="536">
        <f t="shared" si="24"/>
        <v>0</v>
      </c>
      <c r="J33" s="790" t="e">
        <f t="shared" si="25"/>
        <v>#DIV/0!</v>
      </c>
      <c r="K33" s="537">
        <v>0</v>
      </c>
      <c r="L33" s="538">
        <f t="shared" si="26"/>
        <v>0</v>
      </c>
      <c r="M33" s="787" t="e">
        <f t="shared" si="27"/>
        <v>#DIV/0!</v>
      </c>
    </row>
    <row r="34" spans="1:13" s="1" customFormat="1" ht="12" customHeight="1">
      <c r="A34" s="448" t="s">
        <v>534</v>
      </c>
      <c r="B34" s="541"/>
      <c r="C34" s="542"/>
      <c r="D34" s="542">
        <f>SUM(D29:D33)</f>
        <v>0</v>
      </c>
      <c r="E34" s="542"/>
      <c r="F34" s="542">
        <f>SUM(F29:F33)</f>
        <v>0</v>
      </c>
      <c r="G34" s="788" t="e">
        <f>F34/$D34-1</f>
        <v>#DIV/0!</v>
      </c>
      <c r="H34" s="542"/>
      <c r="I34" s="542">
        <f>SUM(I29:I33)</f>
        <v>0</v>
      </c>
      <c r="J34" s="788" t="e">
        <f>I34/$D34-1</f>
        <v>#DIV/0!</v>
      </c>
      <c r="K34" s="448"/>
      <c r="L34" s="542">
        <f>SUM(L29:L33)</f>
        <v>0</v>
      </c>
      <c r="M34" s="788" t="e">
        <f>L34/$D34-1</f>
        <v>#DIV/0!</v>
      </c>
    </row>
    <row r="35" spans="1:13" s="1" customFormat="1" ht="12" customHeight="1">
      <c r="A35" s="448" t="s">
        <v>133</v>
      </c>
      <c r="B35" s="544"/>
      <c r="C35" s="545"/>
      <c r="D35" s="546"/>
      <c r="E35" s="547"/>
      <c r="F35" s="548"/>
      <c r="G35" s="789"/>
      <c r="H35" s="545"/>
      <c r="I35" s="546"/>
      <c r="J35" s="791"/>
      <c r="K35" s="547"/>
      <c r="L35" s="548"/>
      <c r="M35" s="789"/>
    </row>
    <row r="36" spans="1:13" s="1" customFormat="1" ht="12" hidden="1" customHeight="1" outlineLevel="1">
      <c r="A36" s="499" t="str">
        <f>'Renewal Rates '!A35</f>
        <v>Class A</v>
      </c>
      <c r="B36" s="385">
        <f>'Renewal Rates '!B35</f>
        <v>0</v>
      </c>
      <c r="C36" s="535">
        <f>'Renewal Rates '!C35</f>
        <v>0</v>
      </c>
      <c r="D36" s="536">
        <f>C36*$B36/100</f>
        <v>0</v>
      </c>
      <c r="E36" s="537">
        <f>'Renewal Rates '!H35</f>
        <v>0</v>
      </c>
      <c r="F36" s="538">
        <f>E36*$B36/100</f>
        <v>0</v>
      </c>
      <c r="G36" s="787" t="e">
        <f>E36/$C36-1</f>
        <v>#DIV/0!</v>
      </c>
      <c r="H36" s="535">
        <v>0</v>
      </c>
      <c r="I36" s="536">
        <f>H36*$B36/100</f>
        <v>0</v>
      </c>
      <c r="J36" s="790" t="e">
        <f>H36/$C36-1</f>
        <v>#DIV/0!</v>
      </c>
      <c r="K36" s="537">
        <v>0</v>
      </c>
      <c r="L36" s="538">
        <f>K36*$B36/100</f>
        <v>0</v>
      </c>
      <c r="M36" s="787" t="e">
        <f>K36/$C36-1</f>
        <v>#DIV/0!</v>
      </c>
    </row>
    <row r="37" spans="1:13" s="1" customFormat="1" ht="12" hidden="1" customHeight="1" outlineLevel="1">
      <c r="A37" s="499" t="str">
        <f>'Renewal Rates '!A36</f>
        <v>Class B</v>
      </c>
      <c r="B37" s="385">
        <f>'Renewal Rates '!B36</f>
        <v>0</v>
      </c>
      <c r="C37" s="535">
        <f>'Renewal Rates '!C36</f>
        <v>0</v>
      </c>
      <c r="D37" s="536">
        <f t="shared" ref="D37:D39" si="28">C37*$B37/100</f>
        <v>0</v>
      </c>
      <c r="E37" s="537">
        <f>'Renewal Rates '!H36</f>
        <v>0</v>
      </c>
      <c r="F37" s="538">
        <f t="shared" ref="F37:F39" si="29">E37*$B37/100</f>
        <v>0</v>
      </c>
      <c r="G37" s="787" t="e">
        <f t="shared" ref="G37:G40" si="30">E37/$C37-1</f>
        <v>#DIV/0!</v>
      </c>
      <c r="H37" s="535">
        <v>0</v>
      </c>
      <c r="I37" s="536">
        <f t="shared" ref="I37:I39" si="31">H37*$B37/100</f>
        <v>0</v>
      </c>
      <c r="J37" s="790" t="e">
        <f t="shared" ref="J37:J40" si="32">H37/$C37-1</f>
        <v>#DIV/0!</v>
      </c>
      <c r="K37" s="537">
        <v>0</v>
      </c>
      <c r="L37" s="538">
        <f t="shared" ref="L37:L39" si="33">K37*$B37/100</f>
        <v>0</v>
      </c>
      <c r="M37" s="787" t="e">
        <f t="shared" ref="M37:M40" si="34">K37/$C37-1</f>
        <v>#DIV/0!</v>
      </c>
    </row>
    <row r="38" spans="1:13" s="1" customFormat="1" ht="12" hidden="1" customHeight="1" outlineLevel="1">
      <c r="A38" s="499" t="str">
        <f>'Renewal Rates '!A37</f>
        <v>Class C</v>
      </c>
      <c r="B38" s="385">
        <f>'Renewal Rates '!B37</f>
        <v>0</v>
      </c>
      <c r="C38" s="535">
        <f>'Renewal Rates '!C37</f>
        <v>0</v>
      </c>
      <c r="D38" s="536">
        <f t="shared" si="28"/>
        <v>0</v>
      </c>
      <c r="E38" s="537">
        <f>'Renewal Rates '!H37</f>
        <v>0</v>
      </c>
      <c r="F38" s="538">
        <f t="shared" si="29"/>
        <v>0</v>
      </c>
      <c r="G38" s="787" t="e">
        <f t="shared" si="30"/>
        <v>#DIV/0!</v>
      </c>
      <c r="H38" s="535">
        <v>0</v>
      </c>
      <c r="I38" s="536">
        <f t="shared" si="31"/>
        <v>0</v>
      </c>
      <c r="J38" s="790" t="e">
        <f t="shared" si="32"/>
        <v>#DIV/0!</v>
      </c>
      <c r="K38" s="537">
        <v>0</v>
      </c>
      <c r="L38" s="538">
        <f t="shared" si="33"/>
        <v>0</v>
      </c>
      <c r="M38" s="787" t="e">
        <f t="shared" si="34"/>
        <v>#DIV/0!</v>
      </c>
    </row>
    <row r="39" spans="1:13" s="1" customFormat="1" ht="12" hidden="1" customHeight="1" outlineLevel="1">
      <c r="A39" s="499" t="str">
        <f>'Renewal Rates '!A38</f>
        <v>Class D</v>
      </c>
      <c r="B39" s="385">
        <f>'Renewal Rates '!B38</f>
        <v>0</v>
      </c>
      <c r="C39" s="535">
        <f>'Renewal Rates '!C38</f>
        <v>0</v>
      </c>
      <c r="D39" s="536">
        <f t="shared" si="28"/>
        <v>0</v>
      </c>
      <c r="E39" s="537">
        <f>'Renewal Rates '!H38</f>
        <v>0</v>
      </c>
      <c r="F39" s="538">
        <f t="shared" si="29"/>
        <v>0</v>
      </c>
      <c r="G39" s="787" t="e">
        <f t="shared" si="30"/>
        <v>#DIV/0!</v>
      </c>
      <c r="H39" s="535">
        <v>0</v>
      </c>
      <c r="I39" s="536">
        <f t="shared" si="31"/>
        <v>0</v>
      </c>
      <c r="J39" s="790" t="e">
        <f t="shared" si="32"/>
        <v>#DIV/0!</v>
      </c>
      <c r="K39" s="537">
        <v>0</v>
      </c>
      <c r="L39" s="538">
        <f t="shared" si="33"/>
        <v>0</v>
      </c>
      <c r="M39" s="787" t="e">
        <f t="shared" si="34"/>
        <v>#DIV/0!</v>
      </c>
    </row>
    <row r="40" spans="1:13" s="1" customFormat="1" ht="12" customHeight="1" collapsed="1">
      <c r="A40" s="499" t="str">
        <f>'Renewal Rates '!A39</f>
        <v>All Employees</v>
      </c>
      <c r="B40" s="385">
        <f>'Renewal Rates '!B39</f>
        <v>0</v>
      </c>
      <c r="C40" s="535">
        <f>'Renewal Rates '!C39</f>
        <v>0</v>
      </c>
      <c r="D40" s="536">
        <f>C40*$B40/1000</f>
        <v>0</v>
      </c>
      <c r="E40" s="537">
        <f>'Renewal Rates '!H39</f>
        <v>0</v>
      </c>
      <c r="F40" s="538">
        <f>E40*$B40/1000</f>
        <v>0</v>
      </c>
      <c r="G40" s="787" t="e">
        <f t="shared" si="30"/>
        <v>#DIV/0!</v>
      </c>
      <c r="H40" s="535">
        <v>0</v>
      </c>
      <c r="I40" s="536">
        <f>H40*$B40/1000</f>
        <v>0</v>
      </c>
      <c r="J40" s="790" t="e">
        <f t="shared" si="32"/>
        <v>#DIV/0!</v>
      </c>
      <c r="K40" s="537">
        <v>0</v>
      </c>
      <c r="L40" s="538">
        <f>K40*$B40/1000</f>
        <v>0</v>
      </c>
      <c r="M40" s="787" t="e">
        <f t="shared" si="34"/>
        <v>#DIV/0!</v>
      </c>
    </row>
    <row r="41" spans="1:13" s="1" customFormat="1" ht="12" customHeight="1">
      <c r="A41" s="448" t="s">
        <v>683</v>
      </c>
      <c r="B41" s="541"/>
      <c r="C41" s="542"/>
      <c r="D41" s="542">
        <f>SUM(D36:D40)</f>
        <v>0</v>
      </c>
      <c r="E41" s="542"/>
      <c r="F41" s="542">
        <f>SUM(F36:F40)</f>
        <v>0</v>
      </c>
      <c r="G41" s="788" t="e">
        <f>F41/$D41-1</f>
        <v>#DIV/0!</v>
      </c>
      <c r="H41" s="542"/>
      <c r="I41" s="542">
        <f>SUM(I36:I40)</f>
        <v>0</v>
      </c>
      <c r="J41" s="788" t="e">
        <f>I41/$D41-1</f>
        <v>#DIV/0!</v>
      </c>
      <c r="K41" s="448"/>
      <c r="L41" s="542">
        <f>SUM(L36:L40)</f>
        <v>0</v>
      </c>
      <c r="M41" s="788" t="e">
        <f>L41/$D41-1</f>
        <v>#DIV/0!</v>
      </c>
    </row>
    <row r="42" spans="1:13" s="1" customFormat="1" ht="12" customHeight="1">
      <c r="A42" s="1214" t="s">
        <v>161</v>
      </c>
      <c r="B42" s="1214"/>
      <c r="C42" s="1211"/>
      <c r="D42" s="1212">
        <f>D13+D20+D27+D34+D41</f>
        <v>0</v>
      </c>
      <c r="E42" s="1211"/>
      <c r="F42" s="1212">
        <f>F13+F20+F27+F34+F41</f>
        <v>0</v>
      </c>
      <c r="G42" s="1226" t="e">
        <f>F42/$D42-1</f>
        <v>#DIV/0!</v>
      </c>
      <c r="H42" s="1211"/>
      <c r="I42" s="1212">
        <f>I13+I20+I27+I34+I41</f>
        <v>0</v>
      </c>
      <c r="J42" s="1226" t="e">
        <f>I42/$D42-1</f>
        <v>#DIV/0!</v>
      </c>
      <c r="K42" s="1211"/>
      <c r="L42" s="1212">
        <f>L13+L20+L27+L34+L41</f>
        <v>0</v>
      </c>
      <c r="M42" s="1226" t="e">
        <f>L42/$D42-1</f>
        <v>#DIV/0!</v>
      </c>
    </row>
    <row r="43" spans="1:13" s="1" customFormat="1" ht="12" customHeight="1">
      <c r="A43" s="1213" t="s">
        <v>6</v>
      </c>
      <c r="B43" s="1213"/>
      <c r="C43" s="1211"/>
      <c r="D43" s="1212"/>
      <c r="E43" s="1211"/>
      <c r="F43" s="1212"/>
      <c r="G43" s="1226"/>
      <c r="H43" s="1211"/>
      <c r="I43" s="1212"/>
      <c r="J43" s="1226"/>
      <c r="K43" s="1211"/>
      <c r="L43" s="1212"/>
      <c r="M43" s="1226"/>
    </row>
    <row r="44" spans="1:13" s="1" customFormat="1" ht="12" customHeight="1">
      <c r="A44" s="448" t="s">
        <v>40</v>
      </c>
      <c r="B44" s="552"/>
      <c r="C44" s="536"/>
      <c r="D44" s="536"/>
      <c r="E44" s="538"/>
      <c r="F44" s="538"/>
      <c r="G44" s="787"/>
      <c r="H44" s="536"/>
      <c r="I44" s="536"/>
      <c r="J44" s="790"/>
      <c r="K44" s="538"/>
      <c r="L44" s="538"/>
      <c r="M44" s="787"/>
    </row>
    <row r="45" spans="1:13" s="1" customFormat="1" ht="12" hidden="1" customHeight="1" outlineLevel="1">
      <c r="A45" s="499" t="str">
        <f>'Renewal Rates '!A44</f>
        <v>Class A</v>
      </c>
      <c r="B45" s="385">
        <f>'Renewal Rates '!B44</f>
        <v>0</v>
      </c>
      <c r="C45" s="536">
        <f>'Renewal Rates '!C44</f>
        <v>0</v>
      </c>
      <c r="D45" s="536">
        <f t="shared" ref="D45:D47" si="35">C45*$B45/10</f>
        <v>0</v>
      </c>
      <c r="E45" s="538">
        <f>'Renewal Rates '!H44</f>
        <v>0</v>
      </c>
      <c r="F45" s="538">
        <f t="shared" ref="F45:F47" si="36">E45*$B45/10</f>
        <v>0</v>
      </c>
      <c r="G45" s="787" t="e">
        <f t="shared" ref="G45:G47" si="37">E45/$C45-1</f>
        <v>#DIV/0!</v>
      </c>
      <c r="H45" s="536">
        <v>0</v>
      </c>
      <c r="I45" s="536">
        <f t="shared" ref="I45:I47" si="38">H45*$B45/10</f>
        <v>0</v>
      </c>
      <c r="J45" s="790" t="e">
        <f t="shared" ref="J45:J47" si="39">H45/$C45-1</f>
        <v>#DIV/0!</v>
      </c>
      <c r="K45" s="538">
        <v>0</v>
      </c>
      <c r="L45" s="538">
        <f t="shared" ref="L45:L47" si="40">K45*$B45/10</f>
        <v>0</v>
      </c>
      <c r="M45" s="787" t="e">
        <f t="shared" ref="M45:M47" si="41">K45/$C45-1</f>
        <v>#DIV/0!</v>
      </c>
    </row>
    <row r="46" spans="1:13" s="1" customFormat="1" ht="12" hidden="1" customHeight="1" outlineLevel="1">
      <c r="A46" s="499" t="str">
        <f>'Renewal Rates '!A45</f>
        <v>Class B</v>
      </c>
      <c r="B46" s="385">
        <f>'Renewal Rates '!B45</f>
        <v>0</v>
      </c>
      <c r="C46" s="536">
        <f>'Renewal Rates '!C45</f>
        <v>0</v>
      </c>
      <c r="D46" s="536">
        <f t="shared" si="35"/>
        <v>0</v>
      </c>
      <c r="E46" s="538">
        <f>'Renewal Rates '!H45</f>
        <v>0</v>
      </c>
      <c r="F46" s="538">
        <f t="shared" si="36"/>
        <v>0</v>
      </c>
      <c r="G46" s="787" t="e">
        <f t="shared" si="37"/>
        <v>#DIV/0!</v>
      </c>
      <c r="H46" s="536">
        <v>0</v>
      </c>
      <c r="I46" s="536">
        <f t="shared" si="38"/>
        <v>0</v>
      </c>
      <c r="J46" s="790" t="e">
        <f t="shared" si="39"/>
        <v>#DIV/0!</v>
      </c>
      <c r="K46" s="538">
        <v>0</v>
      </c>
      <c r="L46" s="538">
        <f t="shared" si="40"/>
        <v>0</v>
      </c>
      <c r="M46" s="787" t="e">
        <f t="shared" si="41"/>
        <v>#DIV/0!</v>
      </c>
    </row>
    <row r="47" spans="1:13" s="1" customFormat="1" ht="12" hidden="1" customHeight="1" outlineLevel="1">
      <c r="A47" s="499" t="str">
        <f>'Renewal Rates '!A46</f>
        <v>Class C</v>
      </c>
      <c r="B47" s="385">
        <f>'Renewal Rates '!B46</f>
        <v>0</v>
      </c>
      <c r="C47" s="536">
        <f>'Renewal Rates '!C46</f>
        <v>0</v>
      </c>
      <c r="D47" s="536">
        <f t="shared" si="35"/>
        <v>0</v>
      </c>
      <c r="E47" s="538">
        <f>'Renewal Rates '!H46</f>
        <v>0</v>
      </c>
      <c r="F47" s="538">
        <f t="shared" si="36"/>
        <v>0</v>
      </c>
      <c r="G47" s="787" t="e">
        <f t="shared" si="37"/>
        <v>#DIV/0!</v>
      </c>
      <c r="H47" s="536">
        <v>0</v>
      </c>
      <c r="I47" s="536">
        <f t="shared" si="38"/>
        <v>0</v>
      </c>
      <c r="J47" s="790" t="e">
        <f t="shared" si="39"/>
        <v>#DIV/0!</v>
      </c>
      <c r="K47" s="538">
        <v>0</v>
      </c>
      <c r="L47" s="538">
        <f t="shared" si="40"/>
        <v>0</v>
      </c>
      <c r="M47" s="787" t="e">
        <f t="shared" si="41"/>
        <v>#DIV/0!</v>
      </c>
    </row>
    <row r="48" spans="1:13" s="1" customFormat="1" ht="12" hidden="1" customHeight="1" outlineLevel="1">
      <c r="A48" s="499" t="str">
        <f>'Renewal Rates '!A47</f>
        <v>Class D</v>
      </c>
      <c r="B48" s="385">
        <f>'Renewal Rates '!B47</f>
        <v>0</v>
      </c>
      <c r="C48" s="536">
        <f>'Renewal Rates '!C47</f>
        <v>0</v>
      </c>
      <c r="D48" s="536">
        <f>C48*$B48/10</f>
        <v>0</v>
      </c>
      <c r="E48" s="538">
        <f>'Renewal Rates '!H47</f>
        <v>0</v>
      </c>
      <c r="F48" s="538">
        <f>E48*$B48/10</f>
        <v>0</v>
      </c>
      <c r="G48" s="787" t="e">
        <f>E48/$C48-1</f>
        <v>#DIV/0!</v>
      </c>
      <c r="H48" s="536">
        <v>0</v>
      </c>
      <c r="I48" s="536">
        <f>H48*$B48/10</f>
        <v>0</v>
      </c>
      <c r="J48" s="790" t="e">
        <f>H48/$C48-1</f>
        <v>#DIV/0!</v>
      </c>
      <c r="K48" s="538">
        <v>0</v>
      </c>
      <c r="L48" s="538">
        <f>K48*$B48/10</f>
        <v>0</v>
      </c>
      <c r="M48" s="787" t="e">
        <f>K48/$C48-1</f>
        <v>#DIV/0!</v>
      </c>
    </row>
    <row r="49" spans="1:13" s="1" customFormat="1" ht="12" customHeight="1" collapsed="1">
      <c r="A49" s="499" t="str">
        <f>'Renewal Rates '!A48</f>
        <v>All Employees</v>
      </c>
      <c r="B49" s="385">
        <f>'Renewal Rates '!B48</f>
        <v>0</v>
      </c>
      <c r="C49" s="536">
        <f>'Renewal Rates '!C48</f>
        <v>0</v>
      </c>
      <c r="D49" s="536">
        <f>C49*$B49/10</f>
        <v>0</v>
      </c>
      <c r="E49" s="538">
        <f>'Renewal Rates '!H48</f>
        <v>0</v>
      </c>
      <c r="F49" s="538">
        <f t="shared" ref="F49" si="42">E49*$B49/10</f>
        <v>0</v>
      </c>
      <c r="G49" s="787" t="e">
        <f t="shared" ref="G49" si="43">E49/$C49-1</f>
        <v>#DIV/0!</v>
      </c>
      <c r="H49" s="536">
        <v>0</v>
      </c>
      <c r="I49" s="536">
        <f t="shared" ref="I49" si="44">H49*$B49/10</f>
        <v>0</v>
      </c>
      <c r="J49" s="790" t="e">
        <f t="shared" ref="J49" si="45">H49/$C49-1</f>
        <v>#DIV/0!</v>
      </c>
      <c r="K49" s="538">
        <v>0</v>
      </c>
      <c r="L49" s="538">
        <f t="shared" ref="L49" si="46">K49*$B49/10</f>
        <v>0</v>
      </c>
      <c r="M49" s="787" t="e">
        <f t="shared" ref="M49" si="47">K49/$C49-1</f>
        <v>#DIV/0!</v>
      </c>
    </row>
    <row r="50" spans="1:13" s="1" customFormat="1" ht="12" customHeight="1">
      <c r="A50" s="448" t="s">
        <v>535</v>
      </c>
      <c r="B50" s="541"/>
      <c r="C50" s="542"/>
      <c r="D50" s="542">
        <f>SUM(D45:D49)</f>
        <v>0</v>
      </c>
      <c r="E50" s="542"/>
      <c r="F50" s="542">
        <f>SUM(F45:F49)</f>
        <v>0</v>
      </c>
      <c r="G50" s="788" t="e">
        <f>F50/$D50-1</f>
        <v>#DIV/0!</v>
      </c>
      <c r="H50" s="542"/>
      <c r="I50" s="542">
        <f>SUM(I45:I49)</f>
        <v>0</v>
      </c>
      <c r="J50" s="788" t="e">
        <f>I50/$D50-1</f>
        <v>#DIV/0!</v>
      </c>
      <c r="K50" s="448"/>
      <c r="L50" s="542">
        <f>SUM(L45:L49)</f>
        <v>0</v>
      </c>
      <c r="M50" s="788" t="e">
        <f>L50/$D50-1</f>
        <v>#DIV/0!</v>
      </c>
    </row>
    <row r="51" spans="1:13" s="1" customFormat="1" ht="12" customHeight="1">
      <c r="A51" s="448" t="s">
        <v>162</v>
      </c>
      <c r="B51" s="438"/>
      <c r="C51" s="536"/>
      <c r="D51" s="536"/>
      <c r="E51" s="538"/>
      <c r="F51" s="538"/>
      <c r="G51" s="787"/>
      <c r="H51" s="536"/>
      <c r="I51" s="536"/>
      <c r="J51" s="790"/>
      <c r="K51" s="538"/>
      <c r="L51" s="538"/>
      <c r="M51" s="787"/>
    </row>
    <row r="52" spans="1:13" s="1" customFormat="1" ht="12" hidden="1" customHeight="1" outlineLevel="1">
      <c r="A52" s="499" t="str">
        <f>'Renewal Rates '!A51</f>
        <v>Class A</v>
      </c>
      <c r="B52" s="438"/>
      <c r="C52" s="536"/>
      <c r="D52" s="536"/>
      <c r="E52" s="538"/>
      <c r="F52" s="538"/>
      <c r="G52" s="787"/>
      <c r="H52" s="536"/>
      <c r="I52" s="536"/>
      <c r="J52" s="790"/>
      <c r="K52" s="538"/>
      <c r="L52" s="538"/>
      <c r="M52" s="787"/>
    </row>
    <row r="53" spans="1:13" s="1" customFormat="1" ht="12" hidden="1" customHeight="1" outlineLevel="1">
      <c r="A53" s="448" t="s">
        <v>163</v>
      </c>
      <c r="B53" s="551">
        <f>'Renewal Rates '!B52</f>
        <v>0</v>
      </c>
      <c r="C53" s="536">
        <f>'Renewal Rates '!C52</f>
        <v>0</v>
      </c>
      <c r="D53" s="536">
        <f>C53*$B53</f>
        <v>0</v>
      </c>
      <c r="E53" s="538">
        <f>'Renewal Rates '!H52</f>
        <v>0</v>
      </c>
      <c r="F53" s="538">
        <f>E53*$B53</f>
        <v>0</v>
      </c>
      <c r="G53" s="787" t="e">
        <f>E53/$C53-1</f>
        <v>#DIV/0!</v>
      </c>
      <c r="H53" s="536">
        <v>0</v>
      </c>
      <c r="I53" s="536">
        <f>H53*$B53</f>
        <v>0</v>
      </c>
      <c r="J53" s="790" t="e">
        <f>H53/$C53-1</f>
        <v>#DIV/0!</v>
      </c>
      <c r="K53" s="538">
        <v>0</v>
      </c>
      <c r="L53" s="538">
        <f>K53*$B53</f>
        <v>0</v>
      </c>
      <c r="M53" s="787" t="e">
        <f>K53/$C53-1</f>
        <v>#DIV/0!</v>
      </c>
    </row>
    <row r="54" spans="1:13" s="1" customFormat="1" ht="12" hidden="1" customHeight="1" outlineLevel="1">
      <c r="A54" s="448" t="s">
        <v>164</v>
      </c>
      <c r="B54" s="551">
        <f>'Renewal Rates '!B53</f>
        <v>0</v>
      </c>
      <c r="C54" s="536">
        <f>'Renewal Rates '!C53</f>
        <v>0</v>
      </c>
      <c r="D54" s="536">
        <f>C54*$B54</f>
        <v>0</v>
      </c>
      <c r="E54" s="538">
        <f>'Renewal Rates '!H53</f>
        <v>0</v>
      </c>
      <c r="F54" s="538">
        <f>E54*$B54</f>
        <v>0</v>
      </c>
      <c r="G54" s="787" t="e">
        <f>E54/$C54-1</f>
        <v>#DIV/0!</v>
      </c>
      <c r="H54" s="536">
        <v>0</v>
      </c>
      <c r="I54" s="536">
        <f>H54*$B54</f>
        <v>0</v>
      </c>
      <c r="J54" s="790" t="e">
        <f>H54/$C54-1</f>
        <v>#DIV/0!</v>
      </c>
      <c r="K54" s="538">
        <v>0</v>
      </c>
      <c r="L54" s="538">
        <f>K54*$B54</f>
        <v>0</v>
      </c>
      <c r="M54" s="787" t="e">
        <f>K54/$C54-1</f>
        <v>#DIV/0!</v>
      </c>
    </row>
    <row r="55" spans="1:13" s="1" customFormat="1" ht="12" hidden="1" customHeight="1" outlineLevel="1">
      <c r="A55" s="499" t="str">
        <f>'Renewal Rates '!A54</f>
        <v>Class B</v>
      </c>
      <c r="B55" s="438"/>
      <c r="C55" s="536"/>
      <c r="D55" s="536"/>
      <c r="E55" s="538"/>
      <c r="F55" s="538"/>
      <c r="G55" s="787"/>
      <c r="H55" s="536"/>
      <c r="I55" s="536"/>
      <c r="J55" s="790"/>
      <c r="K55" s="538"/>
      <c r="L55" s="538"/>
      <c r="M55" s="787"/>
    </row>
    <row r="56" spans="1:13" s="1" customFormat="1" ht="12" hidden="1" customHeight="1" outlineLevel="1">
      <c r="A56" s="448" t="s">
        <v>163</v>
      </c>
      <c r="B56" s="551">
        <f>'Renewal Rates '!B55</f>
        <v>0</v>
      </c>
      <c r="C56" s="536">
        <f>'Renewal Rates '!C55</f>
        <v>0</v>
      </c>
      <c r="D56" s="536">
        <f>C56*$B56</f>
        <v>0</v>
      </c>
      <c r="E56" s="538">
        <f>'Renewal Rates '!H55</f>
        <v>0</v>
      </c>
      <c r="F56" s="538">
        <f>E56*$B56</f>
        <v>0</v>
      </c>
      <c r="G56" s="787" t="e">
        <f>E56/$C56-1</f>
        <v>#DIV/0!</v>
      </c>
      <c r="H56" s="536">
        <v>0</v>
      </c>
      <c r="I56" s="536">
        <f>H56*$B56</f>
        <v>0</v>
      </c>
      <c r="J56" s="790" t="e">
        <f>H56/$C56-1</f>
        <v>#DIV/0!</v>
      </c>
      <c r="K56" s="538">
        <v>0</v>
      </c>
      <c r="L56" s="538">
        <f>K56*$B56</f>
        <v>0</v>
      </c>
      <c r="M56" s="787" t="e">
        <f>K56/$C56-1</f>
        <v>#DIV/0!</v>
      </c>
    </row>
    <row r="57" spans="1:13" s="1" customFormat="1" ht="12" hidden="1" customHeight="1" outlineLevel="1">
      <c r="A57" s="448" t="s">
        <v>164</v>
      </c>
      <c r="B57" s="551">
        <f>'Renewal Rates '!B56</f>
        <v>0</v>
      </c>
      <c r="C57" s="536">
        <f>'Renewal Rates '!C56</f>
        <v>0</v>
      </c>
      <c r="D57" s="536">
        <f>C57*$B57</f>
        <v>0</v>
      </c>
      <c r="E57" s="538">
        <f>'Renewal Rates '!H56</f>
        <v>0</v>
      </c>
      <c r="F57" s="538">
        <f>E57*$B57</f>
        <v>0</v>
      </c>
      <c r="G57" s="787" t="e">
        <f>E57/$C57-1</f>
        <v>#DIV/0!</v>
      </c>
      <c r="H57" s="536">
        <v>0</v>
      </c>
      <c r="I57" s="536">
        <f>H57*$B57</f>
        <v>0</v>
      </c>
      <c r="J57" s="790" t="e">
        <f>H57/$C57-1</f>
        <v>#DIV/0!</v>
      </c>
      <c r="K57" s="538">
        <v>0</v>
      </c>
      <c r="L57" s="538">
        <f>K57*$B57</f>
        <v>0</v>
      </c>
      <c r="M57" s="787" t="e">
        <f>K57/$C57-1</f>
        <v>#DIV/0!</v>
      </c>
    </row>
    <row r="58" spans="1:13" s="1" customFormat="1" ht="12" hidden="1" customHeight="1" outlineLevel="1">
      <c r="A58" s="499" t="str">
        <f>'Renewal Rates '!A57</f>
        <v>Class C</v>
      </c>
      <c r="B58" s="438"/>
      <c r="C58" s="536"/>
      <c r="D58" s="536"/>
      <c r="E58" s="538"/>
      <c r="F58" s="538"/>
      <c r="G58" s="787"/>
      <c r="H58" s="536"/>
      <c r="I58" s="536"/>
      <c r="J58" s="790"/>
      <c r="K58" s="538"/>
      <c r="L58" s="538"/>
      <c r="M58" s="787"/>
    </row>
    <row r="59" spans="1:13" s="1" customFormat="1" ht="12" hidden="1" customHeight="1" outlineLevel="1">
      <c r="A59" s="448" t="s">
        <v>163</v>
      </c>
      <c r="B59" s="551">
        <f>'Renewal Rates '!B58</f>
        <v>0</v>
      </c>
      <c r="C59" s="536">
        <f>'Renewal Rates '!C58</f>
        <v>0</v>
      </c>
      <c r="D59" s="536">
        <f>C59*$B59</f>
        <v>0</v>
      </c>
      <c r="E59" s="538">
        <f>'Renewal Rates '!H58</f>
        <v>0</v>
      </c>
      <c r="F59" s="538">
        <f>E59*$B59</f>
        <v>0</v>
      </c>
      <c r="G59" s="787" t="e">
        <f>E59/$C59-1</f>
        <v>#DIV/0!</v>
      </c>
      <c r="H59" s="536">
        <v>0</v>
      </c>
      <c r="I59" s="536">
        <f>H59*$B59</f>
        <v>0</v>
      </c>
      <c r="J59" s="790" t="e">
        <f>H59/$C59-1</f>
        <v>#DIV/0!</v>
      </c>
      <c r="K59" s="538">
        <v>0</v>
      </c>
      <c r="L59" s="538">
        <f>K59*$B59</f>
        <v>0</v>
      </c>
      <c r="M59" s="787" t="e">
        <f>K59/$C59-1</f>
        <v>#DIV/0!</v>
      </c>
    </row>
    <row r="60" spans="1:13" s="1" customFormat="1" ht="12" hidden="1" customHeight="1" outlineLevel="1">
      <c r="A60" s="448" t="s">
        <v>164</v>
      </c>
      <c r="B60" s="551">
        <f>'Renewal Rates '!B59</f>
        <v>0</v>
      </c>
      <c r="C60" s="536">
        <f>'Renewal Rates '!C59</f>
        <v>0</v>
      </c>
      <c r="D60" s="536">
        <f>C60*$B60</f>
        <v>0</v>
      </c>
      <c r="E60" s="538">
        <f>'Renewal Rates '!H59</f>
        <v>0</v>
      </c>
      <c r="F60" s="538">
        <f>E60*$B60</f>
        <v>0</v>
      </c>
      <c r="G60" s="787" t="e">
        <f>E60/$C60-1</f>
        <v>#DIV/0!</v>
      </c>
      <c r="H60" s="536">
        <v>0</v>
      </c>
      <c r="I60" s="536">
        <f>H60*$B60</f>
        <v>0</v>
      </c>
      <c r="J60" s="790" t="e">
        <f>H60/$C60-1</f>
        <v>#DIV/0!</v>
      </c>
      <c r="K60" s="538">
        <v>0</v>
      </c>
      <c r="L60" s="538">
        <f>K60*$B60</f>
        <v>0</v>
      </c>
      <c r="M60" s="787" t="e">
        <f>K60/$C60-1</f>
        <v>#DIV/0!</v>
      </c>
    </row>
    <row r="61" spans="1:13" s="1" customFormat="1" ht="12" hidden="1" customHeight="1" outlineLevel="1">
      <c r="A61" s="499" t="str">
        <f>'Renewal Rates '!A60</f>
        <v>Class D</v>
      </c>
      <c r="B61" s="438"/>
      <c r="C61" s="536"/>
      <c r="D61" s="536"/>
      <c r="E61" s="538"/>
      <c r="F61" s="538"/>
      <c r="G61" s="787"/>
      <c r="H61" s="536"/>
      <c r="I61" s="536"/>
      <c r="J61" s="790"/>
      <c r="K61" s="538"/>
      <c r="L61" s="538"/>
      <c r="M61" s="787"/>
    </row>
    <row r="62" spans="1:13" s="1" customFormat="1" ht="12" hidden="1" customHeight="1" outlineLevel="1">
      <c r="A62" s="448" t="s">
        <v>163</v>
      </c>
      <c r="B62" s="551">
        <f>'Renewal Rates '!B61</f>
        <v>0</v>
      </c>
      <c r="C62" s="536">
        <f>'Renewal Rates '!C61</f>
        <v>0</v>
      </c>
      <c r="D62" s="536">
        <f>C62*$B62</f>
        <v>0</v>
      </c>
      <c r="E62" s="538">
        <f>'Renewal Rates '!H61</f>
        <v>0</v>
      </c>
      <c r="F62" s="538">
        <f>E62*$B62</f>
        <v>0</v>
      </c>
      <c r="G62" s="787" t="e">
        <f>E62/$C62-1</f>
        <v>#DIV/0!</v>
      </c>
      <c r="H62" s="536">
        <v>0</v>
      </c>
      <c r="I62" s="536">
        <f>H62*$B62</f>
        <v>0</v>
      </c>
      <c r="J62" s="790" t="e">
        <f>H62/$C62-1</f>
        <v>#DIV/0!</v>
      </c>
      <c r="K62" s="538">
        <v>0</v>
      </c>
      <c r="L62" s="538">
        <f>K62*$B62</f>
        <v>0</v>
      </c>
      <c r="M62" s="787" t="e">
        <f>K62/$C62-1</f>
        <v>#DIV/0!</v>
      </c>
    </row>
    <row r="63" spans="1:13" s="1" customFormat="1" ht="12" hidden="1" customHeight="1" outlineLevel="1">
      <c r="A63" s="448" t="s">
        <v>164</v>
      </c>
      <c r="B63" s="551">
        <f>'Renewal Rates '!B62</f>
        <v>0</v>
      </c>
      <c r="C63" s="536">
        <f>'Renewal Rates '!C62</f>
        <v>0</v>
      </c>
      <c r="D63" s="536">
        <f>C63*$B63</f>
        <v>0</v>
      </c>
      <c r="E63" s="538">
        <f>'Renewal Rates '!H62</f>
        <v>0</v>
      </c>
      <c r="F63" s="538">
        <f>E63*$B63</f>
        <v>0</v>
      </c>
      <c r="G63" s="787" t="e">
        <f>E63/$C63-1</f>
        <v>#DIV/0!</v>
      </c>
      <c r="H63" s="536">
        <v>0</v>
      </c>
      <c r="I63" s="536">
        <f>H63*$B63</f>
        <v>0</v>
      </c>
      <c r="J63" s="790" t="e">
        <f>H63/$C63-1</f>
        <v>#DIV/0!</v>
      </c>
      <c r="K63" s="538">
        <v>0</v>
      </c>
      <c r="L63" s="538">
        <f>K63*$B63</f>
        <v>0</v>
      </c>
      <c r="M63" s="787" t="e">
        <f>K63/$C63-1</f>
        <v>#DIV/0!</v>
      </c>
    </row>
    <row r="64" spans="1:13" s="1" customFormat="1" ht="12" customHeight="1" collapsed="1">
      <c r="A64" s="499" t="str">
        <f>'Renewal Rates '!A63</f>
        <v>All Employees</v>
      </c>
      <c r="B64" s="438"/>
      <c r="C64" s="536"/>
      <c r="D64" s="536"/>
      <c r="E64" s="538"/>
      <c r="F64" s="538"/>
      <c r="G64" s="787"/>
      <c r="H64" s="536"/>
      <c r="I64" s="536"/>
      <c r="J64" s="790"/>
      <c r="K64" s="538"/>
      <c r="L64" s="538"/>
      <c r="M64" s="787"/>
    </row>
    <row r="65" spans="1:13" s="1" customFormat="1" ht="12" customHeight="1">
      <c r="A65" s="448" t="s">
        <v>163</v>
      </c>
      <c r="B65" s="551">
        <f>'Renewal Rates '!B64</f>
        <v>0</v>
      </c>
      <c r="C65" s="536">
        <f>'Renewal Rates '!C64</f>
        <v>0</v>
      </c>
      <c r="D65" s="536">
        <f>C65*$B65</f>
        <v>0</v>
      </c>
      <c r="E65" s="538">
        <f>'Renewal Rates '!H64</f>
        <v>0</v>
      </c>
      <c r="F65" s="538">
        <f>E65*$B65</f>
        <v>0</v>
      </c>
      <c r="G65" s="787" t="e">
        <f>E65/$C65-1</f>
        <v>#DIV/0!</v>
      </c>
      <c r="H65" s="536">
        <v>0</v>
      </c>
      <c r="I65" s="536">
        <f>H65*$B65</f>
        <v>0</v>
      </c>
      <c r="J65" s="790" t="e">
        <f>H65/$C65-1</f>
        <v>#DIV/0!</v>
      </c>
      <c r="K65" s="538">
        <v>0</v>
      </c>
      <c r="L65" s="538">
        <f>K65*$B65</f>
        <v>0</v>
      </c>
      <c r="M65" s="787" t="e">
        <f>K65/$C65-1</f>
        <v>#DIV/0!</v>
      </c>
    </row>
    <row r="66" spans="1:13" s="1" customFormat="1" ht="12" customHeight="1">
      <c r="A66" s="448" t="s">
        <v>164</v>
      </c>
      <c r="B66" s="551">
        <f>'Renewal Rates '!B65</f>
        <v>0</v>
      </c>
      <c r="C66" s="536">
        <f>'Renewal Rates '!C65</f>
        <v>0</v>
      </c>
      <c r="D66" s="536">
        <f>C66*$B66</f>
        <v>0</v>
      </c>
      <c r="E66" s="538">
        <f>'Renewal Rates '!H65</f>
        <v>0</v>
      </c>
      <c r="F66" s="538">
        <f>E66*$B66</f>
        <v>0</v>
      </c>
      <c r="G66" s="787" t="e">
        <f>E66/$C66-1</f>
        <v>#DIV/0!</v>
      </c>
      <c r="H66" s="536">
        <v>0</v>
      </c>
      <c r="I66" s="536">
        <f>H66*$B66</f>
        <v>0</v>
      </c>
      <c r="J66" s="790" t="e">
        <f>H66/$C66-1</f>
        <v>#DIV/0!</v>
      </c>
      <c r="K66" s="538">
        <v>0</v>
      </c>
      <c r="L66" s="538">
        <f>K66*$B66</f>
        <v>0</v>
      </c>
      <c r="M66" s="787" t="e">
        <f>K66/$C66-1</f>
        <v>#DIV/0!</v>
      </c>
    </row>
    <row r="67" spans="1:13" s="190" customFormat="1" ht="12" customHeight="1">
      <c r="A67" s="448" t="s">
        <v>165</v>
      </c>
      <c r="B67" s="541"/>
      <c r="C67" s="542"/>
      <c r="D67" s="542">
        <f>SUM(D53:D66)</f>
        <v>0</v>
      </c>
      <c r="E67" s="542"/>
      <c r="F67" s="542">
        <f>SUM(F53:F66)</f>
        <v>0</v>
      </c>
      <c r="G67" s="788"/>
      <c r="H67" s="542"/>
      <c r="I67" s="542">
        <f>SUM(I53:I66)</f>
        <v>0</v>
      </c>
      <c r="J67" s="788"/>
      <c r="K67" s="542"/>
      <c r="L67" s="542">
        <f>SUM(L53:L66)</f>
        <v>0</v>
      </c>
      <c r="M67" s="788"/>
    </row>
    <row r="68" spans="1:13" s="1" customFormat="1" ht="12" customHeight="1">
      <c r="A68" s="448" t="s">
        <v>110</v>
      </c>
      <c r="B68" s="438"/>
      <c r="C68" s="536"/>
      <c r="D68" s="536"/>
      <c r="E68" s="538"/>
      <c r="F68" s="538"/>
      <c r="G68" s="787"/>
      <c r="H68" s="536"/>
      <c r="I68" s="536"/>
      <c r="J68" s="790"/>
      <c r="K68" s="538"/>
      <c r="L68" s="538"/>
      <c r="M68" s="787"/>
    </row>
    <row r="69" spans="1:13" s="1" customFormat="1" ht="12" hidden="1" customHeight="1" outlineLevel="1">
      <c r="A69" s="499" t="str">
        <f>'Renewal Rates '!A68</f>
        <v>Class A</v>
      </c>
      <c r="B69" s="438"/>
      <c r="C69" s="536"/>
      <c r="D69" s="536"/>
      <c r="E69" s="538"/>
      <c r="F69" s="538"/>
      <c r="G69" s="787"/>
      <c r="H69" s="536"/>
      <c r="I69" s="536"/>
      <c r="J69" s="790"/>
      <c r="K69" s="538"/>
      <c r="L69" s="538"/>
      <c r="M69" s="787"/>
    </row>
    <row r="70" spans="1:13" s="1" customFormat="1" ht="12" hidden="1" customHeight="1" outlineLevel="1">
      <c r="A70" s="448" t="s">
        <v>163</v>
      </c>
      <c r="B70" s="551">
        <f>'Renewal Rates '!B69</f>
        <v>0</v>
      </c>
      <c r="C70" s="536">
        <f>'Renewal Rates '!C69</f>
        <v>0</v>
      </c>
      <c r="D70" s="536">
        <f>C70*$B70</f>
        <v>0</v>
      </c>
      <c r="E70" s="538">
        <f>'Renewal Rates '!H69</f>
        <v>0</v>
      </c>
      <c r="F70" s="538">
        <f>E70*$B70</f>
        <v>0</v>
      </c>
      <c r="G70" s="787" t="e">
        <f>E70/$C70-1</f>
        <v>#DIV/0!</v>
      </c>
      <c r="H70" s="536">
        <v>0</v>
      </c>
      <c r="I70" s="536">
        <f>H70*$B70</f>
        <v>0</v>
      </c>
      <c r="J70" s="790" t="e">
        <f>H70/$C70-1</f>
        <v>#DIV/0!</v>
      </c>
      <c r="K70" s="538">
        <v>0</v>
      </c>
      <c r="L70" s="538">
        <f>K70*$B70</f>
        <v>0</v>
      </c>
      <c r="M70" s="787" t="e">
        <f>K70/$C70-1</f>
        <v>#DIV/0!</v>
      </c>
    </row>
    <row r="71" spans="1:13" s="1" customFormat="1" ht="12" hidden="1" customHeight="1" outlineLevel="1">
      <c r="A71" s="448" t="s">
        <v>164</v>
      </c>
      <c r="B71" s="551">
        <f>'Renewal Rates '!B70</f>
        <v>0</v>
      </c>
      <c r="C71" s="536">
        <f>'Renewal Rates '!C70</f>
        <v>0</v>
      </c>
      <c r="D71" s="536">
        <f>C71*$B71</f>
        <v>0</v>
      </c>
      <c r="E71" s="538">
        <f>'Renewal Rates '!H70</f>
        <v>0</v>
      </c>
      <c r="F71" s="538">
        <f>E71*$B71</f>
        <v>0</v>
      </c>
      <c r="G71" s="787" t="e">
        <f>E71/$C71-1</f>
        <v>#DIV/0!</v>
      </c>
      <c r="H71" s="536">
        <v>0</v>
      </c>
      <c r="I71" s="536">
        <f>H71*$B71</f>
        <v>0</v>
      </c>
      <c r="J71" s="790" t="e">
        <f>H71/$C71-1</f>
        <v>#DIV/0!</v>
      </c>
      <c r="K71" s="538">
        <v>0</v>
      </c>
      <c r="L71" s="538">
        <f>K71*$B71</f>
        <v>0</v>
      </c>
      <c r="M71" s="787" t="e">
        <f>K71/$C71-1</f>
        <v>#DIV/0!</v>
      </c>
    </row>
    <row r="72" spans="1:13" s="1" customFormat="1" ht="12" hidden="1" customHeight="1" outlineLevel="1">
      <c r="A72" s="499" t="str">
        <f>'Renewal Rates '!A71</f>
        <v>Class B</v>
      </c>
      <c r="B72" s="438"/>
      <c r="C72" s="536"/>
      <c r="D72" s="536"/>
      <c r="E72" s="538"/>
      <c r="F72" s="538"/>
      <c r="G72" s="787"/>
      <c r="H72" s="536"/>
      <c r="I72" s="536"/>
      <c r="J72" s="790"/>
      <c r="K72" s="538"/>
      <c r="L72" s="538"/>
      <c r="M72" s="787"/>
    </row>
    <row r="73" spans="1:13" s="1" customFormat="1" ht="12" hidden="1" customHeight="1" outlineLevel="1">
      <c r="A73" s="448" t="s">
        <v>163</v>
      </c>
      <c r="B73" s="551">
        <f>'Renewal Rates '!B72</f>
        <v>0</v>
      </c>
      <c r="C73" s="536">
        <f>'Renewal Rates '!C72</f>
        <v>0</v>
      </c>
      <c r="D73" s="536">
        <f>C73*$B73</f>
        <v>0</v>
      </c>
      <c r="E73" s="538">
        <f>'Renewal Rates '!H72</f>
        <v>0</v>
      </c>
      <c r="F73" s="538">
        <f>E73*$B73</f>
        <v>0</v>
      </c>
      <c r="G73" s="787" t="e">
        <f>E73/$C73-1</f>
        <v>#DIV/0!</v>
      </c>
      <c r="H73" s="536">
        <v>0</v>
      </c>
      <c r="I73" s="536">
        <f>H73*$B73</f>
        <v>0</v>
      </c>
      <c r="J73" s="790" t="e">
        <f>H73/$C73-1</f>
        <v>#DIV/0!</v>
      </c>
      <c r="K73" s="538">
        <v>0</v>
      </c>
      <c r="L73" s="538">
        <f>K73*$B73</f>
        <v>0</v>
      </c>
      <c r="M73" s="787" t="e">
        <f>K73/$C73-1</f>
        <v>#DIV/0!</v>
      </c>
    </row>
    <row r="74" spans="1:13" s="1" customFormat="1" ht="12" hidden="1" customHeight="1" outlineLevel="1">
      <c r="A74" s="448" t="s">
        <v>164</v>
      </c>
      <c r="B74" s="551">
        <f>'Renewal Rates '!B73</f>
        <v>0</v>
      </c>
      <c r="C74" s="536">
        <f>'Renewal Rates '!C73</f>
        <v>0</v>
      </c>
      <c r="D74" s="536">
        <f>C74*$B74</f>
        <v>0</v>
      </c>
      <c r="E74" s="538">
        <f>'Renewal Rates '!H73</f>
        <v>0</v>
      </c>
      <c r="F74" s="538">
        <f>E74*$B74</f>
        <v>0</v>
      </c>
      <c r="G74" s="787" t="e">
        <f>E74/$C74-1</f>
        <v>#DIV/0!</v>
      </c>
      <c r="H74" s="536">
        <v>0</v>
      </c>
      <c r="I74" s="536">
        <f>H74*$B74</f>
        <v>0</v>
      </c>
      <c r="J74" s="790" t="e">
        <f>H74/$C74-1</f>
        <v>#DIV/0!</v>
      </c>
      <c r="K74" s="538">
        <v>0</v>
      </c>
      <c r="L74" s="538">
        <f>K74*$B74</f>
        <v>0</v>
      </c>
      <c r="M74" s="787" t="e">
        <f>K74/$C74-1</f>
        <v>#DIV/0!</v>
      </c>
    </row>
    <row r="75" spans="1:13" s="1" customFormat="1" ht="12" hidden="1" customHeight="1" outlineLevel="1">
      <c r="A75" s="499" t="str">
        <f>'Renewal Rates '!A74</f>
        <v>Class C</v>
      </c>
      <c r="B75" s="438"/>
      <c r="C75" s="536"/>
      <c r="D75" s="536"/>
      <c r="E75" s="538"/>
      <c r="F75" s="538"/>
      <c r="G75" s="787"/>
      <c r="H75" s="536"/>
      <c r="I75" s="536"/>
      <c r="J75" s="790"/>
      <c r="K75" s="538"/>
      <c r="L75" s="538"/>
      <c r="M75" s="787"/>
    </row>
    <row r="76" spans="1:13" s="1" customFormat="1" ht="12" hidden="1" customHeight="1" outlineLevel="1">
      <c r="A76" s="448" t="s">
        <v>163</v>
      </c>
      <c r="B76" s="551">
        <f>'Renewal Rates '!B75</f>
        <v>0</v>
      </c>
      <c r="C76" s="536">
        <f>'Renewal Rates '!C75</f>
        <v>0</v>
      </c>
      <c r="D76" s="536">
        <f>C76*$B76</f>
        <v>0</v>
      </c>
      <c r="E76" s="538">
        <f>'Renewal Rates '!H75</f>
        <v>0</v>
      </c>
      <c r="F76" s="538">
        <f>E76*$B76</f>
        <v>0</v>
      </c>
      <c r="G76" s="787" t="e">
        <f>E76/$C76-1</f>
        <v>#DIV/0!</v>
      </c>
      <c r="H76" s="536">
        <v>0</v>
      </c>
      <c r="I76" s="536">
        <f>H76*$B76</f>
        <v>0</v>
      </c>
      <c r="J76" s="790" t="e">
        <f>H76/$C76-1</f>
        <v>#DIV/0!</v>
      </c>
      <c r="K76" s="538">
        <v>0</v>
      </c>
      <c r="L76" s="538">
        <f>K76*$B76</f>
        <v>0</v>
      </c>
      <c r="M76" s="787" t="e">
        <f>K76/$C76-1</f>
        <v>#DIV/0!</v>
      </c>
    </row>
    <row r="77" spans="1:13" s="1" customFormat="1" ht="12" hidden="1" customHeight="1" outlineLevel="1">
      <c r="A77" s="448" t="s">
        <v>164</v>
      </c>
      <c r="B77" s="551">
        <f>'Renewal Rates '!B76</f>
        <v>0</v>
      </c>
      <c r="C77" s="536">
        <f>'Renewal Rates '!C76</f>
        <v>0</v>
      </c>
      <c r="D77" s="536">
        <f>C77*$B77</f>
        <v>0</v>
      </c>
      <c r="E77" s="538">
        <f>'Renewal Rates '!H76</f>
        <v>0</v>
      </c>
      <c r="F77" s="538">
        <f>E77*$B77</f>
        <v>0</v>
      </c>
      <c r="G77" s="787" t="e">
        <f>E77/$C77-1</f>
        <v>#DIV/0!</v>
      </c>
      <c r="H77" s="536">
        <v>0</v>
      </c>
      <c r="I77" s="536">
        <f>H77*$B77</f>
        <v>0</v>
      </c>
      <c r="J77" s="790" t="e">
        <f>H77/$C77-1</f>
        <v>#DIV/0!</v>
      </c>
      <c r="K77" s="538">
        <v>0</v>
      </c>
      <c r="L77" s="538">
        <f>K77*$B77</f>
        <v>0</v>
      </c>
      <c r="M77" s="787" t="e">
        <f>K77/$C77-1</f>
        <v>#DIV/0!</v>
      </c>
    </row>
    <row r="78" spans="1:13" s="1" customFormat="1" ht="12" hidden="1" customHeight="1" outlineLevel="1">
      <c r="A78" s="499" t="str">
        <f>'Renewal Rates '!A77</f>
        <v>Class D</v>
      </c>
      <c r="B78" s="438"/>
      <c r="C78" s="536"/>
      <c r="D78" s="536"/>
      <c r="E78" s="538"/>
      <c r="F78" s="538"/>
      <c r="G78" s="787"/>
      <c r="H78" s="536"/>
      <c r="I78" s="536"/>
      <c r="J78" s="790"/>
      <c r="K78" s="538"/>
      <c r="L78" s="538"/>
      <c r="M78" s="787"/>
    </row>
    <row r="79" spans="1:13" s="1" customFormat="1" ht="12" hidden="1" customHeight="1" outlineLevel="1">
      <c r="A79" s="448" t="s">
        <v>163</v>
      </c>
      <c r="B79" s="551">
        <f>'Renewal Rates '!B78</f>
        <v>0</v>
      </c>
      <c r="C79" s="536">
        <f>'Renewal Rates '!C78</f>
        <v>0</v>
      </c>
      <c r="D79" s="536">
        <f>C79*$B79</f>
        <v>0</v>
      </c>
      <c r="E79" s="538">
        <f>'Renewal Rates '!H78</f>
        <v>0</v>
      </c>
      <c r="F79" s="538">
        <f>E79*$B79</f>
        <v>0</v>
      </c>
      <c r="G79" s="787" t="e">
        <f>E79/$C79-1</f>
        <v>#DIV/0!</v>
      </c>
      <c r="H79" s="536">
        <v>0</v>
      </c>
      <c r="I79" s="536">
        <f>H79*$B79</f>
        <v>0</v>
      </c>
      <c r="J79" s="790" t="e">
        <f>H79/$C79-1</f>
        <v>#DIV/0!</v>
      </c>
      <c r="K79" s="538">
        <v>0</v>
      </c>
      <c r="L79" s="538">
        <f>K79*$B79</f>
        <v>0</v>
      </c>
      <c r="M79" s="787" t="e">
        <f>K79/$C79-1</f>
        <v>#DIV/0!</v>
      </c>
    </row>
    <row r="80" spans="1:13" s="1" customFormat="1" ht="12" hidden="1" customHeight="1" outlineLevel="1">
      <c r="A80" s="448" t="s">
        <v>164</v>
      </c>
      <c r="B80" s="551">
        <f>'Renewal Rates '!B79</f>
        <v>0</v>
      </c>
      <c r="C80" s="536">
        <f>'Renewal Rates '!C79</f>
        <v>0</v>
      </c>
      <c r="D80" s="536">
        <f>C80*$B80</f>
        <v>0</v>
      </c>
      <c r="E80" s="538">
        <f>'Renewal Rates '!H79</f>
        <v>0</v>
      </c>
      <c r="F80" s="538">
        <f>E80*$B80</f>
        <v>0</v>
      </c>
      <c r="G80" s="787" t="e">
        <f>E80/$C80-1</f>
        <v>#DIV/0!</v>
      </c>
      <c r="H80" s="536">
        <v>0</v>
      </c>
      <c r="I80" s="536">
        <f>H80*$B80</f>
        <v>0</v>
      </c>
      <c r="J80" s="790" t="e">
        <f>H80/$C80-1</f>
        <v>#DIV/0!</v>
      </c>
      <c r="K80" s="538">
        <v>0</v>
      </c>
      <c r="L80" s="538">
        <f>K80*$B80</f>
        <v>0</v>
      </c>
      <c r="M80" s="787" t="e">
        <f>K80/$C80-1</f>
        <v>#DIV/0!</v>
      </c>
    </row>
    <row r="81" spans="1:13" s="1" customFormat="1" ht="12" customHeight="1" collapsed="1">
      <c r="A81" s="499" t="str">
        <f>'Renewal Rates '!A80</f>
        <v>All Employees</v>
      </c>
      <c r="B81" s="438"/>
      <c r="C81" s="536"/>
      <c r="D81" s="536"/>
      <c r="E81" s="538"/>
      <c r="F81" s="538"/>
      <c r="G81" s="787"/>
      <c r="H81" s="536"/>
      <c r="I81" s="536"/>
      <c r="J81" s="790"/>
      <c r="K81" s="538"/>
      <c r="L81" s="538"/>
      <c r="M81" s="787"/>
    </row>
    <row r="82" spans="1:13" s="1" customFormat="1" ht="12" customHeight="1">
      <c r="A82" s="448" t="s">
        <v>163</v>
      </c>
      <c r="B82" s="551">
        <f>'Renewal Rates '!B81</f>
        <v>0</v>
      </c>
      <c r="C82" s="536">
        <f>'Renewal Rates '!C81</f>
        <v>0</v>
      </c>
      <c r="D82" s="536">
        <f>C82*$B82</f>
        <v>0</v>
      </c>
      <c r="E82" s="538">
        <f>'Renewal Rates '!H81</f>
        <v>0</v>
      </c>
      <c r="F82" s="538">
        <f>E82*$B82</f>
        <v>0</v>
      </c>
      <c r="G82" s="787" t="e">
        <f>E82/$C82-1</f>
        <v>#DIV/0!</v>
      </c>
      <c r="H82" s="536">
        <v>0</v>
      </c>
      <c r="I82" s="536">
        <f>H82*$B82</f>
        <v>0</v>
      </c>
      <c r="J82" s="790" t="e">
        <f>H82/$C82-1</f>
        <v>#DIV/0!</v>
      </c>
      <c r="K82" s="538">
        <v>0</v>
      </c>
      <c r="L82" s="538">
        <f>K82*$B82</f>
        <v>0</v>
      </c>
      <c r="M82" s="787" t="e">
        <f>K82/$C82-1</f>
        <v>#DIV/0!</v>
      </c>
    </row>
    <row r="83" spans="1:13" s="1" customFormat="1" ht="12" customHeight="1">
      <c r="A83" s="448" t="s">
        <v>164</v>
      </c>
      <c r="B83" s="551">
        <f>'Renewal Rates '!B82</f>
        <v>0</v>
      </c>
      <c r="C83" s="536">
        <f>'Renewal Rates '!C82</f>
        <v>0</v>
      </c>
      <c r="D83" s="536">
        <f>C83*$B83</f>
        <v>0</v>
      </c>
      <c r="E83" s="538">
        <f>'Renewal Rates '!H82</f>
        <v>0</v>
      </c>
      <c r="F83" s="538">
        <f>E83*$B83</f>
        <v>0</v>
      </c>
      <c r="G83" s="787" t="e">
        <f>E83/$C83-1</f>
        <v>#DIV/0!</v>
      </c>
      <c r="H83" s="536">
        <v>0</v>
      </c>
      <c r="I83" s="536">
        <f>H83*$B83</f>
        <v>0</v>
      </c>
      <c r="J83" s="790" t="e">
        <f>H83/$C83-1</f>
        <v>#DIV/0!</v>
      </c>
      <c r="K83" s="538">
        <v>0</v>
      </c>
      <c r="L83" s="538">
        <f>K83*$B83</f>
        <v>0</v>
      </c>
      <c r="M83" s="787" t="e">
        <f>K83/$C83-1</f>
        <v>#DIV/0!</v>
      </c>
    </row>
    <row r="84" spans="1:13" s="190" customFormat="1" ht="12" customHeight="1">
      <c r="A84" s="448" t="s">
        <v>300</v>
      </c>
      <c r="B84" s="541"/>
      <c r="C84" s="542"/>
      <c r="D84" s="542">
        <f>SUM(D70:D83)</f>
        <v>0</v>
      </c>
      <c r="E84" s="542"/>
      <c r="F84" s="542">
        <f>SUM(F70:F83)</f>
        <v>0</v>
      </c>
      <c r="G84" s="788"/>
      <c r="H84" s="542"/>
      <c r="I84" s="542">
        <f>SUM(I70:I83)</f>
        <v>0</v>
      </c>
      <c r="J84" s="788"/>
      <c r="K84" s="542"/>
      <c r="L84" s="542">
        <f>SUM(L70:L83)</f>
        <v>0</v>
      </c>
      <c r="M84" s="788"/>
    </row>
    <row r="85" spans="1:13" s="1" customFormat="1" ht="12" customHeight="1">
      <c r="A85" s="448" t="s">
        <v>43</v>
      </c>
      <c r="B85" s="438"/>
      <c r="C85" s="536"/>
      <c r="D85" s="536"/>
      <c r="E85" s="538"/>
      <c r="F85" s="538"/>
      <c r="G85" s="787"/>
      <c r="H85" s="536"/>
      <c r="I85" s="536"/>
      <c r="J85" s="790"/>
      <c r="K85" s="538"/>
      <c r="L85" s="538"/>
      <c r="M85" s="787"/>
    </row>
    <row r="86" spans="1:13" s="1" customFormat="1" ht="12" hidden="1" customHeight="1" outlineLevel="1" thickBot="1">
      <c r="A86" s="499" t="str">
        <f>'Renewal Rates '!A85</f>
        <v>Class A</v>
      </c>
      <c r="B86" s="438"/>
      <c r="C86" s="536"/>
      <c r="D86" s="536"/>
      <c r="E86" s="538"/>
      <c r="F86" s="538"/>
      <c r="G86" s="787"/>
      <c r="H86" s="536"/>
      <c r="I86" s="536"/>
      <c r="J86" s="790"/>
      <c r="K86" s="538"/>
      <c r="L86" s="538"/>
      <c r="M86" s="787"/>
    </row>
    <row r="87" spans="1:13" s="1" customFormat="1" ht="12" hidden="1" customHeight="1" outlineLevel="1" thickBot="1">
      <c r="A87" s="448" t="s">
        <v>163</v>
      </c>
      <c r="B87" s="551">
        <f>'Renewal Rates '!B86</f>
        <v>0</v>
      </c>
      <c r="C87" s="536">
        <f>'Renewal Rates '!C86</f>
        <v>0</v>
      </c>
      <c r="D87" s="536">
        <f>C87*$B87</f>
        <v>0</v>
      </c>
      <c r="E87" s="538">
        <f>'Renewal Rates '!H86</f>
        <v>0</v>
      </c>
      <c r="F87" s="538">
        <f>E87*$B87</f>
        <v>0</v>
      </c>
      <c r="G87" s="787" t="e">
        <f>E87/$C87-1</f>
        <v>#DIV/0!</v>
      </c>
      <c r="H87" s="536">
        <v>0</v>
      </c>
      <c r="I87" s="536">
        <f>H87*$B87</f>
        <v>0</v>
      </c>
      <c r="J87" s="790" t="e">
        <f>H87/$C87-1</f>
        <v>#DIV/0!</v>
      </c>
      <c r="K87" s="538">
        <v>0</v>
      </c>
      <c r="L87" s="538">
        <f>K87*$B87</f>
        <v>0</v>
      </c>
      <c r="M87" s="787" t="e">
        <f>K87/$C87-1</f>
        <v>#DIV/0!</v>
      </c>
    </row>
    <row r="88" spans="1:13" s="1" customFormat="1" ht="12" hidden="1" customHeight="1" outlineLevel="1" thickBot="1">
      <c r="A88" s="448" t="s">
        <v>164</v>
      </c>
      <c r="B88" s="551">
        <f>'Renewal Rates '!B87</f>
        <v>0</v>
      </c>
      <c r="C88" s="536">
        <f>'Renewal Rates '!C87</f>
        <v>0</v>
      </c>
      <c r="D88" s="536">
        <f>C88*$B88</f>
        <v>0</v>
      </c>
      <c r="E88" s="538">
        <f>'Renewal Rates '!H87</f>
        <v>0</v>
      </c>
      <c r="F88" s="538">
        <f>E88*$B88</f>
        <v>0</v>
      </c>
      <c r="G88" s="787" t="e">
        <f>E88/$C88-1</f>
        <v>#DIV/0!</v>
      </c>
      <c r="H88" s="536">
        <v>0</v>
      </c>
      <c r="I88" s="536">
        <f>H88*$B88</f>
        <v>0</v>
      </c>
      <c r="J88" s="790" t="e">
        <f>H88/$C88-1</f>
        <v>#DIV/0!</v>
      </c>
      <c r="K88" s="538">
        <v>0</v>
      </c>
      <c r="L88" s="538">
        <f>K88*$B88</f>
        <v>0</v>
      </c>
      <c r="M88" s="787" t="e">
        <f>K88/$C88-1</f>
        <v>#DIV/0!</v>
      </c>
    </row>
    <row r="89" spans="1:13" s="1" customFormat="1" ht="12" hidden="1" customHeight="1" outlineLevel="1" thickBot="1">
      <c r="A89" s="499" t="str">
        <f>'Renewal Rates '!A88</f>
        <v>Class B</v>
      </c>
      <c r="B89" s="564"/>
      <c r="C89" s="536"/>
      <c r="D89" s="536"/>
      <c r="E89" s="538"/>
      <c r="F89" s="538"/>
      <c r="G89" s="787"/>
      <c r="H89" s="536"/>
      <c r="I89" s="536"/>
      <c r="J89" s="790"/>
      <c r="K89" s="538"/>
      <c r="L89" s="538"/>
      <c r="M89" s="787"/>
    </row>
    <row r="90" spans="1:13" s="1" customFormat="1" ht="12" hidden="1" customHeight="1" outlineLevel="1" thickBot="1">
      <c r="A90" s="448" t="s">
        <v>163</v>
      </c>
      <c r="B90" s="551">
        <f>'Renewal Rates '!B89</f>
        <v>0</v>
      </c>
      <c r="C90" s="536">
        <f>'Renewal Rates '!C89</f>
        <v>0</v>
      </c>
      <c r="D90" s="536">
        <f>C90*$B90</f>
        <v>0</v>
      </c>
      <c r="E90" s="538">
        <f>'Renewal Rates '!H89</f>
        <v>0</v>
      </c>
      <c r="F90" s="538">
        <f>E90*$B90</f>
        <v>0</v>
      </c>
      <c r="G90" s="787" t="e">
        <f>E90/$C90-1</f>
        <v>#DIV/0!</v>
      </c>
      <c r="H90" s="536">
        <v>0</v>
      </c>
      <c r="I90" s="536">
        <f>H90*$B90</f>
        <v>0</v>
      </c>
      <c r="J90" s="790" t="e">
        <f>H90/$C90-1</f>
        <v>#DIV/0!</v>
      </c>
      <c r="K90" s="538">
        <v>0</v>
      </c>
      <c r="L90" s="538">
        <f>K90*$B90</f>
        <v>0</v>
      </c>
      <c r="M90" s="787" t="e">
        <f>K90/$C90-1</f>
        <v>#DIV/0!</v>
      </c>
    </row>
    <row r="91" spans="1:13" s="1" customFormat="1" ht="12" hidden="1" customHeight="1" outlineLevel="1" thickBot="1">
      <c r="A91" s="448" t="s">
        <v>164</v>
      </c>
      <c r="B91" s="551">
        <f>'Renewal Rates '!B90</f>
        <v>0</v>
      </c>
      <c r="C91" s="536">
        <f>'Renewal Rates '!C90</f>
        <v>0</v>
      </c>
      <c r="D91" s="536">
        <f>C91*$B91</f>
        <v>0</v>
      </c>
      <c r="E91" s="538">
        <f>'Renewal Rates '!H90</f>
        <v>0</v>
      </c>
      <c r="F91" s="538">
        <f>E91*$B91</f>
        <v>0</v>
      </c>
      <c r="G91" s="787" t="e">
        <f>E91/$C91-1</f>
        <v>#DIV/0!</v>
      </c>
      <c r="H91" s="536">
        <v>0</v>
      </c>
      <c r="I91" s="536">
        <f>H91*$B91</f>
        <v>0</v>
      </c>
      <c r="J91" s="790" t="e">
        <f>H91/$C91-1</f>
        <v>#DIV/0!</v>
      </c>
      <c r="K91" s="538">
        <v>0</v>
      </c>
      <c r="L91" s="538">
        <f>K91*$B91</f>
        <v>0</v>
      </c>
      <c r="M91" s="787" t="e">
        <f>K91/$C91-1</f>
        <v>#DIV/0!</v>
      </c>
    </row>
    <row r="92" spans="1:13" s="1" customFormat="1" ht="12" hidden="1" customHeight="1" outlineLevel="1" thickBot="1">
      <c r="A92" s="499" t="str">
        <f>'Renewal Rates '!A91</f>
        <v>Class C</v>
      </c>
      <c r="B92" s="564"/>
      <c r="C92" s="536"/>
      <c r="D92" s="536"/>
      <c r="E92" s="538"/>
      <c r="F92" s="538"/>
      <c r="G92" s="787"/>
      <c r="H92" s="536"/>
      <c r="I92" s="536"/>
      <c r="J92" s="790"/>
      <c r="K92" s="538"/>
      <c r="L92" s="538"/>
      <c r="M92" s="787"/>
    </row>
    <row r="93" spans="1:13" s="1" customFormat="1" ht="12" hidden="1" customHeight="1" outlineLevel="1" thickBot="1">
      <c r="A93" s="448" t="s">
        <v>163</v>
      </c>
      <c r="B93" s="551">
        <f>'Renewal Rates '!B92</f>
        <v>0</v>
      </c>
      <c r="C93" s="536">
        <f>'Renewal Rates '!C92</f>
        <v>0</v>
      </c>
      <c r="D93" s="536">
        <f>C93*$B93</f>
        <v>0</v>
      </c>
      <c r="E93" s="538">
        <f>'Renewal Rates '!H92</f>
        <v>0</v>
      </c>
      <c r="F93" s="538">
        <f>E93*$B93</f>
        <v>0</v>
      </c>
      <c r="G93" s="787" t="e">
        <f>E93/$C93-1</f>
        <v>#DIV/0!</v>
      </c>
      <c r="H93" s="536">
        <v>0</v>
      </c>
      <c r="I93" s="536">
        <f>H93*$B93</f>
        <v>0</v>
      </c>
      <c r="J93" s="790" t="e">
        <f>H93/$C93-1</f>
        <v>#DIV/0!</v>
      </c>
      <c r="K93" s="538">
        <v>0</v>
      </c>
      <c r="L93" s="538">
        <f>K93*$B93</f>
        <v>0</v>
      </c>
      <c r="M93" s="787" t="e">
        <f>K93/$C93-1</f>
        <v>#DIV/0!</v>
      </c>
    </row>
    <row r="94" spans="1:13" s="1" customFormat="1" ht="12" hidden="1" customHeight="1" outlineLevel="1" thickBot="1">
      <c r="A94" s="448" t="s">
        <v>164</v>
      </c>
      <c r="B94" s="551">
        <f>'Renewal Rates '!B93</f>
        <v>0</v>
      </c>
      <c r="C94" s="536">
        <f>'Renewal Rates '!C93</f>
        <v>0</v>
      </c>
      <c r="D94" s="536">
        <f>C94*$B94</f>
        <v>0</v>
      </c>
      <c r="E94" s="538">
        <f>'Renewal Rates '!H93</f>
        <v>0</v>
      </c>
      <c r="F94" s="538">
        <f>E94*$B94</f>
        <v>0</v>
      </c>
      <c r="G94" s="787" t="e">
        <f>E94/$C94-1</f>
        <v>#DIV/0!</v>
      </c>
      <c r="H94" s="536">
        <v>0</v>
      </c>
      <c r="I94" s="536">
        <f>H94*$B94</f>
        <v>0</v>
      </c>
      <c r="J94" s="790" t="e">
        <f>H94/$C94-1</f>
        <v>#DIV/0!</v>
      </c>
      <c r="K94" s="538">
        <v>0</v>
      </c>
      <c r="L94" s="538">
        <f>K94*$B94</f>
        <v>0</v>
      </c>
      <c r="M94" s="787" t="e">
        <f>K94/$C94-1</f>
        <v>#DIV/0!</v>
      </c>
    </row>
    <row r="95" spans="1:13" s="1" customFormat="1" ht="12" hidden="1" customHeight="1" outlineLevel="1" thickBot="1">
      <c r="A95" s="499" t="str">
        <f>'Renewal Rates '!A94</f>
        <v>Class D</v>
      </c>
      <c r="B95" s="564"/>
      <c r="C95" s="536"/>
      <c r="D95" s="536"/>
      <c r="E95" s="538"/>
      <c r="F95" s="538"/>
      <c r="G95" s="787"/>
      <c r="H95" s="536"/>
      <c r="I95" s="536"/>
      <c r="J95" s="790"/>
      <c r="K95" s="538"/>
      <c r="L95" s="538"/>
      <c r="M95" s="787"/>
    </row>
    <row r="96" spans="1:13" s="1" customFormat="1" ht="12" hidden="1" customHeight="1" outlineLevel="1" thickBot="1">
      <c r="A96" s="448" t="s">
        <v>163</v>
      </c>
      <c r="B96" s="551">
        <f>'Renewal Rates '!B95</f>
        <v>0</v>
      </c>
      <c r="C96" s="536">
        <f>'Renewal Rates '!C95</f>
        <v>0</v>
      </c>
      <c r="D96" s="536">
        <f>C96*$B96</f>
        <v>0</v>
      </c>
      <c r="E96" s="538">
        <f>'Renewal Rates '!H95</f>
        <v>0</v>
      </c>
      <c r="F96" s="538">
        <f>E96*$B96</f>
        <v>0</v>
      </c>
      <c r="G96" s="787" t="e">
        <f>E96/$C96-1</f>
        <v>#DIV/0!</v>
      </c>
      <c r="H96" s="536">
        <v>0</v>
      </c>
      <c r="I96" s="536">
        <f>H96*$B96</f>
        <v>0</v>
      </c>
      <c r="J96" s="790" t="e">
        <f>H96/$C96-1</f>
        <v>#DIV/0!</v>
      </c>
      <c r="K96" s="538">
        <v>0</v>
      </c>
      <c r="L96" s="538">
        <f>K96*$B96</f>
        <v>0</v>
      </c>
      <c r="M96" s="787" t="e">
        <f>K96/$C96-1</f>
        <v>#DIV/0!</v>
      </c>
    </row>
    <row r="97" spans="1:13" s="1" customFormat="1" ht="12" hidden="1" customHeight="1" outlineLevel="1" thickBot="1">
      <c r="A97" s="448" t="s">
        <v>164</v>
      </c>
      <c r="B97" s="551">
        <f>'Renewal Rates '!B96</f>
        <v>0</v>
      </c>
      <c r="C97" s="536">
        <f>'Renewal Rates '!C96</f>
        <v>0</v>
      </c>
      <c r="D97" s="536">
        <f>C97*$B97</f>
        <v>0</v>
      </c>
      <c r="E97" s="538">
        <f>'Renewal Rates '!H96</f>
        <v>0</v>
      </c>
      <c r="F97" s="538">
        <f>E97*$B97</f>
        <v>0</v>
      </c>
      <c r="G97" s="787" t="e">
        <f>E97/$C97-1</f>
        <v>#DIV/0!</v>
      </c>
      <c r="H97" s="536">
        <v>0</v>
      </c>
      <c r="I97" s="536">
        <f>H97*$B97</f>
        <v>0</v>
      </c>
      <c r="J97" s="790" t="e">
        <f>H97/$C97-1</f>
        <v>#DIV/0!</v>
      </c>
      <c r="K97" s="538">
        <v>0</v>
      </c>
      <c r="L97" s="538">
        <f>K97*$B97</f>
        <v>0</v>
      </c>
      <c r="M97" s="787" t="e">
        <f>K97/$C97-1</f>
        <v>#DIV/0!</v>
      </c>
    </row>
    <row r="98" spans="1:13" s="1" customFormat="1" ht="12" customHeight="1" collapsed="1">
      <c r="A98" s="499" t="str">
        <f>'Renewal Rates '!A97</f>
        <v>All Employees</v>
      </c>
      <c r="B98" s="564"/>
      <c r="C98" s="536"/>
      <c r="D98" s="536"/>
      <c r="E98" s="538"/>
      <c r="F98" s="538"/>
      <c r="G98" s="787"/>
      <c r="H98" s="536"/>
      <c r="I98" s="536"/>
      <c r="J98" s="790"/>
      <c r="K98" s="538"/>
      <c r="L98" s="538"/>
      <c r="M98" s="787"/>
    </row>
    <row r="99" spans="1:13" s="1" customFormat="1" ht="12" customHeight="1">
      <c r="A99" s="448" t="s">
        <v>163</v>
      </c>
      <c r="B99" s="551">
        <f>'Renewal Rates '!B98</f>
        <v>0</v>
      </c>
      <c r="C99" s="536">
        <f>'Renewal Rates '!C98</f>
        <v>0</v>
      </c>
      <c r="D99" s="536">
        <f>C99*$B99</f>
        <v>0</v>
      </c>
      <c r="E99" s="538">
        <f>'Renewal Rates '!H98</f>
        <v>0</v>
      </c>
      <c r="F99" s="538">
        <f>E99*$B99</f>
        <v>0</v>
      </c>
      <c r="G99" s="787" t="e">
        <f>E99/$C99-1</f>
        <v>#DIV/0!</v>
      </c>
      <c r="H99" s="536">
        <v>0</v>
      </c>
      <c r="I99" s="536">
        <f>H99*$B99</f>
        <v>0</v>
      </c>
      <c r="J99" s="790" t="e">
        <f>H99/$C99-1</f>
        <v>#DIV/0!</v>
      </c>
      <c r="K99" s="538">
        <v>0</v>
      </c>
      <c r="L99" s="538">
        <f>K99*$B99</f>
        <v>0</v>
      </c>
      <c r="M99" s="787" t="e">
        <f>K99/$C99-1</f>
        <v>#DIV/0!</v>
      </c>
    </row>
    <row r="100" spans="1:13" s="1" customFormat="1" ht="12" customHeight="1">
      <c r="A100" s="448" t="s">
        <v>164</v>
      </c>
      <c r="B100" s="551">
        <f>'Renewal Rates '!B99</f>
        <v>0</v>
      </c>
      <c r="C100" s="536">
        <f>'Renewal Rates '!C99</f>
        <v>0</v>
      </c>
      <c r="D100" s="536">
        <f>C100*$B100</f>
        <v>0</v>
      </c>
      <c r="E100" s="538">
        <f>'Renewal Rates '!H99</f>
        <v>0</v>
      </c>
      <c r="F100" s="538">
        <f>E100*$B100</f>
        <v>0</v>
      </c>
      <c r="G100" s="787" t="e">
        <f>E100/$C100-1</f>
        <v>#DIV/0!</v>
      </c>
      <c r="H100" s="536">
        <v>0</v>
      </c>
      <c r="I100" s="536">
        <f>H100*$B100</f>
        <v>0</v>
      </c>
      <c r="J100" s="790" t="e">
        <f>H100/$C100-1</f>
        <v>#DIV/0!</v>
      </c>
      <c r="K100" s="538">
        <v>0</v>
      </c>
      <c r="L100" s="538">
        <f>K100*$B100</f>
        <v>0</v>
      </c>
      <c r="M100" s="787" t="e">
        <f>K100/$C100-1</f>
        <v>#DIV/0!</v>
      </c>
    </row>
    <row r="101" spans="1:13" s="190" customFormat="1" ht="12" customHeight="1">
      <c r="A101" s="448" t="s">
        <v>684</v>
      </c>
      <c r="B101" s="541"/>
      <c r="C101" s="542"/>
      <c r="D101" s="542">
        <f>SUM(D87:D100)</f>
        <v>0</v>
      </c>
      <c r="E101" s="542"/>
      <c r="F101" s="542">
        <f>SUM(F87:F100)</f>
        <v>0</v>
      </c>
      <c r="G101" s="788"/>
      <c r="H101" s="542"/>
      <c r="I101" s="542">
        <f>SUM(I87:I100)</f>
        <v>0</v>
      </c>
      <c r="J101" s="788"/>
      <c r="K101" s="542"/>
      <c r="L101" s="542">
        <f>SUM(L87:L100)</f>
        <v>0</v>
      </c>
      <c r="M101" s="788"/>
    </row>
    <row r="102" spans="1:13" s="1" customFormat="1" ht="12" customHeight="1">
      <c r="A102" s="448" t="s">
        <v>432</v>
      </c>
      <c r="B102" s="438"/>
      <c r="C102" s="536"/>
      <c r="D102" s="536"/>
      <c r="E102" s="538"/>
      <c r="F102" s="538"/>
      <c r="G102" s="787"/>
      <c r="H102" s="536"/>
      <c r="I102" s="536"/>
      <c r="J102" s="790"/>
      <c r="K102" s="538"/>
      <c r="L102" s="538"/>
      <c r="M102" s="787"/>
    </row>
    <row r="103" spans="1:13" s="1" customFormat="1" ht="12" hidden="1" customHeight="1" outlineLevel="1">
      <c r="A103" s="499" t="str">
        <f>'Renewal Rates '!A102</f>
        <v>Class A</v>
      </c>
      <c r="B103" s="438"/>
      <c r="C103" s="536"/>
      <c r="D103" s="536"/>
      <c r="E103" s="538"/>
      <c r="F103" s="538"/>
      <c r="G103" s="787"/>
      <c r="H103" s="536"/>
      <c r="I103" s="536"/>
      <c r="J103" s="790"/>
      <c r="K103" s="538"/>
      <c r="L103" s="538"/>
      <c r="M103" s="787"/>
    </row>
    <row r="104" spans="1:13" s="1" customFormat="1" ht="12" hidden="1" customHeight="1" outlineLevel="1">
      <c r="A104" s="448" t="s">
        <v>163</v>
      </c>
      <c r="B104" s="551">
        <f>'Renewal Rates '!B103</f>
        <v>0</v>
      </c>
      <c r="C104" s="536">
        <f>'Renewal Rates '!C103</f>
        <v>0</v>
      </c>
      <c r="D104" s="536">
        <f>C104*$B104</f>
        <v>0</v>
      </c>
      <c r="E104" s="538">
        <f>'Renewal Rates '!H103</f>
        <v>0</v>
      </c>
      <c r="F104" s="538">
        <f>E104*$B104</f>
        <v>0</v>
      </c>
      <c r="G104" s="787" t="e">
        <f>E104/$C104-1</f>
        <v>#DIV/0!</v>
      </c>
      <c r="H104" s="536">
        <v>0</v>
      </c>
      <c r="I104" s="536">
        <f>H104*$B104</f>
        <v>0</v>
      </c>
      <c r="J104" s="790" t="e">
        <f>H104/$C104-1</f>
        <v>#DIV/0!</v>
      </c>
      <c r="K104" s="538">
        <v>0</v>
      </c>
      <c r="L104" s="538">
        <f>K104*$B104</f>
        <v>0</v>
      </c>
      <c r="M104" s="787" t="e">
        <f>K104/$C104-1</f>
        <v>#DIV/0!</v>
      </c>
    </row>
    <row r="105" spans="1:13" s="1" customFormat="1" ht="12" hidden="1" customHeight="1" outlineLevel="1">
      <c r="A105" s="448" t="s">
        <v>164</v>
      </c>
      <c r="B105" s="551">
        <f>'Renewal Rates '!B104</f>
        <v>0</v>
      </c>
      <c r="C105" s="536">
        <f>'Renewal Rates '!C104</f>
        <v>0</v>
      </c>
      <c r="D105" s="536">
        <f>C105*$B105</f>
        <v>0</v>
      </c>
      <c r="E105" s="538">
        <f>'Renewal Rates '!H104</f>
        <v>0</v>
      </c>
      <c r="F105" s="538">
        <f>E105*$B105</f>
        <v>0</v>
      </c>
      <c r="G105" s="787" t="e">
        <f>E105/$C105-1</f>
        <v>#DIV/0!</v>
      </c>
      <c r="H105" s="536">
        <v>0</v>
      </c>
      <c r="I105" s="536">
        <f>H105*$B105</f>
        <v>0</v>
      </c>
      <c r="J105" s="790" t="e">
        <f>H105/$C105-1</f>
        <v>#DIV/0!</v>
      </c>
      <c r="K105" s="538">
        <v>0</v>
      </c>
      <c r="L105" s="538">
        <f>K105*$B105</f>
        <v>0</v>
      </c>
      <c r="M105" s="787" t="e">
        <f>K105/$C105-1</f>
        <v>#DIV/0!</v>
      </c>
    </row>
    <row r="106" spans="1:13" s="1" customFormat="1" ht="12" hidden="1" customHeight="1" outlineLevel="1">
      <c r="A106" s="499" t="str">
        <f>'Renewal Rates '!A105</f>
        <v>Class B</v>
      </c>
      <c r="B106" s="564"/>
      <c r="C106" s="536"/>
      <c r="D106" s="536"/>
      <c r="E106" s="538"/>
      <c r="F106" s="538"/>
      <c r="G106" s="787"/>
      <c r="H106" s="536"/>
      <c r="I106" s="536"/>
      <c r="J106" s="790"/>
      <c r="K106" s="538"/>
      <c r="L106" s="538"/>
      <c r="M106" s="787"/>
    </row>
    <row r="107" spans="1:13" s="1" customFormat="1" ht="12" hidden="1" customHeight="1" outlineLevel="1">
      <c r="A107" s="448" t="s">
        <v>163</v>
      </c>
      <c r="B107" s="551">
        <f>'Renewal Rates '!B106</f>
        <v>0</v>
      </c>
      <c r="C107" s="536">
        <f>'Renewal Rates '!C106</f>
        <v>0</v>
      </c>
      <c r="D107" s="536">
        <f>C107*$B107</f>
        <v>0</v>
      </c>
      <c r="E107" s="538">
        <f>'Renewal Rates '!H106</f>
        <v>0</v>
      </c>
      <c r="F107" s="538">
        <f>E107*$B107</f>
        <v>0</v>
      </c>
      <c r="G107" s="787" t="e">
        <f>E107/$C107-1</f>
        <v>#DIV/0!</v>
      </c>
      <c r="H107" s="536">
        <v>0</v>
      </c>
      <c r="I107" s="536">
        <f>H107*$B107</f>
        <v>0</v>
      </c>
      <c r="J107" s="790" t="e">
        <f>H107/$C107-1</f>
        <v>#DIV/0!</v>
      </c>
      <c r="K107" s="538">
        <v>0</v>
      </c>
      <c r="L107" s="538">
        <f>K107*$B107</f>
        <v>0</v>
      </c>
      <c r="M107" s="787" t="e">
        <f>K107/$C107-1</f>
        <v>#DIV/0!</v>
      </c>
    </row>
    <row r="108" spans="1:13" s="1" customFormat="1" ht="12" hidden="1" customHeight="1" outlineLevel="1">
      <c r="A108" s="448" t="s">
        <v>164</v>
      </c>
      <c r="B108" s="551">
        <f>'Renewal Rates '!B107</f>
        <v>0</v>
      </c>
      <c r="C108" s="536">
        <f>'Renewal Rates '!C107</f>
        <v>0</v>
      </c>
      <c r="D108" s="536">
        <f>C108*$B108</f>
        <v>0</v>
      </c>
      <c r="E108" s="538">
        <f>'Renewal Rates '!H107</f>
        <v>0</v>
      </c>
      <c r="F108" s="538">
        <f>E108*$B108</f>
        <v>0</v>
      </c>
      <c r="G108" s="787" t="e">
        <f>E108/$C108-1</f>
        <v>#DIV/0!</v>
      </c>
      <c r="H108" s="536">
        <v>0</v>
      </c>
      <c r="I108" s="536">
        <f>H108*$B108</f>
        <v>0</v>
      </c>
      <c r="J108" s="790" t="e">
        <f>H108/$C108-1</f>
        <v>#DIV/0!</v>
      </c>
      <c r="K108" s="538">
        <v>0</v>
      </c>
      <c r="L108" s="538">
        <f>K108*$B108</f>
        <v>0</v>
      </c>
      <c r="M108" s="787" t="e">
        <f>K108/$C108-1</f>
        <v>#DIV/0!</v>
      </c>
    </row>
    <row r="109" spans="1:13" s="1" customFormat="1" ht="12" hidden="1" customHeight="1" outlineLevel="1">
      <c r="A109" s="499" t="str">
        <f>'Renewal Rates '!A108</f>
        <v>Class C</v>
      </c>
      <c r="B109" s="564"/>
      <c r="C109" s="536"/>
      <c r="D109" s="536"/>
      <c r="E109" s="538"/>
      <c r="F109" s="538"/>
      <c r="G109" s="787"/>
      <c r="H109" s="536"/>
      <c r="I109" s="536"/>
      <c r="J109" s="790"/>
      <c r="K109" s="538"/>
      <c r="L109" s="538"/>
      <c r="M109" s="787"/>
    </row>
    <row r="110" spans="1:13" s="1" customFormat="1" ht="12" hidden="1" customHeight="1" outlineLevel="1">
      <c r="A110" s="448" t="s">
        <v>163</v>
      </c>
      <c r="B110" s="551">
        <f>'Renewal Rates '!B109</f>
        <v>0</v>
      </c>
      <c r="C110" s="536">
        <f>'Renewal Rates '!C109</f>
        <v>0</v>
      </c>
      <c r="D110" s="536">
        <f>C110*$B110</f>
        <v>0</v>
      </c>
      <c r="E110" s="538">
        <f>'Renewal Rates '!H109</f>
        <v>0</v>
      </c>
      <c r="F110" s="538">
        <f>E110*$B110</f>
        <v>0</v>
      </c>
      <c r="G110" s="787" t="e">
        <f>E110/$C110-1</f>
        <v>#DIV/0!</v>
      </c>
      <c r="H110" s="536">
        <v>0</v>
      </c>
      <c r="I110" s="536">
        <f>H110*$B110</f>
        <v>0</v>
      </c>
      <c r="J110" s="790" t="e">
        <f>H110/$C110-1</f>
        <v>#DIV/0!</v>
      </c>
      <c r="K110" s="538">
        <v>0</v>
      </c>
      <c r="L110" s="538">
        <f>K110*$B110</f>
        <v>0</v>
      </c>
      <c r="M110" s="787" t="e">
        <f>K110/$C110-1</f>
        <v>#DIV/0!</v>
      </c>
    </row>
    <row r="111" spans="1:13" s="1" customFormat="1" ht="12" hidden="1" customHeight="1" outlineLevel="1">
      <c r="A111" s="448" t="s">
        <v>164</v>
      </c>
      <c r="B111" s="551">
        <f>'Renewal Rates '!B110</f>
        <v>0</v>
      </c>
      <c r="C111" s="536">
        <f>'Renewal Rates '!C110</f>
        <v>0</v>
      </c>
      <c r="D111" s="536">
        <f>C111*$B111</f>
        <v>0</v>
      </c>
      <c r="E111" s="538">
        <f>'Renewal Rates '!H110</f>
        <v>0</v>
      </c>
      <c r="F111" s="538">
        <f>E111*$B111</f>
        <v>0</v>
      </c>
      <c r="G111" s="787" t="e">
        <f>E111/$C111-1</f>
        <v>#DIV/0!</v>
      </c>
      <c r="H111" s="536">
        <v>0</v>
      </c>
      <c r="I111" s="536">
        <f>H111*$B111</f>
        <v>0</v>
      </c>
      <c r="J111" s="790" t="e">
        <f>H111/$C111-1</f>
        <v>#DIV/0!</v>
      </c>
      <c r="K111" s="538">
        <v>0</v>
      </c>
      <c r="L111" s="538">
        <f>K111*$B111</f>
        <v>0</v>
      </c>
      <c r="M111" s="787" t="e">
        <f>K111/$C111-1</f>
        <v>#DIV/0!</v>
      </c>
    </row>
    <row r="112" spans="1:13" s="1" customFormat="1" ht="12" hidden="1" customHeight="1" outlineLevel="1">
      <c r="A112" s="499" t="str">
        <f>'Renewal Rates '!A111</f>
        <v>Class D</v>
      </c>
      <c r="B112" s="564"/>
      <c r="C112" s="536"/>
      <c r="D112" s="536"/>
      <c r="E112" s="538"/>
      <c r="F112" s="538"/>
      <c r="G112" s="787"/>
      <c r="H112" s="536"/>
      <c r="I112" s="536"/>
      <c r="J112" s="790"/>
      <c r="K112" s="538"/>
      <c r="L112" s="538"/>
      <c r="M112" s="787"/>
    </row>
    <row r="113" spans="1:13" s="1" customFormat="1" ht="12" hidden="1" customHeight="1" outlineLevel="1">
      <c r="A113" s="448" t="s">
        <v>163</v>
      </c>
      <c r="B113" s="551">
        <f>'Renewal Rates '!B112</f>
        <v>0</v>
      </c>
      <c r="C113" s="536">
        <f>'Renewal Rates '!C112</f>
        <v>0</v>
      </c>
      <c r="D113" s="536">
        <f>C113*$B113</f>
        <v>0</v>
      </c>
      <c r="E113" s="538">
        <f>'Renewal Rates '!H112</f>
        <v>0</v>
      </c>
      <c r="F113" s="538">
        <f>E113*$B113</f>
        <v>0</v>
      </c>
      <c r="G113" s="787" t="e">
        <f>E113/$C113-1</f>
        <v>#DIV/0!</v>
      </c>
      <c r="H113" s="536">
        <v>0</v>
      </c>
      <c r="I113" s="536">
        <f>H113*$B113</f>
        <v>0</v>
      </c>
      <c r="J113" s="790" t="e">
        <f>H113/$C113-1</f>
        <v>#DIV/0!</v>
      </c>
      <c r="K113" s="538">
        <v>0</v>
      </c>
      <c r="L113" s="538">
        <f>K113*$B113</f>
        <v>0</v>
      </c>
      <c r="M113" s="787" t="e">
        <f>K113/$C113-1</f>
        <v>#DIV/0!</v>
      </c>
    </row>
    <row r="114" spans="1:13" s="1" customFormat="1" ht="12" hidden="1" customHeight="1" outlineLevel="1">
      <c r="A114" s="448" t="s">
        <v>164</v>
      </c>
      <c r="B114" s="551">
        <f>'Renewal Rates '!B113</f>
        <v>0</v>
      </c>
      <c r="C114" s="536">
        <f>'Renewal Rates '!C113</f>
        <v>0</v>
      </c>
      <c r="D114" s="536">
        <f>C114*$B114</f>
        <v>0</v>
      </c>
      <c r="E114" s="538">
        <f>'Renewal Rates '!H113</f>
        <v>0</v>
      </c>
      <c r="F114" s="538">
        <f>E114*$B114</f>
        <v>0</v>
      </c>
      <c r="G114" s="787" t="e">
        <f>E114/$C114-1</f>
        <v>#DIV/0!</v>
      </c>
      <c r="H114" s="536">
        <v>0</v>
      </c>
      <c r="I114" s="536">
        <f>H114*$B114</f>
        <v>0</v>
      </c>
      <c r="J114" s="790" t="e">
        <f>H114/$C114-1</f>
        <v>#DIV/0!</v>
      </c>
      <c r="K114" s="538">
        <v>0</v>
      </c>
      <c r="L114" s="538">
        <f>K114*$B114</f>
        <v>0</v>
      </c>
      <c r="M114" s="787" t="e">
        <f>K114/$C114-1</f>
        <v>#DIV/0!</v>
      </c>
    </row>
    <row r="115" spans="1:13" s="1" customFormat="1" ht="12" customHeight="1" collapsed="1">
      <c r="A115" s="499" t="str">
        <f>'Renewal Rates '!A114</f>
        <v>All Employees</v>
      </c>
      <c r="B115" s="564"/>
      <c r="C115" s="536"/>
      <c r="D115" s="536"/>
      <c r="E115" s="538"/>
      <c r="F115" s="538"/>
      <c r="G115" s="787"/>
      <c r="H115" s="536"/>
      <c r="I115" s="536"/>
      <c r="J115" s="790"/>
      <c r="K115" s="538"/>
      <c r="L115" s="538"/>
      <c r="M115" s="787"/>
    </row>
    <row r="116" spans="1:13" s="1" customFormat="1" ht="12" customHeight="1">
      <c r="A116" s="448" t="s">
        <v>163</v>
      </c>
      <c r="B116" s="551">
        <f>'Renewal Rates '!B115</f>
        <v>0</v>
      </c>
      <c r="C116" s="536">
        <f>'Renewal Rates '!C115</f>
        <v>0</v>
      </c>
      <c r="D116" s="536">
        <f>C116*$B116</f>
        <v>0</v>
      </c>
      <c r="E116" s="538">
        <f>'Renewal Rates '!H115</f>
        <v>0</v>
      </c>
      <c r="F116" s="538">
        <f>E116*$B116</f>
        <v>0</v>
      </c>
      <c r="G116" s="787" t="e">
        <f>E116/$C116-1</f>
        <v>#DIV/0!</v>
      </c>
      <c r="H116" s="536">
        <v>0</v>
      </c>
      <c r="I116" s="536">
        <f>H116*$B116</f>
        <v>0</v>
      </c>
      <c r="J116" s="790" t="e">
        <f>H116/$C116-1</f>
        <v>#DIV/0!</v>
      </c>
      <c r="K116" s="538">
        <v>0</v>
      </c>
      <c r="L116" s="538">
        <f>K116*$B116</f>
        <v>0</v>
      </c>
      <c r="M116" s="787" t="e">
        <f>K116/$C116-1</f>
        <v>#DIV/0!</v>
      </c>
    </row>
    <row r="117" spans="1:13" s="1" customFormat="1" ht="12" customHeight="1">
      <c r="A117" s="448" t="s">
        <v>164</v>
      </c>
      <c r="B117" s="551">
        <f>'Renewal Rates '!B116</f>
        <v>0</v>
      </c>
      <c r="C117" s="536">
        <f>'Renewal Rates '!C116</f>
        <v>0</v>
      </c>
      <c r="D117" s="536">
        <f>C117*$B117</f>
        <v>0</v>
      </c>
      <c r="E117" s="538">
        <f>'Renewal Rates '!H116</f>
        <v>0</v>
      </c>
      <c r="F117" s="538">
        <f>E117*$B117</f>
        <v>0</v>
      </c>
      <c r="G117" s="787" t="e">
        <f>E117/$C117-1</f>
        <v>#DIV/0!</v>
      </c>
      <c r="H117" s="536">
        <v>0</v>
      </c>
      <c r="I117" s="536">
        <f>H117*$B117</f>
        <v>0</v>
      </c>
      <c r="J117" s="790" t="e">
        <f>H117/$C117-1</f>
        <v>#DIV/0!</v>
      </c>
      <c r="K117" s="538">
        <v>0</v>
      </c>
      <c r="L117" s="538">
        <f>K117*$B117</f>
        <v>0</v>
      </c>
      <c r="M117" s="787" t="e">
        <f>K117/$C117-1</f>
        <v>#DIV/0!</v>
      </c>
    </row>
    <row r="118" spans="1:13" s="190" customFormat="1" ht="12" customHeight="1">
      <c r="A118" s="448" t="s">
        <v>542</v>
      </c>
      <c r="B118" s="541"/>
      <c r="C118" s="542"/>
      <c r="D118" s="542">
        <f>SUM(D104:D117)</f>
        <v>0</v>
      </c>
      <c r="E118" s="542"/>
      <c r="F118" s="542">
        <f>SUM(F104:F117)</f>
        <v>0</v>
      </c>
      <c r="G118" s="788"/>
      <c r="H118" s="542"/>
      <c r="I118" s="542">
        <f>SUM(I104:I117)</f>
        <v>0</v>
      </c>
      <c r="J118" s="788"/>
      <c r="K118" s="542"/>
      <c r="L118" s="542">
        <f>SUM(L104:L117)</f>
        <v>0</v>
      </c>
      <c r="M118" s="788"/>
    </row>
    <row r="119" spans="1:13" s="1" customFormat="1" ht="12" customHeight="1">
      <c r="A119" s="448" t="s">
        <v>16</v>
      </c>
      <c r="B119" s="438"/>
      <c r="C119" s="536"/>
      <c r="D119" s="536"/>
      <c r="E119" s="538"/>
      <c r="F119" s="538"/>
      <c r="G119" s="787"/>
      <c r="H119" s="536"/>
      <c r="I119" s="536"/>
      <c r="J119" s="790"/>
      <c r="K119" s="538"/>
      <c r="L119" s="538"/>
      <c r="M119" s="787"/>
    </row>
    <row r="120" spans="1:13" s="1" customFormat="1" ht="12" hidden="1" customHeight="1" outlineLevel="1">
      <c r="A120" s="499" t="str">
        <f>'Renewal Rates '!A119</f>
        <v>Class A</v>
      </c>
      <c r="B120" s="438"/>
      <c r="C120" s="536"/>
      <c r="D120" s="536"/>
      <c r="E120" s="538"/>
      <c r="F120" s="538"/>
      <c r="G120" s="787"/>
      <c r="H120" s="536"/>
      <c r="I120" s="536"/>
      <c r="J120" s="790"/>
      <c r="K120" s="538"/>
      <c r="L120" s="538"/>
      <c r="M120" s="787"/>
    </row>
    <row r="121" spans="1:13" s="1" customFormat="1" ht="12" hidden="1" customHeight="1" outlineLevel="1">
      <c r="A121" s="448" t="s">
        <v>163</v>
      </c>
      <c r="B121" s="551">
        <f>'Renewal Rates '!B120</f>
        <v>0</v>
      </c>
      <c r="C121" s="536">
        <f>'Renewal Rates '!C120</f>
        <v>0</v>
      </c>
      <c r="D121" s="536">
        <f>C121*$B121</f>
        <v>0</v>
      </c>
      <c r="E121" s="538">
        <f>'Renewal Rates '!H120</f>
        <v>0</v>
      </c>
      <c r="F121" s="538">
        <f>E121*$B121</f>
        <v>0</v>
      </c>
      <c r="G121" s="787" t="e">
        <f>E121/$C121-1</f>
        <v>#DIV/0!</v>
      </c>
      <c r="H121" s="536">
        <v>0</v>
      </c>
      <c r="I121" s="536">
        <f>H121*$B121</f>
        <v>0</v>
      </c>
      <c r="J121" s="790" t="e">
        <f>H121/$C121-1</f>
        <v>#DIV/0!</v>
      </c>
      <c r="K121" s="538">
        <v>0</v>
      </c>
      <c r="L121" s="538">
        <f>K121*$B121</f>
        <v>0</v>
      </c>
      <c r="M121" s="787" t="e">
        <f>K121/$C121-1</f>
        <v>#DIV/0!</v>
      </c>
    </row>
    <row r="122" spans="1:13" s="1" customFormat="1" ht="12" hidden="1" customHeight="1" outlineLevel="1">
      <c r="A122" s="448" t="s">
        <v>164</v>
      </c>
      <c r="B122" s="551">
        <f>'Renewal Rates '!B121</f>
        <v>0</v>
      </c>
      <c r="C122" s="536">
        <f>'Renewal Rates '!C121</f>
        <v>0</v>
      </c>
      <c r="D122" s="536">
        <f>C122*$B122</f>
        <v>0</v>
      </c>
      <c r="E122" s="538">
        <f>'Renewal Rates '!H121</f>
        <v>0</v>
      </c>
      <c r="F122" s="538">
        <f>E122*$B122</f>
        <v>0</v>
      </c>
      <c r="G122" s="787" t="e">
        <f>E122/$C122-1</f>
        <v>#DIV/0!</v>
      </c>
      <c r="H122" s="536">
        <v>0</v>
      </c>
      <c r="I122" s="536">
        <f>H122*$B122</f>
        <v>0</v>
      </c>
      <c r="J122" s="790" t="e">
        <f>H122/$C122-1</f>
        <v>#DIV/0!</v>
      </c>
      <c r="K122" s="538">
        <v>0</v>
      </c>
      <c r="L122" s="538">
        <f>K122*$B122</f>
        <v>0</v>
      </c>
      <c r="M122" s="787" t="e">
        <f>K122/$C122-1</f>
        <v>#DIV/0!</v>
      </c>
    </row>
    <row r="123" spans="1:13" s="1" customFormat="1" ht="12" hidden="1" customHeight="1" outlineLevel="1">
      <c r="A123" s="499" t="str">
        <f>'Renewal Rates '!A122</f>
        <v>Class B</v>
      </c>
      <c r="B123" s="438"/>
      <c r="C123" s="536"/>
      <c r="D123" s="536"/>
      <c r="E123" s="538"/>
      <c r="F123" s="538"/>
      <c r="G123" s="787"/>
      <c r="H123" s="536"/>
      <c r="I123" s="536"/>
      <c r="J123" s="790"/>
      <c r="K123" s="538"/>
      <c r="L123" s="538"/>
      <c r="M123" s="787"/>
    </row>
    <row r="124" spans="1:13" s="1" customFormat="1" ht="12" hidden="1" customHeight="1" outlineLevel="1">
      <c r="A124" s="448" t="s">
        <v>163</v>
      </c>
      <c r="B124" s="551">
        <f>'Renewal Rates '!B123</f>
        <v>0</v>
      </c>
      <c r="C124" s="536">
        <f>'Renewal Rates '!C123</f>
        <v>0</v>
      </c>
      <c r="D124" s="536">
        <f>C124*$B124</f>
        <v>0</v>
      </c>
      <c r="E124" s="538">
        <f>'Renewal Rates '!H123</f>
        <v>0</v>
      </c>
      <c r="F124" s="538">
        <f>E124*$B124</f>
        <v>0</v>
      </c>
      <c r="G124" s="787" t="e">
        <f>E124/$C124-1</f>
        <v>#DIV/0!</v>
      </c>
      <c r="H124" s="536">
        <v>0</v>
      </c>
      <c r="I124" s="536">
        <f>H124*$B124</f>
        <v>0</v>
      </c>
      <c r="J124" s="790" t="e">
        <f>H124/$C124-1</f>
        <v>#DIV/0!</v>
      </c>
      <c r="K124" s="538">
        <v>0</v>
      </c>
      <c r="L124" s="538">
        <f>K124*$B124</f>
        <v>0</v>
      </c>
      <c r="M124" s="787" t="e">
        <f>K124/$C124-1</f>
        <v>#DIV/0!</v>
      </c>
    </row>
    <row r="125" spans="1:13" s="1" customFormat="1" ht="12" hidden="1" customHeight="1" outlineLevel="1">
      <c r="A125" s="448" t="s">
        <v>164</v>
      </c>
      <c r="B125" s="551">
        <f>'Renewal Rates '!B124</f>
        <v>0</v>
      </c>
      <c r="C125" s="536">
        <f>'Renewal Rates '!C124</f>
        <v>0</v>
      </c>
      <c r="D125" s="536">
        <f>C125*$B125</f>
        <v>0</v>
      </c>
      <c r="E125" s="538">
        <f>'Renewal Rates '!H124</f>
        <v>0</v>
      </c>
      <c r="F125" s="538">
        <f>E125*$B125</f>
        <v>0</v>
      </c>
      <c r="G125" s="787" t="e">
        <f>E125/$C125-1</f>
        <v>#DIV/0!</v>
      </c>
      <c r="H125" s="536">
        <v>0</v>
      </c>
      <c r="I125" s="536">
        <f>H125*$B125</f>
        <v>0</v>
      </c>
      <c r="J125" s="790" t="e">
        <f>H125/$C125-1</f>
        <v>#DIV/0!</v>
      </c>
      <c r="K125" s="538">
        <v>0</v>
      </c>
      <c r="L125" s="538">
        <f>K125*$B125</f>
        <v>0</v>
      </c>
      <c r="M125" s="787" t="e">
        <f>K125/$C125-1</f>
        <v>#DIV/0!</v>
      </c>
    </row>
    <row r="126" spans="1:13" s="1" customFormat="1" ht="12" hidden="1" customHeight="1" outlineLevel="1">
      <c r="A126" s="499" t="str">
        <f>'Renewal Rates '!A125</f>
        <v>Class C</v>
      </c>
      <c r="B126" s="438"/>
      <c r="C126" s="536"/>
      <c r="D126" s="536"/>
      <c r="E126" s="538"/>
      <c r="F126" s="538"/>
      <c r="G126" s="787"/>
      <c r="H126" s="536"/>
      <c r="I126" s="536"/>
      <c r="J126" s="790"/>
      <c r="K126" s="538"/>
      <c r="L126" s="538"/>
      <c r="M126" s="787"/>
    </row>
    <row r="127" spans="1:13" s="1" customFormat="1" ht="12" hidden="1" customHeight="1" outlineLevel="1">
      <c r="A127" s="448" t="s">
        <v>163</v>
      </c>
      <c r="B127" s="551">
        <f>'Renewal Rates '!B126</f>
        <v>0</v>
      </c>
      <c r="C127" s="536">
        <f>'Renewal Rates '!C126</f>
        <v>0</v>
      </c>
      <c r="D127" s="536">
        <f>C127*$B127</f>
        <v>0</v>
      </c>
      <c r="E127" s="538">
        <f>'Renewal Rates '!H126</f>
        <v>0</v>
      </c>
      <c r="F127" s="538">
        <f>E127*$B127</f>
        <v>0</v>
      </c>
      <c r="G127" s="787" t="e">
        <f>E127/$C127-1</f>
        <v>#DIV/0!</v>
      </c>
      <c r="H127" s="536">
        <v>0</v>
      </c>
      <c r="I127" s="536">
        <f>H127*$B127</f>
        <v>0</v>
      </c>
      <c r="J127" s="790" t="e">
        <f>H127/$C127-1</f>
        <v>#DIV/0!</v>
      </c>
      <c r="K127" s="538">
        <v>0</v>
      </c>
      <c r="L127" s="538">
        <f>K127*$B127</f>
        <v>0</v>
      </c>
      <c r="M127" s="787" t="e">
        <f>K127/$C127-1</f>
        <v>#DIV/0!</v>
      </c>
    </row>
    <row r="128" spans="1:13" s="1" customFormat="1" ht="12" hidden="1" customHeight="1" outlineLevel="1">
      <c r="A128" s="448" t="s">
        <v>164</v>
      </c>
      <c r="B128" s="551">
        <f>'Renewal Rates '!B127</f>
        <v>0</v>
      </c>
      <c r="C128" s="536">
        <f>'Renewal Rates '!C127</f>
        <v>0</v>
      </c>
      <c r="D128" s="536">
        <f>C128*$B128</f>
        <v>0</v>
      </c>
      <c r="E128" s="538">
        <f>'Renewal Rates '!H127</f>
        <v>0</v>
      </c>
      <c r="F128" s="538">
        <f>E128*$B128</f>
        <v>0</v>
      </c>
      <c r="G128" s="787" t="e">
        <f>E128/$C128-1</f>
        <v>#DIV/0!</v>
      </c>
      <c r="H128" s="536">
        <v>0</v>
      </c>
      <c r="I128" s="536">
        <f>H128*$B128</f>
        <v>0</v>
      </c>
      <c r="J128" s="790" t="e">
        <f>H128/$C128-1</f>
        <v>#DIV/0!</v>
      </c>
      <c r="K128" s="538">
        <v>0</v>
      </c>
      <c r="L128" s="538">
        <f>K128*$B128</f>
        <v>0</v>
      </c>
      <c r="M128" s="787" t="e">
        <f>K128/$C128-1</f>
        <v>#DIV/0!</v>
      </c>
    </row>
    <row r="129" spans="1:13" s="1" customFormat="1" ht="12" hidden="1" customHeight="1" outlineLevel="1">
      <c r="A129" s="499" t="str">
        <f>'Renewal Rates '!A128</f>
        <v>Class D</v>
      </c>
      <c r="B129" s="438"/>
      <c r="C129" s="536"/>
      <c r="D129" s="536"/>
      <c r="E129" s="538"/>
      <c r="F129" s="538"/>
      <c r="G129" s="787"/>
      <c r="H129" s="536"/>
      <c r="I129" s="536"/>
      <c r="J129" s="790"/>
      <c r="K129" s="538"/>
      <c r="L129" s="538"/>
      <c r="M129" s="787"/>
    </row>
    <row r="130" spans="1:13" s="1" customFormat="1" ht="12" hidden="1" customHeight="1" outlineLevel="1">
      <c r="A130" s="448" t="s">
        <v>163</v>
      </c>
      <c r="B130" s="551">
        <f>'Renewal Rates '!B129</f>
        <v>0</v>
      </c>
      <c r="C130" s="536">
        <f>'Renewal Rates '!C129</f>
        <v>0</v>
      </c>
      <c r="D130" s="536">
        <f>C130*$B130</f>
        <v>0</v>
      </c>
      <c r="E130" s="538">
        <f>'Renewal Rates '!H129</f>
        <v>0</v>
      </c>
      <c r="F130" s="538">
        <f>E130*$B130</f>
        <v>0</v>
      </c>
      <c r="G130" s="787" t="e">
        <f>E130/$C130-1</f>
        <v>#DIV/0!</v>
      </c>
      <c r="H130" s="536">
        <v>0</v>
      </c>
      <c r="I130" s="536">
        <f>H130*$B130</f>
        <v>0</v>
      </c>
      <c r="J130" s="790" t="e">
        <f>H130/$C130-1</f>
        <v>#DIV/0!</v>
      </c>
      <c r="K130" s="538">
        <v>0</v>
      </c>
      <c r="L130" s="538">
        <f>K130*$B130</f>
        <v>0</v>
      </c>
      <c r="M130" s="787" t="e">
        <f>K130/$C130-1</f>
        <v>#DIV/0!</v>
      </c>
    </row>
    <row r="131" spans="1:13" s="1" customFormat="1" ht="12" hidden="1" customHeight="1" outlineLevel="1">
      <c r="A131" s="448" t="s">
        <v>164</v>
      </c>
      <c r="B131" s="551">
        <f>'Renewal Rates '!B130</f>
        <v>0</v>
      </c>
      <c r="C131" s="536">
        <f>'Renewal Rates '!C130</f>
        <v>0</v>
      </c>
      <c r="D131" s="536">
        <f>C131*$B131</f>
        <v>0</v>
      </c>
      <c r="E131" s="538">
        <f>'Renewal Rates '!H130</f>
        <v>0</v>
      </c>
      <c r="F131" s="538">
        <f>E131*$B131</f>
        <v>0</v>
      </c>
      <c r="G131" s="787" t="e">
        <f>E131/$C131-1</f>
        <v>#DIV/0!</v>
      </c>
      <c r="H131" s="536">
        <v>0</v>
      </c>
      <c r="I131" s="536">
        <f>H131*$B131</f>
        <v>0</v>
      </c>
      <c r="J131" s="790" t="e">
        <f>H131/$C131-1</f>
        <v>#DIV/0!</v>
      </c>
      <c r="K131" s="538">
        <v>0</v>
      </c>
      <c r="L131" s="538">
        <f>K131*$B131</f>
        <v>0</v>
      </c>
      <c r="M131" s="787" t="e">
        <f>K131/$C131-1</f>
        <v>#DIV/0!</v>
      </c>
    </row>
    <row r="132" spans="1:13" s="1" customFormat="1" ht="12" customHeight="1" collapsed="1">
      <c r="A132" s="499" t="str">
        <f>'Renewal Rates '!A131</f>
        <v>All Employees</v>
      </c>
      <c r="B132" s="438"/>
      <c r="C132" s="536"/>
      <c r="D132" s="536"/>
      <c r="E132" s="538"/>
      <c r="F132" s="538"/>
      <c r="G132" s="787"/>
      <c r="H132" s="536"/>
      <c r="I132" s="536"/>
      <c r="J132" s="790"/>
      <c r="K132" s="538"/>
      <c r="L132" s="538"/>
      <c r="M132" s="787"/>
    </row>
    <row r="133" spans="1:13" s="1" customFormat="1" ht="12" customHeight="1">
      <c r="A133" s="448" t="s">
        <v>163</v>
      </c>
      <c r="B133" s="551">
        <f>'Renewal Rates '!B132</f>
        <v>0</v>
      </c>
      <c r="C133" s="536">
        <f>'Renewal Rates '!C132</f>
        <v>0</v>
      </c>
      <c r="D133" s="536">
        <f>C133*$B133</f>
        <v>0</v>
      </c>
      <c r="E133" s="538">
        <f>'Renewal Rates '!H132</f>
        <v>0</v>
      </c>
      <c r="F133" s="538">
        <f>E133*$B133</f>
        <v>0</v>
      </c>
      <c r="G133" s="787" t="e">
        <f>E133/$C133-1</f>
        <v>#DIV/0!</v>
      </c>
      <c r="H133" s="536">
        <v>0</v>
      </c>
      <c r="I133" s="536">
        <f>H133*$B133</f>
        <v>0</v>
      </c>
      <c r="J133" s="790" t="e">
        <f>H133/$C133-1</f>
        <v>#DIV/0!</v>
      </c>
      <c r="K133" s="538">
        <v>0</v>
      </c>
      <c r="L133" s="538">
        <f>K133*$B133</f>
        <v>0</v>
      </c>
      <c r="M133" s="787" t="e">
        <f>K133/$C133-1</f>
        <v>#DIV/0!</v>
      </c>
    </row>
    <row r="134" spans="1:13" s="1" customFormat="1" ht="12" customHeight="1">
      <c r="A134" s="448" t="s">
        <v>164</v>
      </c>
      <c r="B134" s="551">
        <f>'Renewal Rates '!B133</f>
        <v>0</v>
      </c>
      <c r="C134" s="536">
        <f>'Renewal Rates '!C133</f>
        <v>0</v>
      </c>
      <c r="D134" s="536">
        <f>C134*$B134</f>
        <v>0</v>
      </c>
      <c r="E134" s="538">
        <f>'Renewal Rates '!H133</f>
        <v>0</v>
      </c>
      <c r="F134" s="538">
        <f>E134*$B134</f>
        <v>0</v>
      </c>
      <c r="G134" s="787" t="e">
        <f>E134/$C134-1</f>
        <v>#DIV/0!</v>
      </c>
      <c r="H134" s="536">
        <v>0</v>
      </c>
      <c r="I134" s="536">
        <f>H134*$B134</f>
        <v>0</v>
      </c>
      <c r="J134" s="790" t="e">
        <f>H134/$C134-1</f>
        <v>#DIV/0!</v>
      </c>
      <c r="K134" s="538">
        <v>0</v>
      </c>
      <c r="L134" s="538">
        <f>K134*$B134</f>
        <v>0</v>
      </c>
      <c r="M134" s="787" t="e">
        <f>K134/$C134-1</f>
        <v>#DIV/0!</v>
      </c>
    </row>
    <row r="135" spans="1:13" s="190" customFormat="1" ht="12" customHeight="1">
      <c r="A135" s="448" t="s">
        <v>166</v>
      </c>
      <c r="B135" s="541"/>
      <c r="C135" s="563"/>
      <c r="D135" s="563">
        <f>SUM(D121:D134)</f>
        <v>0</v>
      </c>
      <c r="E135" s="542"/>
      <c r="F135" s="542">
        <f>SUM(F121:F134)</f>
        <v>0</v>
      </c>
      <c r="G135" s="788"/>
      <c r="H135" s="542"/>
      <c r="I135" s="542">
        <f>SUM(I121:I134)</f>
        <v>0</v>
      </c>
      <c r="J135" s="788"/>
      <c r="K135" s="542"/>
      <c r="L135" s="542">
        <f>SUM(L121:L134)</f>
        <v>0</v>
      </c>
      <c r="M135" s="788"/>
    </row>
    <row r="136" spans="1:13" s="1" customFormat="1" ht="12" customHeight="1">
      <c r="A136" s="448" t="s">
        <v>685</v>
      </c>
      <c r="B136" s="438"/>
      <c r="C136" s="536"/>
      <c r="D136" s="536"/>
      <c r="E136" s="538"/>
      <c r="F136" s="538"/>
      <c r="G136" s="787"/>
      <c r="H136" s="536"/>
      <c r="I136" s="536"/>
      <c r="J136" s="790"/>
      <c r="K136" s="538"/>
      <c r="L136" s="538"/>
      <c r="M136" s="787"/>
    </row>
    <row r="137" spans="1:13" s="1" customFormat="1" ht="12" hidden="1" customHeight="1" outlineLevel="1">
      <c r="A137" s="499" t="str">
        <f>'Renewal Rates '!A136</f>
        <v>Class A</v>
      </c>
      <c r="B137" s="438"/>
      <c r="C137" s="536"/>
      <c r="D137" s="536"/>
      <c r="E137" s="538"/>
      <c r="F137" s="538"/>
      <c r="G137" s="787"/>
      <c r="H137" s="536"/>
      <c r="I137" s="536"/>
      <c r="J137" s="790"/>
      <c r="K137" s="538"/>
      <c r="L137" s="538"/>
      <c r="M137" s="787"/>
    </row>
    <row r="138" spans="1:13" s="1" customFormat="1" ht="12" hidden="1" customHeight="1" outlineLevel="1">
      <c r="A138" s="448" t="s">
        <v>163</v>
      </c>
      <c r="B138" s="551">
        <f>'Renewal Rates '!B137</f>
        <v>0</v>
      </c>
      <c r="C138" s="536">
        <f>'Renewal Rates '!C137</f>
        <v>0</v>
      </c>
      <c r="D138" s="536">
        <f>C138*$B138</f>
        <v>0</v>
      </c>
      <c r="E138" s="538">
        <f>'Renewal Rates '!H137</f>
        <v>0</v>
      </c>
      <c r="F138" s="538">
        <f>E138*$B138</f>
        <v>0</v>
      </c>
      <c r="G138" s="787" t="e">
        <f>E138/$C138-1</f>
        <v>#DIV/0!</v>
      </c>
      <c r="H138" s="536">
        <v>0</v>
      </c>
      <c r="I138" s="536">
        <f>H138*$B138</f>
        <v>0</v>
      </c>
      <c r="J138" s="790" t="e">
        <f>H138/$C138-1</f>
        <v>#DIV/0!</v>
      </c>
      <c r="K138" s="538">
        <v>0</v>
      </c>
      <c r="L138" s="538">
        <f>K138*$B138</f>
        <v>0</v>
      </c>
      <c r="M138" s="787" t="e">
        <f>K138/$C138-1</f>
        <v>#DIV/0!</v>
      </c>
    </row>
    <row r="139" spans="1:13" s="1" customFormat="1" ht="12" hidden="1" customHeight="1" outlineLevel="1">
      <c r="A139" s="448" t="s">
        <v>164</v>
      </c>
      <c r="B139" s="551">
        <f>'Renewal Rates '!B138</f>
        <v>0</v>
      </c>
      <c r="C139" s="536">
        <f>'Renewal Rates '!C138</f>
        <v>0</v>
      </c>
      <c r="D139" s="536">
        <f>C139*$B139</f>
        <v>0</v>
      </c>
      <c r="E139" s="538">
        <f>'Renewal Rates '!H138</f>
        <v>0</v>
      </c>
      <c r="F139" s="538">
        <f>E139*$B139</f>
        <v>0</v>
      </c>
      <c r="G139" s="787" t="e">
        <f>E139/$C139-1</f>
        <v>#DIV/0!</v>
      </c>
      <c r="H139" s="536">
        <v>0</v>
      </c>
      <c r="I139" s="536">
        <f>H139*$B139</f>
        <v>0</v>
      </c>
      <c r="J139" s="790" t="e">
        <f>H139/$C139-1</f>
        <v>#DIV/0!</v>
      </c>
      <c r="K139" s="538">
        <v>0</v>
      </c>
      <c r="L139" s="538">
        <f>K139*$B139</f>
        <v>0</v>
      </c>
      <c r="M139" s="787" t="e">
        <f>K139/$C139-1</f>
        <v>#DIV/0!</v>
      </c>
    </row>
    <row r="140" spans="1:13" s="1" customFormat="1" ht="12" hidden="1" customHeight="1" outlineLevel="1">
      <c r="A140" s="499" t="str">
        <f>'Renewal Rates '!A139</f>
        <v>Class B</v>
      </c>
      <c r="B140" s="438"/>
      <c r="C140" s="536"/>
      <c r="D140" s="536"/>
      <c r="E140" s="538"/>
      <c r="F140" s="538"/>
      <c r="G140" s="787"/>
      <c r="H140" s="536"/>
      <c r="I140" s="536"/>
      <c r="J140" s="790"/>
      <c r="K140" s="538"/>
      <c r="L140" s="538"/>
      <c r="M140" s="787"/>
    </row>
    <row r="141" spans="1:13" s="1" customFormat="1" ht="12" hidden="1" customHeight="1" outlineLevel="1">
      <c r="A141" s="448" t="s">
        <v>163</v>
      </c>
      <c r="B141" s="551">
        <f>'Renewal Rates '!B140</f>
        <v>0</v>
      </c>
      <c r="C141" s="536">
        <f>'Renewal Rates '!C140</f>
        <v>0</v>
      </c>
      <c r="D141" s="536">
        <f>C141*$B141</f>
        <v>0</v>
      </c>
      <c r="E141" s="538">
        <f>'Renewal Rates '!H140</f>
        <v>0</v>
      </c>
      <c r="F141" s="538">
        <f>E141*$B141</f>
        <v>0</v>
      </c>
      <c r="G141" s="787" t="e">
        <f>E141/$C141-1</f>
        <v>#DIV/0!</v>
      </c>
      <c r="H141" s="536">
        <v>0</v>
      </c>
      <c r="I141" s="536">
        <f>H141*$B141</f>
        <v>0</v>
      </c>
      <c r="J141" s="790" t="e">
        <f>H141/$C141-1</f>
        <v>#DIV/0!</v>
      </c>
      <c r="K141" s="538">
        <v>0</v>
      </c>
      <c r="L141" s="538">
        <f>K141*$B141</f>
        <v>0</v>
      </c>
      <c r="M141" s="787" t="e">
        <f>K141/$C141-1</f>
        <v>#DIV/0!</v>
      </c>
    </row>
    <row r="142" spans="1:13" s="1" customFormat="1" ht="12" hidden="1" customHeight="1" outlineLevel="1">
      <c r="A142" s="448" t="s">
        <v>164</v>
      </c>
      <c r="B142" s="551">
        <f>'Renewal Rates '!B141</f>
        <v>0</v>
      </c>
      <c r="C142" s="536">
        <f>'Renewal Rates '!C141</f>
        <v>0</v>
      </c>
      <c r="D142" s="536">
        <f>C142*$B142</f>
        <v>0</v>
      </c>
      <c r="E142" s="538">
        <f>'Renewal Rates '!H141</f>
        <v>0</v>
      </c>
      <c r="F142" s="538">
        <f>E142*$B142</f>
        <v>0</v>
      </c>
      <c r="G142" s="787" t="e">
        <f>E142/$C142-1</f>
        <v>#DIV/0!</v>
      </c>
      <c r="H142" s="536">
        <v>0</v>
      </c>
      <c r="I142" s="536">
        <f>H142*$B142</f>
        <v>0</v>
      </c>
      <c r="J142" s="790" t="e">
        <f>H142/$C142-1</f>
        <v>#DIV/0!</v>
      </c>
      <c r="K142" s="538">
        <v>0</v>
      </c>
      <c r="L142" s="538">
        <f>K142*$B142</f>
        <v>0</v>
      </c>
      <c r="M142" s="787" t="e">
        <f>K142/$C142-1</f>
        <v>#DIV/0!</v>
      </c>
    </row>
    <row r="143" spans="1:13" s="1" customFormat="1" ht="12" hidden="1" customHeight="1" outlineLevel="1">
      <c r="A143" s="499" t="str">
        <f>'Renewal Rates '!A142</f>
        <v>Class C</v>
      </c>
      <c r="B143" s="438"/>
      <c r="C143" s="536"/>
      <c r="D143" s="536"/>
      <c r="E143" s="538"/>
      <c r="F143" s="538"/>
      <c r="G143" s="787"/>
      <c r="H143" s="536"/>
      <c r="I143" s="536"/>
      <c r="J143" s="790"/>
      <c r="K143" s="538"/>
      <c r="L143" s="538"/>
      <c r="M143" s="787"/>
    </row>
    <row r="144" spans="1:13" s="1" customFormat="1" ht="12" hidden="1" customHeight="1" outlineLevel="1">
      <c r="A144" s="448" t="s">
        <v>163</v>
      </c>
      <c r="B144" s="551">
        <f>'Renewal Rates '!B143</f>
        <v>0</v>
      </c>
      <c r="C144" s="536">
        <f>'Renewal Rates '!C143</f>
        <v>0</v>
      </c>
      <c r="D144" s="536">
        <f>C144*$B144</f>
        <v>0</v>
      </c>
      <c r="E144" s="538">
        <f>'Renewal Rates '!H143</f>
        <v>0</v>
      </c>
      <c r="F144" s="538">
        <f>E144*$B144</f>
        <v>0</v>
      </c>
      <c r="G144" s="787" t="e">
        <f>E144/$C144-1</f>
        <v>#DIV/0!</v>
      </c>
      <c r="H144" s="536">
        <v>0</v>
      </c>
      <c r="I144" s="536">
        <f>H144*$B144</f>
        <v>0</v>
      </c>
      <c r="J144" s="790" t="e">
        <f>H144/$C144-1</f>
        <v>#DIV/0!</v>
      </c>
      <c r="K144" s="538">
        <v>0</v>
      </c>
      <c r="L144" s="538">
        <f>K144*$B144</f>
        <v>0</v>
      </c>
      <c r="M144" s="787" t="e">
        <f>K144/$C144-1</f>
        <v>#DIV/0!</v>
      </c>
    </row>
    <row r="145" spans="1:13" s="1" customFormat="1" ht="12" hidden="1" customHeight="1" outlineLevel="1">
      <c r="A145" s="448" t="s">
        <v>164</v>
      </c>
      <c r="B145" s="551">
        <f>'Renewal Rates '!B144</f>
        <v>0</v>
      </c>
      <c r="C145" s="536">
        <f>'Renewal Rates '!C144</f>
        <v>0</v>
      </c>
      <c r="D145" s="536">
        <f>C145*$B145</f>
        <v>0</v>
      </c>
      <c r="E145" s="538">
        <f>'Renewal Rates '!H144</f>
        <v>0</v>
      </c>
      <c r="F145" s="538">
        <f>E145*$B145</f>
        <v>0</v>
      </c>
      <c r="G145" s="787" t="e">
        <f>E145/$C145-1</f>
        <v>#DIV/0!</v>
      </c>
      <c r="H145" s="536">
        <v>0</v>
      </c>
      <c r="I145" s="536">
        <f>H145*$B145</f>
        <v>0</v>
      </c>
      <c r="J145" s="790" t="e">
        <f>H145/$C145-1</f>
        <v>#DIV/0!</v>
      </c>
      <c r="K145" s="538">
        <v>0</v>
      </c>
      <c r="L145" s="538">
        <f>K145*$B145</f>
        <v>0</v>
      </c>
      <c r="M145" s="787" t="e">
        <f>K145/$C145-1</f>
        <v>#DIV/0!</v>
      </c>
    </row>
    <row r="146" spans="1:13" s="1" customFormat="1" ht="12" hidden="1" customHeight="1" outlineLevel="1">
      <c r="A146" s="499" t="str">
        <f>'Renewal Rates '!A145</f>
        <v>Class D</v>
      </c>
      <c r="B146" s="438"/>
      <c r="C146" s="536"/>
      <c r="D146" s="536"/>
      <c r="E146" s="538"/>
      <c r="F146" s="538"/>
      <c r="G146" s="787"/>
      <c r="H146" s="536"/>
      <c r="I146" s="536"/>
      <c r="J146" s="790"/>
      <c r="K146" s="538"/>
      <c r="L146" s="538"/>
      <c r="M146" s="787"/>
    </row>
    <row r="147" spans="1:13" s="1" customFormat="1" ht="12" hidden="1" customHeight="1" outlineLevel="1">
      <c r="A147" s="448" t="s">
        <v>163</v>
      </c>
      <c r="B147" s="551">
        <f>'Renewal Rates '!B146</f>
        <v>0</v>
      </c>
      <c r="C147" s="536">
        <f>'Renewal Rates '!C146</f>
        <v>0</v>
      </c>
      <c r="D147" s="536">
        <f>C147*$B147</f>
        <v>0</v>
      </c>
      <c r="E147" s="538">
        <f>'Renewal Rates '!H146</f>
        <v>0</v>
      </c>
      <c r="F147" s="538">
        <f>E147*$B147</f>
        <v>0</v>
      </c>
      <c r="G147" s="787" t="e">
        <f>E147/$C147-1</f>
        <v>#DIV/0!</v>
      </c>
      <c r="H147" s="536">
        <v>0</v>
      </c>
      <c r="I147" s="536">
        <f>H147*$B147</f>
        <v>0</v>
      </c>
      <c r="J147" s="790" t="e">
        <f>H147/$C147-1</f>
        <v>#DIV/0!</v>
      </c>
      <c r="K147" s="538">
        <v>0</v>
      </c>
      <c r="L147" s="538">
        <f>K147*$B147</f>
        <v>0</v>
      </c>
      <c r="M147" s="787" t="e">
        <f>K147/$C147-1</f>
        <v>#DIV/0!</v>
      </c>
    </row>
    <row r="148" spans="1:13" s="1" customFormat="1" ht="12" hidden="1" customHeight="1" outlineLevel="1">
      <c r="A148" s="448" t="s">
        <v>164</v>
      </c>
      <c r="B148" s="551">
        <f>'Renewal Rates '!B147</f>
        <v>0</v>
      </c>
      <c r="C148" s="536">
        <f>'Renewal Rates '!C147</f>
        <v>0</v>
      </c>
      <c r="D148" s="536">
        <f>C148*$B148</f>
        <v>0</v>
      </c>
      <c r="E148" s="538">
        <f>'Renewal Rates '!H147</f>
        <v>0</v>
      </c>
      <c r="F148" s="538">
        <f>E148*$B148</f>
        <v>0</v>
      </c>
      <c r="G148" s="787" t="e">
        <f>E148/$C148-1</f>
        <v>#DIV/0!</v>
      </c>
      <c r="H148" s="536">
        <v>0</v>
      </c>
      <c r="I148" s="536">
        <f>H148*$B148</f>
        <v>0</v>
      </c>
      <c r="J148" s="790" t="e">
        <f>H148/$C148-1</f>
        <v>#DIV/0!</v>
      </c>
      <c r="K148" s="538">
        <v>0</v>
      </c>
      <c r="L148" s="538">
        <f>K148*$B148</f>
        <v>0</v>
      </c>
      <c r="M148" s="787" t="e">
        <f>K148/$C148-1</f>
        <v>#DIV/0!</v>
      </c>
    </row>
    <row r="149" spans="1:13" s="1" customFormat="1" ht="12" customHeight="1" collapsed="1">
      <c r="A149" s="499" t="str">
        <f>'Renewal Rates '!A148</f>
        <v>All Employees</v>
      </c>
      <c r="B149" s="438"/>
      <c r="C149" s="536"/>
      <c r="D149" s="536"/>
      <c r="E149" s="538"/>
      <c r="F149" s="538"/>
      <c r="G149" s="787"/>
      <c r="H149" s="536"/>
      <c r="I149" s="536"/>
      <c r="J149" s="790"/>
      <c r="K149" s="538"/>
      <c r="L149" s="538"/>
      <c r="M149" s="787"/>
    </row>
    <row r="150" spans="1:13" s="1" customFormat="1" ht="12" customHeight="1">
      <c r="A150" s="448" t="s">
        <v>163</v>
      </c>
      <c r="B150" s="551">
        <f>'Renewal Rates '!B149</f>
        <v>0</v>
      </c>
      <c r="C150" s="536">
        <f>'Renewal Rates '!C149</f>
        <v>0</v>
      </c>
      <c r="D150" s="536">
        <f>C150*$B150</f>
        <v>0</v>
      </c>
      <c r="E150" s="538">
        <f>'Renewal Rates '!H149</f>
        <v>0</v>
      </c>
      <c r="F150" s="538">
        <f>E150*$B150</f>
        <v>0</v>
      </c>
      <c r="G150" s="787" t="e">
        <f>E150/$C150-1</f>
        <v>#DIV/0!</v>
      </c>
      <c r="H150" s="536">
        <v>0</v>
      </c>
      <c r="I150" s="536">
        <f>H150*$B150</f>
        <v>0</v>
      </c>
      <c r="J150" s="790" t="e">
        <f>H150/$C150-1</f>
        <v>#DIV/0!</v>
      </c>
      <c r="K150" s="538">
        <v>0</v>
      </c>
      <c r="L150" s="538">
        <f>K150*$B150</f>
        <v>0</v>
      </c>
      <c r="M150" s="787" t="e">
        <f>K150/$C150-1</f>
        <v>#DIV/0!</v>
      </c>
    </row>
    <row r="151" spans="1:13" s="1" customFormat="1" ht="12" customHeight="1">
      <c r="A151" s="448" t="s">
        <v>164</v>
      </c>
      <c r="B151" s="551">
        <f>'Renewal Rates '!B150</f>
        <v>0</v>
      </c>
      <c r="C151" s="536">
        <f>'Renewal Rates '!C150</f>
        <v>0</v>
      </c>
      <c r="D151" s="536">
        <f>C151*$B151</f>
        <v>0</v>
      </c>
      <c r="E151" s="538">
        <f>'Renewal Rates '!H150</f>
        <v>0</v>
      </c>
      <c r="F151" s="538">
        <f>E151*$B151</f>
        <v>0</v>
      </c>
      <c r="G151" s="787" t="e">
        <f>E151/$C151-1</f>
        <v>#DIV/0!</v>
      </c>
      <c r="H151" s="536">
        <v>0</v>
      </c>
      <c r="I151" s="536">
        <f>H151*$B151</f>
        <v>0</v>
      </c>
      <c r="J151" s="790" t="e">
        <f>H151/$C151-1</f>
        <v>#DIV/0!</v>
      </c>
      <c r="K151" s="538">
        <v>0</v>
      </c>
      <c r="L151" s="538">
        <f>K151*$B151</f>
        <v>0</v>
      </c>
      <c r="M151" s="787" t="e">
        <f>K151/$C151-1</f>
        <v>#DIV/0!</v>
      </c>
    </row>
    <row r="152" spans="1:13" s="190" customFormat="1" ht="12" customHeight="1">
      <c r="A152" s="448" t="s">
        <v>682</v>
      </c>
      <c r="B152" s="541"/>
      <c r="C152" s="563"/>
      <c r="D152" s="563">
        <f>SUM(D138:D151)</f>
        <v>0</v>
      </c>
      <c r="E152" s="542"/>
      <c r="F152" s="542">
        <f>SUM(F138:F151)</f>
        <v>0</v>
      </c>
      <c r="G152" s="788"/>
      <c r="H152" s="542"/>
      <c r="I152" s="542">
        <f>SUM(I138:I151)</f>
        <v>0</v>
      </c>
      <c r="J152" s="788"/>
      <c r="K152" s="542"/>
      <c r="L152" s="542">
        <f>SUM(L138:L151)</f>
        <v>0</v>
      </c>
      <c r="M152" s="788"/>
    </row>
    <row r="153" spans="1:13" s="1" customFormat="1" ht="12" customHeight="1">
      <c r="A153" s="448" t="s">
        <v>134</v>
      </c>
      <c r="B153" s="552"/>
      <c r="C153" s="536"/>
      <c r="D153" s="536"/>
      <c r="E153" s="538"/>
      <c r="F153" s="538"/>
      <c r="G153" s="787"/>
      <c r="H153" s="536"/>
      <c r="I153" s="536"/>
      <c r="J153" s="790"/>
      <c r="K153" s="538"/>
      <c r="L153" s="538"/>
      <c r="M153" s="787"/>
    </row>
    <row r="154" spans="1:13" s="1" customFormat="1" ht="12" hidden="1" customHeight="1" outlineLevel="1">
      <c r="A154" s="499" t="str">
        <f>'Renewal Rates '!A153</f>
        <v>Class A</v>
      </c>
      <c r="B154" s="385">
        <f>'Renewal Rates '!B136</f>
        <v>0</v>
      </c>
      <c r="C154" s="536">
        <f>'Renewal Rates '!C136</f>
        <v>0</v>
      </c>
      <c r="D154" s="536">
        <f>C154*$B154</f>
        <v>0</v>
      </c>
      <c r="E154" s="538">
        <f>'Renewal Rates '!H136</f>
        <v>0</v>
      </c>
      <c r="F154" s="538">
        <f>E154*$B154</f>
        <v>0</v>
      </c>
      <c r="G154" s="787" t="e">
        <f t="shared" ref="G154:G156" si="48">E154/$C154-1</f>
        <v>#DIV/0!</v>
      </c>
      <c r="H154" s="536">
        <v>0</v>
      </c>
      <c r="I154" s="536">
        <f>H154*$B154</f>
        <v>0</v>
      </c>
      <c r="J154" s="790" t="e">
        <f t="shared" ref="J154:J156" si="49">H154/$C154-1</f>
        <v>#DIV/0!</v>
      </c>
      <c r="K154" s="538">
        <v>0</v>
      </c>
      <c r="L154" s="538">
        <f>K154*$B154</f>
        <v>0</v>
      </c>
      <c r="M154" s="787" t="e">
        <f t="shared" ref="M154:M156" si="50">K154/$C154-1</f>
        <v>#DIV/0!</v>
      </c>
    </row>
    <row r="155" spans="1:13" s="1" customFormat="1" ht="12" hidden="1" customHeight="1" outlineLevel="1">
      <c r="A155" s="499" t="str">
        <f>'Renewal Rates '!A154</f>
        <v>Class B</v>
      </c>
      <c r="B155" s="385">
        <f>'Renewal Rates '!B137</f>
        <v>0</v>
      </c>
      <c r="C155" s="536">
        <f>'Renewal Rates '!C137</f>
        <v>0</v>
      </c>
      <c r="D155" s="536">
        <f t="shared" ref="D155:D158" si="51">C155*$B155</f>
        <v>0</v>
      </c>
      <c r="E155" s="538">
        <f>'Renewal Rates '!H137</f>
        <v>0</v>
      </c>
      <c r="F155" s="538">
        <f t="shared" ref="F155:F158" si="52">E155*$B155</f>
        <v>0</v>
      </c>
      <c r="G155" s="787" t="e">
        <f t="shared" si="48"/>
        <v>#DIV/0!</v>
      </c>
      <c r="H155" s="536">
        <v>0</v>
      </c>
      <c r="I155" s="536">
        <f t="shared" ref="I155:I158" si="53">H155*$B155</f>
        <v>0</v>
      </c>
      <c r="J155" s="790" t="e">
        <f t="shared" si="49"/>
        <v>#DIV/0!</v>
      </c>
      <c r="K155" s="538">
        <v>0</v>
      </c>
      <c r="L155" s="538">
        <f t="shared" ref="L155:L158" si="54">K155*$B155</f>
        <v>0</v>
      </c>
      <c r="M155" s="787" t="e">
        <f t="shared" si="50"/>
        <v>#DIV/0!</v>
      </c>
    </row>
    <row r="156" spans="1:13" s="1" customFormat="1" ht="12" hidden="1" customHeight="1" outlineLevel="1">
      <c r="A156" s="499" t="str">
        <f>'Renewal Rates '!A155</f>
        <v>Class C</v>
      </c>
      <c r="B156" s="385">
        <f>'Renewal Rates '!B138</f>
        <v>0</v>
      </c>
      <c r="C156" s="536">
        <f>'Renewal Rates '!C138</f>
        <v>0</v>
      </c>
      <c r="D156" s="536">
        <f t="shared" si="51"/>
        <v>0</v>
      </c>
      <c r="E156" s="538">
        <f>'Renewal Rates '!H138</f>
        <v>0</v>
      </c>
      <c r="F156" s="538">
        <f t="shared" si="52"/>
        <v>0</v>
      </c>
      <c r="G156" s="787" t="e">
        <f t="shared" si="48"/>
        <v>#DIV/0!</v>
      </c>
      <c r="H156" s="536">
        <v>0</v>
      </c>
      <c r="I156" s="536">
        <f t="shared" si="53"/>
        <v>0</v>
      </c>
      <c r="J156" s="790" t="e">
        <f t="shared" si="49"/>
        <v>#DIV/0!</v>
      </c>
      <c r="K156" s="538">
        <v>0</v>
      </c>
      <c r="L156" s="538">
        <f t="shared" si="54"/>
        <v>0</v>
      </c>
      <c r="M156" s="787" t="e">
        <f t="shared" si="50"/>
        <v>#DIV/0!</v>
      </c>
    </row>
    <row r="157" spans="1:13" s="1" customFormat="1" ht="12" hidden="1" customHeight="1" outlineLevel="1">
      <c r="A157" s="499" t="str">
        <f>'Renewal Rates '!A156</f>
        <v>Class D</v>
      </c>
      <c r="B157" s="385">
        <f>'Renewal Rates '!B139</f>
        <v>0</v>
      </c>
      <c r="C157" s="536">
        <f>'Renewal Rates '!C139</f>
        <v>0</v>
      </c>
      <c r="D157" s="536">
        <f t="shared" si="51"/>
        <v>0</v>
      </c>
      <c r="E157" s="538">
        <f>'Renewal Rates '!H139</f>
        <v>0</v>
      </c>
      <c r="F157" s="538">
        <f t="shared" si="52"/>
        <v>0</v>
      </c>
      <c r="G157" s="787" t="e">
        <f>E157/$C157-1</f>
        <v>#DIV/0!</v>
      </c>
      <c r="H157" s="536">
        <v>0</v>
      </c>
      <c r="I157" s="536">
        <f t="shared" si="53"/>
        <v>0</v>
      </c>
      <c r="J157" s="790" t="e">
        <f>H157/$C157-1</f>
        <v>#DIV/0!</v>
      </c>
      <c r="K157" s="538">
        <v>0</v>
      </c>
      <c r="L157" s="538">
        <f t="shared" si="54"/>
        <v>0</v>
      </c>
      <c r="M157" s="787" t="e">
        <f>K157/$C157-1</f>
        <v>#DIV/0!</v>
      </c>
    </row>
    <row r="158" spans="1:13" s="1" customFormat="1" ht="12" customHeight="1" collapsed="1">
      <c r="A158" s="499" t="str">
        <f>'Renewal Rates '!A157</f>
        <v>All Employees</v>
      </c>
      <c r="B158" s="385">
        <f>'Renewal Rates '!B140</f>
        <v>0</v>
      </c>
      <c r="C158" s="536">
        <f>'Renewal Rates '!C140</f>
        <v>0</v>
      </c>
      <c r="D158" s="536">
        <f t="shared" si="51"/>
        <v>0</v>
      </c>
      <c r="E158" s="538">
        <f>'Renewal Rates '!H140</f>
        <v>0</v>
      </c>
      <c r="F158" s="538">
        <f t="shared" si="52"/>
        <v>0</v>
      </c>
      <c r="G158" s="787" t="e">
        <f t="shared" ref="G158" si="55">E158/$C158-1</f>
        <v>#DIV/0!</v>
      </c>
      <c r="H158" s="536">
        <v>0</v>
      </c>
      <c r="I158" s="536">
        <f t="shared" si="53"/>
        <v>0</v>
      </c>
      <c r="J158" s="790" t="e">
        <f t="shared" ref="J158" si="56">H158/$C158-1</f>
        <v>#DIV/0!</v>
      </c>
      <c r="K158" s="538">
        <v>0</v>
      </c>
      <c r="L158" s="538">
        <f t="shared" si="54"/>
        <v>0</v>
      </c>
      <c r="M158" s="787" t="e">
        <f t="shared" ref="M158" si="57">K158/$C158-1</f>
        <v>#DIV/0!</v>
      </c>
    </row>
    <row r="159" spans="1:13" s="1" customFormat="1" ht="12" customHeight="1">
      <c r="A159" s="448" t="s">
        <v>679</v>
      </c>
      <c r="B159" s="541"/>
      <c r="C159" s="542"/>
      <c r="D159" s="542">
        <f>SUM(D154:D158)</f>
        <v>0</v>
      </c>
      <c r="E159" s="542"/>
      <c r="F159" s="542">
        <f>SUM(F154:F158)</f>
        <v>0</v>
      </c>
      <c r="G159" s="788" t="e">
        <f>F159/$D159-1</f>
        <v>#DIV/0!</v>
      </c>
      <c r="H159" s="542"/>
      <c r="I159" s="542">
        <f>SUM(I154:I158)</f>
        <v>0</v>
      </c>
      <c r="J159" s="788" t="e">
        <f>I159/$D159-1</f>
        <v>#DIV/0!</v>
      </c>
      <c r="K159" s="448"/>
      <c r="L159" s="542">
        <f>SUM(L154:L158)</f>
        <v>0</v>
      </c>
      <c r="M159" s="788" t="e">
        <f>L159/$D159-1</f>
        <v>#DIV/0!</v>
      </c>
    </row>
    <row r="160" spans="1:13" s="1" customFormat="1" ht="12" customHeight="1">
      <c r="A160" s="1214" t="s">
        <v>161</v>
      </c>
      <c r="B160" s="1214"/>
      <c r="C160" s="1211"/>
      <c r="D160" s="1212">
        <f>D50+D67+D84+D101+D118+D135+D152+D159</f>
        <v>0</v>
      </c>
      <c r="E160" s="1211"/>
      <c r="F160" s="1212">
        <f>F50+F67+F84+F101+F118+F135+F152+F159</f>
        <v>0</v>
      </c>
      <c r="G160" s="1226" t="e">
        <f>F160/$D160-1</f>
        <v>#DIV/0!</v>
      </c>
      <c r="H160" s="1211"/>
      <c r="I160" s="1212">
        <f>I50+I67+I84+I101+I118+I135+I152+I159</f>
        <v>0</v>
      </c>
      <c r="J160" s="1226" t="e">
        <f>I160/$D160-1</f>
        <v>#DIV/0!</v>
      </c>
      <c r="K160" s="1211"/>
      <c r="L160" s="1212">
        <f>L50+L67+L84+L101+L118+L135+L152+L159</f>
        <v>0</v>
      </c>
      <c r="M160" s="1226" t="e">
        <f>L160/$D160-1</f>
        <v>#DIV/0!</v>
      </c>
    </row>
    <row r="161" spans="1:13" s="1" customFormat="1" ht="12" customHeight="1">
      <c r="A161" s="1213" t="s">
        <v>167</v>
      </c>
      <c r="B161" s="1213"/>
      <c r="C161" s="1211"/>
      <c r="D161" s="1212"/>
      <c r="E161" s="1211"/>
      <c r="F161" s="1212"/>
      <c r="G161" s="1226"/>
      <c r="H161" s="1211"/>
      <c r="I161" s="1212"/>
      <c r="J161" s="1226"/>
      <c r="K161" s="1211"/>
      <c r="L161" s="1212"/>
      <c r="M161" s="1226"/>
    </row>
    <row r="162" spans="1:13" s="1" customFormat="1" ht="12" customHeight="1">
      <c r="A162" s="1139" t="s">
        <v>168</v>
      </c>
      <c r="B162" s="1139"/>
      <c r="C162" s="555"/>
      <c r="D162" s="436">
        <f>D42+D160</f>
        <v>0</v>
      </c>
      <c r="E162" s="436"/>
      <c r="F162" s="436">
        <f>F42+F160</f>
        <v>0</v>
      </c>
      <c r="G162" s="1227" t="e">
        <f>F164/$D163</f>
        <v>#DIV/0!</v>
      </c>
      <c r="H162" s="555"/>
      <c r="I162" s="436">
        <f>I42+I160</f>
        <v>0</v>
      </c>
      <c r="J162" s="1227" t="e">
        <f>I164/$D163</f>
        <v>#DIV/0!</v>
      </c>
      <c r="K162" s="555"/>
      <c r="L162" s="436">
        <f>L42+L160</f>
        <v>0</v>
      </c>
      <c r="M162" s="1227" t="e">
        <f>L164/$D163</f>
        <v>#DIV/0!</v>
      </c>
    </row>
    <row r="163" spans="1:13" s="1" customFormat="1" ht="12" customHeight="1">
      <c r="A163" s="1139" t="s">
        <v>169</v>
      </c>
      <c r="B163" s="1139"/>
      <c r="C163" s="555"/>
      <c r="D163" s="436">
        <f>D162*12</f>
        <v>0</v>
      </c>
      <c r="E163" s="436"/>
      <c r="F163" s="436">
        <f>F162*12</f>
        <v>0</v>
      </c>
      <c r="G163" s="1227"/>
      <c r="H163" s="555"/>
      <c r="I163" s="436">
        <f>I162*12</f>
        <v>0</v>
      </c>
      <c r="J163" s="1227"/>
      <c r="K163" s="555"/>
      <c r="L163" s="436">
        <f>L162*12</f>
        <v>0</v>
      </c>
      <c r="M163" s="1227"/>
    </row>
    <row r="164" spans="1:13" s="1" customFormat="1" ht="12" customHeight="1">
      <c r="A164" s="1139" t="s">
        <v>47</v>
      </c>
      <c r="B164" s="1139"/>
      <c r="C164" s="555"/>
      <c r="D164" s="555"/>
      <c r="E164" s="555"/>
      <c r="F164" s="436">
        <f>F163-$D163</f>
        <v>0</v>
      </c>
      <c r="G164" s="1227"/>
      <c r="H164" s="555"/>
      <c r="I164" s="436">
        <f>I163-$D163</f>
        <v>0</v>
      </c>
      <c r="J164" s="1227"/>
      <c r="K164" s="555"/>
      <c r="L164" s="436">
        <f>L163-$D163</f>
        <v>0</v>
      </c>
      <c r="M164" s="1227"/>
    </row>
    <row r="165" spans="1:13">
      <c r="A165" s="1139" t="s">
        <v>331</v>
      </c>
      <c r="B165" s="1139"/>
      <c r="C165" s="1134"/>
      <c r="D165" s="1134"/>
      <c r="E165" s="1221"/>
      <c r="F165" s="1221"/>
      <c r="G165" s="1221"/>
      <c r="H165" s="1221"/>
      <c r="I165" s="1221"/>
      <c r="J165" s="1221"/>
      <c r="K165" s="1221"/>
      <c r="L165" s="1221"/>
      <c r="M165" s="1221"/>
    </row>
    <row r="166" spans="1:13">
      <c r="A166" s="1139" t="s">
        <v>791</v>
      </c>
      <c r="B166" s="1139"/>
      <c r="C166" s="1134"/>
      <c r="D166" s="1134"/>
      <c r="E166" s="1221"/>
      <c r="F166" s="1221"/>
      <c r="G166" s="1221"/>
      <c r="H166" s="1221"/>
      <c r="I166" s="1221"/>
      <c r="J166" s="1221"/>
      <c r="K166" s="1221"/>
      <c r="L166" s="1221"/>
      <c r="M166" s="1221"/>
    </row>
    <row r="168" spans="1:13">
      <c r="A168" s="412" t="str">
        <f>"Negotiated Renewal Rates are effective " &amp; RenewalMonth &amp; " 1, " &amp; RenewalYear &amp;"."</f>
        <v>Negotiated Renewal Rates are effective Month 1, Year.</v>
      </c>
    </row>
    <row r="169" spans="1:13">
      <c r="A169" s="430" t="s">
        <v>170</v>
      </c>
    </row>
    <row r="170" spans="1:13">
      <c r="A170" s="430" t="s">
        <v>171</v>
      </c>
    </row>
    <row r="171" spans="1:13">
      <c r="A171" s="192" t="s">
        <v>543</v>
      </c>
    </row>
  </sheetData>
  <mergeCells count="47">
    <mergeCell ref="M162:M164"/>
    <mergeCell ref="A165:B165"/>
    <mergeCell ref="C165:D165"/>
    <mergeCell ref="E165:G165"/>
    <mergeCell ref="H165:J165"/>
    <mergeCell ref="K165:M165"/>
    <mergeCell ref="A162:B162"/>
    <mergeCell ref="G162:G164"/>
    <mergeCell ref="J162:J164"/>
    <mergeCell ref="A163:B163"/>
    <mergeCell ref="A164:B164"/>
    <mergeCell ref="K42:K43"/>
    <mergeCell ref="L42:L43"/>
    <mergeCell ref="M42:M43"/>
    <mergeCell ref="K160:K161"/>
    <mergeCell ref="L160:L161"/>
    <mergeCell ref="M160:M161"/>
    <mergeCell ref="G160:G161"/>
    <mergeCell ref="H160:H161"/>
    <mergeCell ref="I160:I161"/>
    <mergeCell ref="J160:J161"/>
    <mergeCell ref="A161:B161"/>
    <mergeCell ref="A160:B160"/>
    <mergeCell ref="C160:C161"/>
    <mergeCell ref="D160:D161"/>
    <mergeCell ref="E160:E161"/>
    <mergeCell ref="F160:F161"/>
    <mergeCell ref="G42:G43"/>
    <mergeCell ref="H42:H43"/>
    <mergeCell ref="I42:I43"/>
    <mergeCell ref="J42:J43"/>
    <mergeCell ref="A43:B43"/>
    <mergeCell ref="A42:B42"/>
    <mergeCell ref="C42:C43"/>
    <mergeCell ref="D42:D43"/>
    <mergeCell ref="E42:E43"/>
    <mergeCell ref="F42:F43"/>
    <mergeCell ref="A2:L3"/>
    <mergeCell ref="C5:D5"/>
    <mergeCell ref="E5:G5"/>
    <mergeCell ref="H5:J5"/>
    <mergeCell ref="K5:M5"/>
    <mergeCell ref="A166:B166"/>
    <mergeCell ref="C166:D166"/>
    <mergeCell ref="E166:G166"/>
    <mergeCell ref="H166:J166"/>
    <mergeCell ref="K166:M166"/>
  </mergeCells>
  <pageMargins left="0.405092592592593" right="0.47453703703703698" top="0.55118110236220497" bottom="0.94488188976377996" header="0.31496062992126" footer="0.31496062992126"/>
  <pageSetup scale="66" fitToHeight="0" orientation="portrait" r:id="rId1"/>
  <headerFooter scaleWithDoc="0">
    <oddHeader>&amp;C&amp;G</oddHeader>
    <oddFooter>&amp;C&amp;G&amp;R&amp;P</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24">
    <tabColor rgb="FFFF0000"/>
    <pageSetUpPr fitToPage="1"/>
  </sheetPr>
  <dimension ref="A1:I45"/>
  <sheetViews>
    <sheetView showGridLines="0" view="pageLayout" topLeftCell="A4" zoomScaleNormal="100" workbookViewId="0">
      <selection activeCell="H10" sqref="H10"/>
    </sheetView>
  </sheetViews>
  <sheetFormatPr baseColWidth="10" defaultColWidth="9.1640625" defaultRowHeight="15"/>
  <cols>
    <col min="1" max="1" width="21.1640625" customWidth="1"/>
    <col min="2" max="2" width="28.6640625" customWidth="1"/>
    <col min="3" max="3" width="40.6640625" customWidth="1"/>
    <col min="4" max="4" width="11.1640625" customWidth="1"/>
    <col min="5" max="5" width="19.5" customWidth="1"/>
    <col min="6" max="6" width="7.5" customWidth="1"/>
    <col min="7" max="9" width="9.1640625" customWidth="1"/>
  </cols>
  <sheetData>
    <row r="1" spans="1:9" ht="27" customHeight="1"/>
    <row r="2" spans="1:9" ht="20.25" customHeight="1">
      <c r="A2" s="1228" t="s">
        <v>18</v>
      </c>
      <c r="B2" s="1228"/>
      <c r="C2" s="1149"/>
      <c r="D2" s="1149"/>
      <c r="E2" s="1149"/>
    </row>
    <row r="3" spans="1:9" ht="15" customHeight="1">
      <c r="A3" s="1228"/>
      <c r="B3" s="1228"/>
      <c r="C3" s="1149"/>
      <c r="D3" s="1149"/>
      <c r="E3" s="1149"/>
    </row>
    <row r="4" spans="1:9">
      <c r="B4" s="18"/>
      <c r="C4" s="18"/>
      <c r="D4" s="18"/>
      <c r="E4" s="19"/>
      <c r="F4" s="18"/>
      <c r="G4" s="18"/>
      <c r="H4" s="18"/>
      <c r="I4" s="5"/>
    </row>
    <row r="5" spans="1:9" ht="32.25" customHeight="1">
      <c r="A5" s="570" t="s">
        <v>34</v>
      </c>
      <c r="B5" s="566" t="s">
        <v>623</v>
      </c>
      <c r="C5" s="566" t="s">
        <v>135</v>
      </c>
      <c r="D5" s="566" t="s">
        <v>36</v>
      </c>
      <c r="E5" s="565" t="s">
        <v>136</v>
      </c>
      <c r="F5" s="18"/>
      <c r="G5" s="18"/>
      <c r="H5" s="5"/>
    </row>
    <row r="6" spans="1:9">
      <c r="A6" s="741" t="s">
        <v>132</v>
      </c>
      <c r="B6" s="567"/>
      <c r="C6" s="567"/>
      <c r="D6" s="568"/>
      <c r="E6" s="569"/>
      <c r="F6" s="18"/>
      <c r="G6" s="18"/>
      <c r="H6" s="5"/>
    </row>
    <row r="7" spans="1:9">
      <c r="A7" s="741" t="s">
        <v>38</v>
      </c>
      <c r="B7" s="567"/>
      <c r="C7" s="567"/>
      <c r="D7" s="568"/>
      <c r="E7" s="569"/>
      <c r="F7" s="18"/>
      <c r="G7" s="18"/>
      <c r="H7" s="5"/>
    </row>
    <row r="8" spans="1:9">
      <c r="A8" s="741" t="s">
        <v>9</v>
      </c>
      <c r="B8" s="567"/>
      <c r="C8" s="567"/>
      <c r="D8" s="568"/>
      <c r="E8" s="569"/>
      <c r="F8" s="18"/>
      <c r="G8" s="18"/>
      <c r="H8" s="5"/>
    </row>
    <row r="9" spans="1:9">
      <c r="A9" s="741" t="s">
        <v>39</v>
      </c>
      <c r="B9" s="567"/>
      <c r="C9" s="567"/>
      <c r="D9" s="568"/>
      <c r="E9" s="569"/>
      <c r="F9" s="18"/>
      <c r="G9" s="18"/>
      <c r="H9" s="5"/>
    </row>
    <row r="10" spans="1:9">
      <c r="A10" s="741" t="s">
        <v>133</v>
      </c>
      <c r="B10" s="567"/>
      <c r="C10" s="567"/>
      <c r="D10" s="568"/>
      <c r="E10" s="569"/>
      <c r="F10" s="18"/>
      <c r="G10" s="18"/>
      <c r="H10" s="5"/>
    </row>
    <row r="11" spans="1:9">
      <c r="A11" s="741" t="s">
        <v>40</v>
      </c>
      <c r="B11" s="567"/>
      <c r="C11" s="567"/>
      <c r="D11" s="568"/>
      <c r="E11" s="569"/>
      <c r="F11" s="18"/>
      <c r="G11" s="18"/>
      <c r="H11" s="5"/>
    </row>
    <row r="12" spans="1:9">
      <c r="A12" s="741" t="s">
        <v>162</v>
      </c>
      <c r="B12" s="567"/>
      <c r="C12" s="567"/>
      <c r="D12" s="568"/>
      <c r="E12" s="569"/>
      <c r="F12" s="18"/>
      <c r="G12" s="18"/>
      <c r="H12" s="5"/>
    </row>
    <row r="13" spans="1:9">
      <c r="A13" s="741" t="s">
        <v>110</v>
      </c>
      <c r="B13" s="567"/>
      <c r="C13" s="567"/>
      <c r="D13" s="568"/>
      <c r="E13" s="569"/>
      <c r="F13" s="18"/>
      <c r="G13" s="18"/>
      <c r="H13" s="5"/>
    </row>
    <row r="14" spans="1:9">
      <c r="A14" s="741" t="s">
        <v>43</v>
      </c>
      <c r="B14" s="567"/>
      <c r="C14" s="567"/>
      <c r="D14" s="568"/>
      <c r="E14" s="569"/>
      <c r="F14" s="18"/>
      <c r="G14" s="18"/>
      <c r="H14" s="5"/>
    </row>
    <row r="15" spans="1:9">
      <c r="A15" s="741" t="s">
        <v>16</v>
      </c>
      <c r="B15" s="567"/>
      <c r="C15" s="567"/>
      <c r="D15" s="568"/>
      <c r="E15" s="569"/>
      <c r="F15" s="18"/>
      <c r="G15" s="18"/>
      <c r="H15" s="5"/>
    </row>
    <row r="16" spans="1:9" ht="24.5" customHeight="1">
      <c r="A16" s="741" t="s">
        <v>134</v>
      </c>
      <c r="B16" s="567" t="s">
        <v>624</v>
      </c>
      <c r="C16" s="736" t="s">
        <v>865</v>
      </c>
      <c r="D16" s="568" t="e">
        <f>'Alternates - DNP'!G176</f>
        <v>#DIV/0!</v>
      </c>
      <c r="E16" s="569">
        <f>'Alternates - DNP'!F178</f>
        <v>0</v>
      </c>
      <c r="F16" s="18"/>
      <c r="G16" s="18"/>
      <c r="H16" s="5"/>
    </row>
    <row r="17" spans="1:8" ht="24.5" customHeight="1">
      <c r="A17" s="741" t="s">
        <v>625</v>
      </c>
      <c r="B17" s="567" t="s">
        <v>624</v>
      </c>
      <c r="C17" s="736" t="s">
        <v>867</v>
      </c>
      <c r="D17" s="568" t="e">
        <f>'Alternates - DNP'!P176</f>
        <v>#DIV/0!</v>
      </c>
      <c r="E17" s="569">
        <f>'Alternates - DNP'!O178</f>
        <v>0</v>
      </c>
      <c r="F17" s="18"/>
      <c r="G17" s="18"/>
      <c r="H17" s="5"/>
    </row>
    <row r="18" spans="1:8" s="364" customFormat="1" ht="24.5" customHeight="1">
      <c r="A18" s="802" t="s">
        <v>830</v>
      </c>
      <c r="B18" s="803" t="s">
        <v>624</v>
      </c>
      <c r="C18" s="798" t="s">
        <v>868</v>
      </c>
      <c r="D18" s="568" t="e">
        <f>'Alternates - DNP'!S176</f>
        <v>#DIV/0!</v>
      </c>
      <c r="E18" s="569">
        <f>'Alternates - DNP'!R178</f>
        <v>0</v>
      </c>
      <c r="F18" s="804"/>
      <c r="G18" s="804"/>
      <c r="H18" s="5"/>
    </row>
    <row r="19" spans="1:8" s="364" customFormat="1" ht="24.5" customHeight="1">
      <c r="A19" s="802" t="s">
        <v>831</v>
      </c>
      <c r="B19" s="803" t="s">
        <v>624</v>
      </c>
      <c r="C19" s="798" t="s">
        <v>869</v>
      </c>
      <c r="D19" s="568" t="e">
        <f>'Alternates - DNP'!V176</f>
        <v>#DIV/0!</v>
      </c>
      <c r="E19" s="569">
        <f>'Alternates - DNP'!U178</f>
        <v>0</v>
      </c>
      <c r="F19" s="804"/>
      <c r="G19" s="804"/>
      <c r="H19" s="5"/>
    </row>
    <row r="20" spans="1:8" s="364" customFormat="1" ht="24.5" customHeight="1">
      <c r="A20" s="937" t="s">
        <v>922</v>
      </c>
      <c r="B20" s="938" t="s">
        <v>624</v>
      </c>
      <c r="C20" s="798" t="s">
        <v>923</v>
      </c>
      <c r="D20" s="568" t="e">
        <f>'Alternates - DNP'!Y176</f>
        <v>#DIV/0!</v>
      </c>
      <c r="E20" s="569">
        <f>'Alternates - DNP'!X178</f>
        <v>0</v>
      </c>
      <c r="F20" s="939"/>
      <c r="G20" s="939"/>
      <c r="H20" s="5"/>
    </row>
    <row r="21" spans="1:8" s="364" customFormat="1" ht="24.5" customHeight="1">
      <c r="A21" s="902" t="s">
        <v>864</v>
      </c>
      <c r="B21" s="903" t="s">
        <v>624</v>
      </c>
      <c r="C21" s="798" t="s">
        <v>870</v>
      </c>
      <c r="D21" s="568" t="e">
        <f>'Alternates - DNP'!AB176</f>
        <v>#DIV/0!</v>
      </c>
      <c r="E21" s="569">
        <f>'Alternates - DNP'!AA178</f>
        <v>0</v>
      </c>
      <c r="F21" s="904"/>
      <c r="G21" s="904"/>
      <c r="H21" s="5"/>
    </row>
    <row r="22" spans="1:8">
      <c r="A22" s="18"/>
      <c r="D22" s="229"/>
      <c r="E22" s="229"/>
      <c r="F22" s="18"/>
      <c r="G22" s="18"/>
      <c r="H22" s="5"/>
    </row>
    <row r="23" spans="1:8">
      <c r="A23" s="18"/>
      <c r="B23" s="21"/>
      <c r="C23" s="21"/>
      <c r="D23" s="229"/>
      <c r="E23" s="229"/>
      <c r="F23" s="18"/>
      <c r="G23" s="18"/>
      <c r="H23" s="5"/>
    </row>
    <row r="24" spans="1:8">
      <c r="A24" s="18"/>
      <c r="E24" s="19"/>
      <c r="F24" s="18"/>
      <c r="G24" s="18"/>
      <c r="H24" s="5"/>
    </row>
    <row r="25" spans="1:8">
      <c r="A25" s="18"/>
      <c r="E25" s="19"/>
      <c r="F25" s="18"/>
      <c r="G25" s="18"/>
      <c r="H25" s="5"/>
    </row>
    <row r="26" spans="1:8">
      <c r="A26" s="18"/>
      <c r="B26" s="18"/>
      <c r="C26" s="18"/>
      <c r="D26" s="19"/>
      <c r="E26" s="19"/>
      <c r="F26" s="18"/>
      <c r="G26" s="18"/>
      <c r="H26" s="5"/>
    </row>
    <row r="27" spans="1:8">
      <c r="A27" s="18"/>
      <c r="B27" s="18"/>
      <c r="C27" s="18"/>
      <c r="D27" s="19"/>
      <c r="E27" s="19"/>
      <c r="F27" s="18"/>
      <c r="G27" s="18"/>
      <c r="H27" s="5"/>
    </row>
    <row r="28" spans="1:8">
      <c r="A28" s="18"/>
      <c r="B28" s="18"/>
      <c r="C28" s="18"/>
      <c r="D28" s="19"/>
      <c r="E28" s="19"/>
      <c r="F28" s="18"/>
      <c r="G28" s="18"/>
      <c r="H28" s="5"/>
    </row>
    <row r="29" spans="1:8">
      <c r="A29" s="18"/>
      <c r="B29" s="18"/>
      <c r="C29" s="18"/>
      <c r="D29" s="19"/>
      <c r="E29" s="19"/>
      <c r="F29" s="18"/>
      <c r="G29" s="18"/>
      <c r="H29" s="5"/>
    </row>
    <row r="30" spans="1:8">
      <c r="A30" s="18"/>
      <c r="B30" s="18"/>
      <c r="C30" s="18"/>
      <c r="D30" s="19"/>
      <c r="E30" s="19"/>
      <c r="F30" s="18"/>
      <c r="G30" s="18"/>
      <c r="H30" s="5"/>
    </row>
    <row r="31" spans="1:8">
      <c r="A31" s="18"/>
      <c r="B31" s="18"/>
      <c r="C31" s="18"/>
      <c r="D31" s="19"/>
      <c r="E31" s="19"/>
      <c r="F31" s="18"/>
      <c r="G31" s="18"/>
      <c r="H31" s="5"/>
    </row>
    <row r="32" spans="1:8">
      <c r="A32" s="18"/>
      <c r="B32" s="18"/>
      <c r="C32" s="18"/>
      <c r="D32" s="19"/>
      <c r="E32" s="19"/>
      <c r="F32" s="18"/>
      <c r="G32" s="18"/>
      <c r="H32" s="5"/>
    </row>
    <row r="33" spans="1:8">
      <c r="A33" s="18"/>
      <c r="B33" s="18"/>
      <c r="C33" s="18"/>
      <c r="D33" s="19"/>
      <c r="E33" s="19"/>
      <c r="F33" s="18"/>
      <c r="G33" s="18"/>
      <c r="H33" s="5"/>
    </row>
    <row r="34" spans="1:8">
      <c r="A34" s="18"/>
      <c r="B34" s="18"/>
      <c r="C34" s="18"/>
      <c r="D34" s="19"/>
      <c r="E34" s="19"/>
      <c r="F34" s="18"/>
      <c r="G34" s="18"/>
      <c r="H34" s="5"/>
    </row>
    <row r="35" spans="1:8">
      <c r="A35" s="18"/>
      <c r="B35" s="18"/>
      <c r="C35" s="18"/>
      <c r="D35" s="19"/>
      <c r="E35" s="19"/>
      <c r="F35" s="18"/>
      <c r="G35" s="18"/>
      <c r="H35" s="5"/>
    </row>
    <row r="36" spans="1:8">
      <c r="A36" s="18"/>
      <c r="B36" s="18"/>
      <c r="C36" s="18"/>
      <c r="D36" s="19"/>
      <c r="E36" s="19"/>
      <c r="F36" s="18"/>
      <c r="G36" s="18"/>
      <c r="H36" s="5"/>
    </row>
    <row r="37" spans="1:8">
      <c r="A37" s="18"/>
      <c r="B37" s="18"/>
      <c r="C37" s="18"/>
      <c r="D37" s="19"/>
      <c r="E37" s="19"/>
      <c r="F37" s="18"/>
      <c r="G37" s="18"/>
      <c r="H37" s="5"/>
    </row>
    <row r="38" spans="1:8">
      <c r="A38" s="18"/>
      <c r="B38" s="18"/>
      <c r="C38" s="18"/>
      <c r="D38" s="19"/>
      <c r="E38" s="19"/>
      <c r="F38" s="18"/>
      <c r="G38" s="18"/>
      <c r="H38" s="5"/>
    </row>
    <row r="39" spans="1:8">
      <c r="A39" s="18"/>
      <c r="B39" s="18"/>
      <c r="C39" s="18"/>
      <c r="D39" s="19"/>
      <c r="E39" s="19"/>
      <c r="F39" s="18"/>
      <c r="G39" s="18"/>
      <c r="H39" s="5"/>
    </row>
    <row r="40" spans="1:8">
      <c r="A40" s="18"/>
      <c r="B40" s="18"/>
      <c r="C40" s="18"/>
      <c r="D40" s="19"/>
      <c r="E40" s="19"/>
      <c r="F40" s="18"/>
      <c r="G40" s="18"/>
      <c r="H40" s="5"/>
    </row>
    <row r="41" spans="1:8">
      <c r="A41" s="18"/>
      <c r="B41" s="18"/>
      <c r="C41" s="18"/>
      <c r="D41" s="19"/>
      <c r="E41" s="19"/>
      <c r="F41" s="18"/>
      <c r="G41" s="18"/>
      <c r="H41" s="5"/>
    </row>
    <row r="42" spans="1:8">
      <c r="A42" s="18"/>
      <c r="B42" s="18"/>
      <c r="C42" s="18"/>
      <c r="D42" s="19"/>
      <c r="E42" s="19"/>
      <c r="F42" s="18"/>
      <c r="G42" s="18"/>
      <c r="H42" s="5"/>
    </row>
    <row r="43" spans="1:8">
      <c r="A43" s="18"/>
      <c r="B43" s="18"/>
      <c r="C43" s="18"/>
      <c r="D43" s="19"/>
      <c r="E43" s="19"/>
      <c r="F43" s="18"/>
      <c r="G43" s="18"/>
      <c r="H43" s="5"/>
    </row>
    <row r="44" spans="1:8">
      <c r="A44" s="18"/>
      <c r="B44" s="18"/>
      <c r="C44" s="18"/>
      <c r="D44" s="19"/>
      <c r="E44" s="19"/>
      <c r="F44" s="18"/>
      <c r="G44" s="18"/>
      <c r="H44" s="5"/>
    </row>
    <row r="45" spans="1:8">
      <c r="A45" s="16"/>
      <c r="B45" s="16"/>
      <c r="C45" s="16"/>
      <c r="D45" s="16"/>
      <c r="E45" s="16"/>
      <c r="F45" s="16"/>
      <c r="G45" s="16"/>
      <c r="H45" s="16"/>
    </row>
  </sheetData>
  <mergeCells count="1">
    <mergeCell ref="A2:E3"/>
  </mergeCells>
  <pageMargins left="0.405092592592593" right="0.47453703703703698" top="0.55118110236220497" bottom="0.94488188976377996" header="0.31496062992126" footer="0.31496062992126"/>
  <pageSetup scale="80" fitToHeight="0" orientation="portrait" r:id="rId1"/>
  <headerFooter scaleWithDoc="0">
    <oddHeader>&amp;C&amp;G</oddHeader>
    <oddFooter>&amp;C&amp;G&amp;R&amp;P</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4">
    <tabColor theme="1"/>
    <pageSetUpPr fitToPage="1"/>
  </sheetPr>
  <dimension ref="A2:AG180"/>
  <sheetViews>
    <sheetView showGridLines="0" view="pageLayout" topLeftCell="D98" zoomScaleNormal="100" workbookViewId="0">
      <selection activeCell="H10" sqref="H10"/>
    </sheetView>
  </sheetViews>
  <sheetFormatPr baseColWidth="10" defaultColWidth="9.1640625" defaultRowHeight="15" outlineLevelRow="1"/>
  <cols>
    <col min="1" max="1" width="19.1640625" customWidth="1"/>
    <col min="2" max="2" width="14.83203125" customWidth="1"/>
    <col min="3" max="3" width="9.33203125" customWidth="1"/>
    <col min="4" max="4" width="14" customWidth="1"/>
    <col min="5" max="5" width="9.33203125" style="233" customWidth="1"/>
    <col min="6" max="6" width="14" style="233" customWidth="1"/>
    <col min="7" max="7" width="9.5" style="233" customWidth="1"/>
    <col min="8" max="8" width="9.33203125" style="233" hidden="1" customWidth="1"/>
    <col min="9" max="9" width="14" style="233" hidden="1" customWidth="1"/>
    <col min="10" max="10" width="9.5" style="233" hidden="1" customWidth="1"/>
    <col min="11" max="11" width="9.33203125" style="233" hidden="1" customWidth="1"/>
    <col min="12" max="12" width="14" style="233" hidden="1" customWidth="1"/>
    <col min="13" max="13" width="9.5" style="233" hidden="1" customWidth="1"/>
    <col min="14" max="14" width="9.33203125" customWidth="1"/>
    <col min="15" max="15" width="14" customWidth="1"/>
    <col min="16" max="16" width="9.5" customWidth="1"/>
    <col min="17" max="17" width="9.33203125" style="364" customWidth="1"/>
    <col min="18" max="18" width="14" style="364" customWidth="1"/>
    <col min="19" max="19" width="9.5" style="364" customWidth="1"/>
    <col min="20" max="20" width="9.33203125" style="364" customWidth="1"/>
    <col min="21" max="21" width="14" style="364" customWidth="1"/>
    <col min="22" max="22" width="9.5" style="364" customWidth="1"/>
    <col min="23" max="23" width="9.33203125" style="364" customWidth="1"/>
    <col min="24" max="24" width="14" style="364" customWidth="1"/>
    <col min="25" max="25" width="9.5" style="364" customWidth="1"/>
    <col min="26" max="26" width="9.33203125" style="364" customWidth="1"/>
    <col min="27" max="27" width="14" style="364" customWidth="1"/>
    <col min="28" max="28" width="9.5" style="364" customWidth="1"/>
    <col min="29" max="29" width="9.33203125" customWidth="1"/>
    <col min="30" max="30" width="14" customWidth="1"/>
    <col min="31" max="31" width="9.5" customWidth="1"/>
    <col min="32" max="34" width="7.5" customWidth="1"/>
    <col min="35" max="35" width="10.5" customWidth="1"/>
  </cols>
  <sheetData>
    <row r="2" spans="1:33" s="1" customFormat="1" ht="15" customHeight="1">
      <c r="A2" s="1231" t="s">
        <v>536</v>
      </c>
      <c r="B2" s="1232"/>
      <c r="C2" s="1232"/>
      <c r="D2" s="1232"/>
      <c r="E2" s="1232"/>
      <c r="F2" s="1232"/>
      <c r="G2" s="1232"/>
      <c r="H2" s="1232"/>
      <c r="I2" s="1232"/>
      <c r="J2" s="1232"/>
      <c r="K2" s="1232"/>
      <c r="L2" s="1232"/>
      <c r="M2" s="1232"/>
      <c r="N2" s="1232"/>
      <c r="O2" s="1232"/>
      <c r="P2" s="1232"/>
      <c r="Q2" s="807"/>
      <c r="R2" s="807"/>
      <c r="S2" s="807"/>
      <c r="T2" s="807"/>
      <c r="U2" s="807"/>
      <c r="V2" s="807"/>
      <c r="W2" s="942"/>
      <c r="X2" s="942"/>
      <c r="Y2" s="942"/>
      <c r="Z2" s="907"/>
      <c r="AA2" s="907"/>
      <c r="AB2" s="907"/>
      <c r="AC2" s="22"/>
      <c r="AD2" s="22"/>
      <c r="AE2" s="22"/>
      <c r="AF2" s="22"/>
      <c r="AG2" s="22"/>
    </row>
    <row r="3" spans="1:33" s="1" customFormat="1" ht="15" customHeight="1">
      <c r="A3" s="1231"/>
      <c r="B3" s="1232"/>
      <c r="C3" s="1232"/>
      <c r="D3" s="1232"/>
      <c r="E3" s="1232"/>
      <c r="F3" s="1232"/>
      <c r="G3" s="1232"/>
      <c r="H3" s="1232"/>
      <c r="I3" s="1232"/>
      <c r="J3" s="1232"/>
      <c r="K3" s="1232"/>
      <c r="L3" s="1232"/>
      <c r="M3" s="1232"/>
      <c r="N3" s="1232"/>
      <c r="O3" s="1232"/>
      <c r="P3" s="1232"/>
      <c r="Q3" s="807"/>
      <c r="R3" s="807"/>
      <c r="S3" s="807"/>
      <c r="T3" s="807"/>
      <c r="U3" s="807"/>
      <c r="V3" s="807"/>
      <c r="W3" s="942"/>
      <c r="X3" s="942"/>
      <c r="Y3" s="942"/>
      <c r="Z3" s="907"/>
      <c r="AA3" s="907"/>
      <c r="AB3" s="907"/>
      <c r="AC3" s="22"/>
      <c r="AD3" s="22"/>
      <c r="AE3" s="22"/>
      <c r="AF3" s="22"/>
      <c r="AG3" s="22"/>
    </row>
    <row r="4" spans="1:33" s="1" customFormat="1" ht="12" customHeight="1">
      <c r="A4" s="24"/>
      <c r="B4" s="24"/>
      <c r="C4" s="24"/>
      <c r="D4" s="24"/>
      <c r="E4" s="1233" t="s">
        <v>686</v>
      </c>
      <c r="F4" s="1234"/>
      <c r="G4" s="1234"/>
      <c r="H4" s="1234"/>
      <c r="I4" s="1234"/>
      <c r="J4" s="1234"/>
      <c r="K4" s="1234"/>
      <c r="L4" s="1234"/>
      <c r="M4" s="1234"/>
      <c r="N4" s="1234"/>
      <c r="O4" s="1234"/>
      <c r="P4" s="1234"/>
      <c r="Q4" s="1234"/>
      <c r="R4" s="1234"/>
      <c r="S4" s="1234"/>
      <c r="T4" s="1234"/>
      <c r="U4" s="1234"/>
      <c r="V4" s="1234"/>
      <c r="W4" s="920"/>
      <c r="X4" s="920"/>
      <c r="Y4" s="920"/>
      <c r="Z4" s="920"/>
      <c r="AA4" s="920"/>
      <c r="AB4" s="920"/>
      <c r="AC4" s="24"/>
      <c r="AD4" s="24"/>
      <c r="AE4" s="24"/>
      <c r="AF4" s="24"/>
      <c r="AG4" s="24"/>
    </row>
    <row r="5" spans="1:33" s="1" customFormat="1" ht="12" customHeight="1">
      <c r="A5" s="80"/>
      <c r="B5" s="532"/>
      <c r="C5" s="1229" t="s">
        <v>33</v>
      </c>
      <c r="D5" s="1229"/>
      <c r="E5" s="1230" t="s">
        <v>687</v>
      </c>
      <c r="F5" s="1230"/>
      <c r="G5" s="1230"/>
      <c r="H5" s="1164" t="s">
        <v>688</v>
      </c>
      <c r="I5" s="1164"/>
      <c r="J5" s="1164"/>
      <c r="K5" s="1164" t="s">
        <v>689</v>
      </c>
      <c r="L5" s="1164"/>
      <c r="M5" s="1164"/>
      <c r="N5" s="1229" t="s">
        <v>690</v>
      </c>
      <c r="O5" s="1229"/>
      <c r="P5" s="1229"/>
      <c r="Q5" s="1229" t="s">
        <v>828</v>
      </c>
      <c r="R5" s="1229"/>
      <c r="S5" s="1229"/>
      <c r="T5" s="1229" t="s">
        <v>829</v>
      </c>
      <c r="U5" s="1229"/>
      <c r="V5" s="1229"/>
      <c r="W5" s="1229" t="s">
        <v>921</v>
      </c>
      <c r="X5" s="1229"/>
      <c r="Y5" s="1229"/>
      <c r="Z5" s="1229" t="s">
        <v>866</v>
      </c>
      <c r="AA5" s="1229"/>
      <c r="AB5" s="1229"/>
      <c r="AC5" s="1230" t="s">
        <v>527</v>
      </c>
      <c r="AD5" s="1230"/>
      <c r="AE5" s="1230"/>
      <c r="AF5" s="24"/>
      <c r="AG5" s="24"/>
    </row>
    <row r="6" spans="1:33" s="1" customFormat="1" ht="20">
      <c r="A6" s="717" t="s">
        <v>34</v>
      </c>
      <c r="B6" s="712" t="s">
        <v>77</v>
      </c>
      <c r="C6" s="712" t="s">
        <v>160</v>
      </c>
      <c r="D6" s="712" t="s">
        <v>35</v>
      </c>
      <c r="E6" s="712" t="s">
        <v>160</v>
      </c>
      <c r="F6" s="712" t="s">
        <v>35</v>
      </c>
      <c r="G6" s="712" t="s">
        <v>36</v>
      </c>
      <c r="H6" s="712" t="s">
        <v>160</v>
      </c>
      <c r="I6" s="712" t="s">
        <v>35</v>
      </c>
      <c r="J6" s="712" t="s">
        <v>36</v>
      </c>
      <c r="K6" s="712" t="s">
        <v>160</v>
      </c>
      <c r="L6" s="712" t="s">
        <v>35</v>
      </c>
      <c r="M6" s="712" t="s">
        <v>36</v>
      </c>
      <c r="N6" s="712" t="s">
        <v>160</v>
      </c>
      <c r="O6" s="712" t="s">
        <v>35</v>
      </c>
      <c r="P6" s="712" t="s">
        <v>36</v>
      </c>
      <c r="Q6" s="797" t="s">
        <v>160</v>
      </c>
      <c r="R6" s="797" t="s">
        <v>35</v>
      </c>
      <c r="S6" s="797" t="s">
        <v>36</v>
      </c>
      <c r="T6" s="797" t="s">
        <v>160</v>
      </c>
      <c r="U6" s="797" t="s">
        <v>35</v>
      </c>
      <c r="V6" s="797" t="s">
        <v>36</v>
      </c>
      <c r="W6" s="936" t="s">
        <v>160</v>
      </c>
      <c r="X6" s="936" t="s">
        <v>35</v>
      </c>
      <c r="Y6" s="936" t="s">
        <v>36</v>
      </c>
      <c r="Z6" s="901" t="s">
        <v>160</v>
      </c>
      <c r="AA6" s="901" t="s">
        <v>35</v>
      </c>
      <c r="AB6" s="901" t="s">
        <v>36</v>
      </c>
      <c r="AC6" s="712" t="s">
        <v>160</v>
      </c>
      <c r="AD6" s="712" t="s">
        <v>35</v>
      </c>
      <c r="AE6" s="714" t="s">
        <v>36</v>
      </c>
      <c r="AF6" s="24"/>
      <c r="AG6" s="24"/>
    </row>
    <row r="7" spans="1:33" s="1" customFormat="1" ht="12" customHeight="1">
      <c r="A7" s="448" t="s">
        <v>132</v>
      </c>
      <c r="B7" s="385"/>
      <c r="C7" s="385"/>
      <c r="D7" s="435"/>
      <c r="E7" s="571"/>
      <c r="F7" s="435"/>
      <c r="G7" s="428"/>
      <c r="H7" s="571"/>
      <c r="I7" s="435"/>
      <c r="J7" s="428"/>
      <c r="K7" s="571"/>
      <c r="L7" s="435"/>
      <c r="M7" s="428"/>
      <c r="N7" s="571"/>
      <c r="O7" s="435"/>
      <c r="P7" s="428"/>
      <c r="Q7" s="571"/>
      <c r="R7" s="799"/>
      <c r="S7" s="428"/>
      <c r="T7" s="571"/>
      <c r="U7" s="799"/>
      <c r="V7" s="428"/>
      <c r="W7" s="571"/>
      <c r="X7" s="934"/>
      <c r="Y7" s="428"/>
      <c r="Z7" s="571"/>
      <c r="AA7" s="899"/>
      <c r="AB7" s="428"/>
      <c r="AC7" s="571"/>
      <c r="AD7" s="435"/>
      <c r="AE7" s="428"/>
      <c r="AF7" s="24"/>
      <c r="AG7" s="24"/>
    </row>
    <row r="8" spans="1:33" s="1" customFormat="1" ht="12" hidden="1" customHeight="1" outlineLevel="1">
      <c r="A8" s="499" t="str">
        <f>'Renewal Rates '!A7</f>
        <v>Class A</v>
      </c>
      <c r="B8" s="385">
        <f>'Renewal Rates '!B7</f>
        <v>0</v>
      </c>
      <c r="C8" s="385">
        <f>'Renewal Rates '!H7</f>
        <v>0</v>
      </c>
      <c r="D8" s="435">
        <f>C8*B8/1000</f>
        <v>0</v>
      </c>
      <c r="E8" s="571">
        <f>$C8</f>
        <v>0</v>
      </c>
      <c r="F8" s="435">
        <f>E8*$B8/1000</f>
        <v>0</v>
      </c>
      <c r="G8" s="428" t="e">
        <f>E8/$C8-1</f>
        <v>#DIV/0!</v>
      </c>
      <c r="H8" s="571">
        <v>0</v>
      </c>
      <c r="I8" s="435">
        <f>H8*$B8/1000</f>
        <v>0</v>
      </c>
      <c r="J8" s="428" t="e">
        <f>H8/$C8-1</f>
        <v>#DIV/0!</v>
      </c>
      <c r="K8" s="571">
        <v>0</v>
      </c>
      <c r="L8" s="435">
        <f>K8*$B8/1000</f>
        <v>0</v>
      </c>
      <c r="M8" s="428" t="e">
        <f>K8/$C8-1</f>
        <v>#DIV/0!</v>
      </c>
      <c r="N8" s="571">
        <f>$C8</f>
        <v>0</v>
      </c>
      <c r="O8" s="435">
        <f>N8*$B8/1000</f>
        <v>0</v>
      </c>
      <c r="P8" s="428" t="e">
        <f>N8/$C8-1</f>
        <v>#DIV/0!</v>
      </c>
      <c r="Q8" s="571">
        <f>$C8</f>
        <v>0</v>
      </c>
      <c r="R8" s="799">
        <f>Q8*$B8/1000</f>
        <v>0</v>
      </c>
      <c r="S8" s="428" t="e">
        <f>Q8/$C8-1</f>
        <v>#DIV/0!</v>
      </c>
      <c r="T8" s="571">
        <f>$C8</f>
        <v>0</v>
      </c>
      <c r="U8" s="799">
        <f>T8*$B8/1000</f>
        <v>0</v>
      </c>
      <c r="V8" s="428" t="e">
        <f>T8/$C8-1</f>
        <v>#DIV/0!</v>
      </c>
      <c r="W8" s="571">
        <f>$C8</f>
        <v>0</v>
      </c>
      <c r="X8" s="934">
        <f>W8*$B8/1000</f>
        <v>0</v>
      </c>
      <c r="Y8" s="428" t="e">
        <f>W8/$C8-1</f>
        <v>#DIV/0!</v>
      </c>
      <c r="Z8" s="571">
        <f>$C8</f>
        <v>0</v>
      </c>
      <c r="AA8" s="899">
        <f>Z8*$B8/1000</f>
        <v>0</v>
      </c>
      <c r="AB8" s="428" t="e">
        <f>Z8/$C8-1</f>
        <v>#DIV/0!</v>
      </c>
      <c r="AC8" s="571">
        <f>$C8</f>
        <v>0</v>
      </c>
      <c r="AD8" s="435">
        <f>AC8*$B8/1000</f>
        <v>0</v>
      </c>
      <c r="AE8" s="428" t="e">
        <f>AC8/$C8-1</f>
        <v>#DIV/0!</v>
      </c>
      <c r="AF8" s="291"/>
      <c r="AG8" s="291"/>
    </row>
    <row r="9" spans="1:33" s="1" customFormat="1" ht="12" hidden="1" customHeight="1" outlineLevel="1">
      <c r="A9" s="499" t="str">
        <f>'Renewal Rates '!A8</f>
        <v>Class B</v>
      </c>
      <c r="B9" s="385">
        <f>'Renewal Rates '!B8</f>
        <v>0</v>
      </c>
      <c r="C9" s="385">
        <f>'Renewal Rates '!H8</f>
        <v>0</v>
      </c>
      <c r="D9" s="435">
        <f t="shared" ref="D9:D12" si="0">C9*B9/1000</f>
        <v>0</v>
      </c>
      <c r="E9" s="571">
        <f t="shared" ref="E9:E12" si="1">$C9</f>
        <v>0</v>
      </c>
      <c r="F9" s="435">
        <f t="shared" ref="F9:F12" si="2">E9*$B9/1000</f>
        <v>0</v>
      </c>
      <c r="G9" s="428" t="e">
        <f t="shared" ref="G9:G11" si="3">E9/$C9-1</f>
        <v>#DIV/0!</v>
      </c>
      <c r="H9" s="571">
        <v>0</v>
      </c>
      <c r="I9" s="435">
        <f t="shared" ref="I9:I12" si="4">H9*$B9/1000</f>
        <v>0</v>
      </c>
      <c r="J9" s="428" t="e">
        <f t="shared" ref="J9:J11" si="5">H9/$C9-1</f>
        <v>#DIV/0!</v>
      </c>
      <c r="K9" s="571">
        <v>0</v>
      </c>
      <c r="L9" s="435">
        <f t="shared" ref="L9:L12" si="6">K9*$B9/1000</f>
        <v>0</v>
      </c>
      <c r="M9" s="428" t="e">
        <f t="shared" ref="M9:M11" si="7">K9/$C9-1</f>
        <v>#DIV/0!</v>
      </c>
      <c r="N9" s="571">
        <f t="shared" ref="N9:N12" si="8">$C9</f>
        <v>0</v>
      </c>
      <c r="O9" s="435">
        <f t="shared" ref="O9:O12" si="9">N9*$B9/1000</f>
        <v>0</v>
      </c>
      <c r="P9" s="428" t="e">
        <f t="shared" ref="P9:P11" si="10">N9/$C9-1</f>
        <v>#DIV/0!</v>
      </c>
      <c r="Q9" s="571">
        <f t="shared" ref="Q9:Q12" si="11">$C9</f>
        <v>0</v>
      </c>
      <c r="R9" s="799">
        <f t="shared" ref="R9:R12" si="12">Q9*$B9/1000</f>
        <v>0</v>
      </c>
      <c r="S9" s="428" t="e">
        <f t="shared" ref="S9:S11" si="13">Q9/$C9-1</f>
        <v>#DIV/0!</v>
      </c>
      <c r="T9" s="571">
        <f t="shared" ref="T9:T12" si="14">$C9</f>
        <v>0</v>
      </c>
      <c r="U9" s="799">
        <f t="shared" ref="U9:U12" si="15">T9*$B9/1000</f>
        <v>0</v>
      </c>
      <c r="V9" s="428" t="e">
        <f t="shared" ref="V9:V11" si="16">T9/$C9-1</f>
        <v>#DIV/0!</v>
      </c>
      <c r="W9" s="571">
        <f t="shared" ref="W9:W11" si="17">$C9</f>
        <v>0</v>
      </c>
      <c r="X9" s="934">
        <f t="shared" ref="X9:X11" si="18">W9*$B9/1000</f>
        <v>0</v>
      </c>
      <c r="Y9" s="428" t="e">
        <f t="shared" ref="Y9:Y11" si="19">W9/$C9-1</f>
        <v>#DIV/0!</v>
      </c>
      <c r="Z9" s="571">
        <f t="shared" ref="Z9:Z11" si="20">$C9</f>
        <v>0</v>
      </c>
      <c r="AA9" s="899">
        <f t="shared" ref="AA9:AA11" si="21">Z9*$B9/1000</f>
        <v>0</v>
      </c>
      <c r="AB9" s="428" t="e">
        <f t="shared" ref="AB9:AB11" si="22">Z9/$C9-1</f>
        <v>#DIV/0!</v>
      </c>
      <c r="AC9" s="571">
        <f t="shared" ref="AC9:AC11" si="23">$C9</f>
        <v>0</v>
      </c>
      <c r="AD9" s="435">
        <f t="shared" ref="AD9:AD12" si="24">AC9*$B9/1000</f>
        <v>0</v>
      </c>
      <c r="AE9" s="428" t="e">
        <f t="shared" ref="AE9:AE12" si="25">AC9/$C9-1</f>
        <v>#DIV/0!</v>
      </c>
      <c r="AF9" s="291"/>
      <c r="AG9" s="291"/>
    </row>
    <row r="10" spans="1:33" s="1" customFormat="1" ht="12" hidden="1" customHeight="1" outlineLevel="1">
      <c r="A10" s="499" t="str">
        <f>'Renewal Rates '!A9</f>
        <v>Class C</v>
      </c>
      <c r="B10" s="385">
        <f>'Renewal Rates '!B9</f>
        <v>0</v>
      </c>
      <c r="C10" s="385">
        <f>'Renewal Rates '!H9</f>
        <v>0</v>
      </c>
      <c r="D10" s="435">
        <f t="shared" si="0"/>
        <v>0</v>
      </c>
      <c r="E10" s="571">
        <f t="shared" si="1"/>
        <v>0</v>
      </c>
      <c r="F10" s="435">
        <f t="shared" si="2"/>
        <v>0</v>
      </c>
      <c r="G10" s="428" t="e">
        <f t="shared" si="3"/>
        <v>#DIV/0!</v>
      </c>
      <c r="H10" s="571">
        <v>0</v>
      </c>
      <c r="I10" s="435">
        <f t="shared" si="4"/>
        <v>0</v>
      </c>
      <c r="J10" s="428" t="e">
        <f t="shared" si="5"/>
        <v>#DIV/0!</v>
      </c>
      <c r="K10" s="571">
        <v>0</v>
      </c>
      <c r="L10" s="435">
        <f t="shared" si="6"/>
        <v>0</v>
      </c>
      <c r="M10" s="428" t="e">
        <f t="shared" si="7"/>
        <v>#DIV/0!</v>
      </c>
      <c r="N10" s="571">
        <f t="shared" si="8"/>
        <v>0</v>
      </c>
      <c r="O10" s="435">
        <f t="shared" si="9"/>
        <v>0</v>
      </c>
      <c r="P10" s="428" t="e">
        <f t="shared" si="10"/>
        <v>#DIV/0!</v>
      </c>
      <c r="Q10" s="571">
        <f t="shared" si="11"/>
        <v>0</v>
      </c>
      <c r="R10" s="799">
        <f t="shared" si="12"/>
        <v>0</v>
      </c>
      <c r="S10" s="428" t="e">
        <f t="shared" si="13"/>
        <v>#DIV/0!</v>
      </c>
      <c r="T10" s="571">
        <f t="shared" si="14"/>
        <v>0</v>
      </c>
      <c r="U10" s="799">
        <f t="shared" si="15"/>
        <v>0</v>
      </c>
      <c r="V10" s="428" t="e">
        <f t="shared" si="16"/>
        <v>#DIV/0!</v>
      </c>
      <c r="W10" s="571">
        <f t="shared" si="17"/>
        <v>0</v>
      </c>
      <c r="X10" s="934">
        <f t="shared" si="18"/>
        <v>0</v>
      </c>
      <c r="Y10" s="428" t="e">
        <f t="shared" si="19"/>
        <v>#DIV/0!</v>
      </c>
      <c r="Z10" s="571">
        <f t="shared" si="20"/>
        <v>0</v>
      </c>
      <c r="AA10" s="899">
        <f t="shared" si="21"/>
        <v>0</v>
      </c>
      <c r="AB10" s="428" t="e">
        <f t="shared" si="22"/>
        <v>#DIV/0!</v>
      </c>
      <c r="AC10" s="571">
        <f t="shared" si="23"/>
        <v>0</v>
      </c>
      <c r="AD10" s="435">
        <f t="shared" si="24"/>
        <v>0</v>
      </c>
      <c r="AE10" s="428" t="e">
        <f t="shared" si="25"/>
        <v>#DIV/0!</v>
      </c>
      <c r="AF10" s="291"/>
      <c r="AG10" s="291"/>
    </row>
    <row r="11" spans="1:33" s="1" customFormat="1" ht="12" hidden="1" customHeight="1" outlineLevel="1">
      <c r="A11" s="499" t="str">
        <f>'Renewal Rates '!A10</f>
        <v>Class D</v>
      </c>
      <c r="B11" s="385">
        <f>'Renewal Rates '!B10</f>
        <v>0</v>
      </c>
      <c r="C11" s="385">
        <f>'Renewal Rates '!H10</f>
        <v>0</v>
      </c>
      <c r="D11" s="435">
        <f t="shared" si="0"/>
        <v>0</v>
      </c>
      <c r="E11" s="571">
        <f t="shared" si="1"/>
        <v>0</v>
      </c>
      <c r="F11" s="435">
        <f t="shared" si="2"/>
        <v>0</v>
      </c>
      <c r="G11" s="428" t="e">
        <f t="shared" si="3"/>
        <v>#DIV/0!</v>
      </c>
      <c r="H11" s="571">
        <v>0</v>
      </c>
      <c r="I11" s="435">
        <f t="shared" si="4"/>
        <v>0</v>
      </c>
      <c r="J11" s="428" t="e">
        <f t="shared" si="5"/>
        <v>#DIV/0!</v>
      </c>
      <c r="K11" s="571">
        <v>0</v>
      </c>
      <c r="L11" s="435">
        <f t="shared" si="6"/>
        <v>0</v>
      </c>
      <c r="M11" s="428" t="e">
        <f t="shared" si="7"/>
        <v>#DIV/0!</v>
      </c>
      <c r="N11" s="571">
        <f t="shared" si="8"/>
        <v>0</v>
      </c>
      <c r="O11" s="435">
        <f t="shared" si="9"/>
        <v>0</v>
      </c>
      <c r="P11" s="428" t="e">
        <f t="shared" si="10"/>
        <v>#DIV/0!</v>
      </c>
      <c r="Q11" s="571">
        <f t="shared" si="11"/>
        <v>0</v>
      </c>
      <c r="R11" s="799">
        <f t="shared" si="12"/>
        <v>0</v>
      </c>
      <c r="S11" s="428" t="e">
        <f t="shared" si="13"/>
        <v>#DIV/0!</v>
      </c>
      <c r="T11" s="571">
        <f t="shared" si="14"/>
        <v>0</v>
      </c>
      <c r="U11" s="799">
        <f t="shared" si="15"/>
        <v>0</v>
      </c>
      <c r="V11" s="428" t="e">
        <f t="shared" si="16"/>
        <v>#DIV/0!</v>
      </c>
      <c r="W11" s="571">
        <f t="shared" si="17"/>
        <v>0</v>
      </c>
      <c r="X11" s="934">
        <f t="shared" si="18"/>
        <v>0</v>
      </c>
      <c r="Y11" s="428" t="e">
        <f t="shared" si="19"/>
        <v>#DIV/0!</v>
      </c>
      <c r="Z11" s="571">
        <f t="shared" si="20"/>
        <v>0</v>
      </c>
      <c r="AA11" s="899">
        <f t="shared" si="21"/>
        <v>0</v>
      </c>
      <c r="AB11" s="428" t="e">
        <f t="shared" si="22"/>
        <v>#DIV/0!</v>
      </c>
      <c r="AC11" s="571">
        <f t="shared" si="23"/>
        <v>0</v>
      </c>
      <c r="AD11" s="435">
        <f t="shared" si="24"/>
        <v>0</v>
      </c>
      <c r="AE11" s="428" t="e">
        <f t="shared" si="25"/>
        <v>#DIV/0!</v>
      </c>
      <c r="AF11" s="291"/>
      <c r="AG11" s="291"/>
    </row>
    <row r="12" spans="1:33" s="1" customFormat="1" ht="12" customHeight="1" collapsed="1">
      <c r="A12" s="499" t="str">
        <f>'Renewal Rates '!A11</f>
        <v>All Employees</v>
      </c>
      <c r="B12" s="385">
        <f>'Renewal Rates '!B11</f>
        <v>0</v>
      </c>
      <c r="C12" s="385">
        <f>'Renewal Rates '!H11</f>
        <v>0</v>
      </c>
      <c r="D12" s="435">
        <f t="shared" si="0"/>
        <v>0</v>
      </c>
      <c r="E12" s="571">
        <f t="shared" si="1"/>
        <v>0</v>
      </c>
      <c r="F12" s="435">
        <f t="shared" si="2"/>
        <v>0</v>
      </c>
      <c r="G12" s="428" t="e">
        <f>E12/$C12-1</f>
        <v>#DIV/0!</v>
      </c>
      <c r="H12" s="571">
        <v>0</v>
      </c>
      <c r="I12" s="435">
        <f t="shared" si="4"/>
        <v>0</v>
      </c>
      <c r="J12" s="428" t="e">
        <f>H12/$C12-1</f>
        <v>#DIV/0!</v>
      </c>
      <c r="K12" s="571">
        <v>0</v>
      </c>
      <c r="L12" s="435">
        <f t="shared" si="6"/>
        <v>0</v>
      </c>
      <c r="M12" s="428" t="e">
        <f>K12/$C12-1</f>
        <v>#DIV/0!</v>
      </c>
      <c r="N12" s="571">
        <f t="shared" si="8"/>
        <v>0</v>
      </c>
      <c r="O12" s="435">
        <f t="shared" si="9"/>
        <v>0</v>
      </c>
      <c r="P12" s="428" t="e">
        <f>N12/$C12-1</f>
        <v>#DIV/0!</v>
      </c>
      <c r="Q12" s="571">
        <f t="shared" si="11"/>
        <v>0</v>
      </c>
      <c r="R12" s="799">
        <f t="shared" si="12"/>
        <v>0</v>
      </c>
      <c r="S12" s="428" t="e">
        <f>Q12/$C12-1</f>
        <v>#DIV/0!</v>
      </c>
      <c r="T12" s="571">
        <f t="shared" si="14"/>
        <v>0</v>
      </c>
      <c r="U12" s="799">
        <f t="shared" si="15"/>
        <v>0</v>
      </c>
      <c r="V12" s="428" t="e">
        <f>T12/$C12-1</f>
        <v>#DIV/0!</v>
      </c>
      <c r="W12" s="571">
        <f>$C12</f>
        <v>0</v>
      </c>
      <c r="X12" s="934">
        <f>W12*$B12/1000</f>
        <v>0</v>
      </c>
      <c r="Y12" s="428" t="e">
        <f>W12/$C12-1</f>
        <v>#DIV/0!</v>
      </c>
      <c r="Z12" s="571">
        <f>$C12</f>
        <v>0</v>
      </c>
      <c r="AA12" s="899">
        <f>Z12*$B12/1000</f>
        <v>0</v>
      </c>
      <c r="AB12" s="428" t="e">
        <f>Z12/$C12-1</f>
        <v>#DIV/0!</v>
      </c>
      <c r="AC12" s="571">
        <f>$C12</f>
        <v>0</v>
      </c>
      <c r="AD12" s="435">
        <f t="shared" si="24"/>
        <v>0</v>
      </c>
      <c r="AE12" s="428" t="e">
        <f t="shared" si="25"/>
        <v>#DIV/0!</v>
      </c>
      <c r="AF12" s="24"/>
      <c r="AG12" s="24"/>
    </row>
    <row r="13" spans="1:33" s="1" customFormat="1" ht="12" customHeight="1">
      <c r="A13" s="448" t="s">
        <v>531</v>
      </c>
      <c r="B13" s="544"/>
      <c r="C13" s="572"/>
      <c r="D13" s="442">
        <f>SUM(D8:D12)</f>
        <v>0</v>
      </c>
      <c r="E13" s="572"/>
      <c r="F13" s="442">
        <f>SUM(F8:F12)</f>
        <v>0</v>
      </c>
      <c r="G13" s="450" t="e">
        <f>F13/$D13-1</f>
        <v>#DIV/0!</v>
      </c>
      <c r="H13" s="572"/>
      <c r="I13" s="442">
        <f>SUM(I8:I12)</f>
        <v>0</v>
      </c>
      <c r="J13" s="450" t="e">
        <f>I13/$D13-1</f>
        <v>#DIV/0!</v>
      </c>
      <c r="K13" s="572"/>
      <c r="L13" s="442">
        <f>SUM(L8:L12)</f>
        <v>0</v>
      </c>
      <c r="M13" s="450" t="e">
        <f>L13/$D13-1</f>
        <v>#DIV/0!</v>
      </c>
      <c r="N13" s="572"/>
      <c r="O13" s="442">
        <f>SUM(O8:O12)</f>
        <v>0</v>
      </c>
      <c r="P13" s="450" t="e">
        <f>O13/$D13-1</f>
        <v>#DIV/0!</v>
      </c>
      <c r="Q13" s="572"/>
      <c r="R13" s="442">
        <f>SUM(R8:R12)</f>
        <v>0</v>
      </c>
      <c r="S13" s="450" t="e">
        <f>R13/$D13-1</f>
        <v>#DIV/0!</v>
      </c>
      <c r="T13" s="572"/>
      <c r="U13" s="442">
        <f>SUM(U8:U12)</f>
        <v>0</v>
      </c>
      <c r="V13" s="450" t="e">
        <f>U13/$D13-1</f>
        <v>#DIV/0!</v>
      </c>
      <c r="W13" s="572"/>
      <c r="X13" s="442">
        <f>SUM(X8:X12)</f>
        <v>0</v>
      </c>
      <c r="Y13" s="450" t="e">
        <f>X13/$D13-1</f>
        <v>#DIV/0!</v>
      </c>
      <c r="Z13" s="572"/>
      <c r="AA13" s="442">
        <f>SUM(AA8:AA12)</f>
        <v>0</v>
      </c>
      <c r="AB13" s="450" t="e">
        <f>AA13/$D13-1</f>
        <v>#DIV/0!</v>
      </c>
      <c r="AC13" s="572"/>
      <c r="AD13" s="442">
        <f>SUM(AD8:AD12)</f>
        <v>0</v>
      </c>
      <c r="AE13" s="450" t="e">
        <f>AD13/$D13-1</f>
        <v>#DIV/0!</v>
      </c>
      <c r="AF13" s="24"/>
      <c r="AG13" s="24"/>
    </row>
    <row r="14" spans="1:33" s="1" customFormat="1" ht="12" customHeight="1">
      <c r="A14" s="448" t="s">
        <v>38</v>
      </c>
      <c r="B14" s="385"/>
      <c r="C14" s="385"/>
      <c r="D14" s="435"/>
      <c r="E14" s="571"/>
      <c r="F14" s="435"/>
      <c r="G14" s="428"/>
      <c r="H14" s="571"/>
      <c r="I14" s="435"/>
      <c r="J14" s="428"/>
      <c r="K14" s="571"/>
      <c r="L14" s="435"/>
      <c r="M14" s="428"/>
      <c r="N14" s="571"/>
      <c r="O14" s="435"/>
      <c r="P14" s="428"/>
      <c r="Q14" s="571"/>
      <c r="R14" s="799"/>
      <c r="S14" s="428"/>
      <c r="T14" s="571"/>
      <c r="U14" s="799"/>
      <c r="V14" s="428"/>
      <c r="W14" s="571"/>
      <c r="X14" s="934"/>
      <c r="Y14" s="428"/>
      <c r="Z14" s="571"/>
      <c r="AA14" s="899"/>
      <c r="AB14" s="428"/>
      <c r="AC14" s="571"/>
      <c r="AD14" s="435"/>
      <c r="AE14" s="428"/>
      <c r="AF14" s="24"/>
      <c r="AG14" s="24"/>
    </row>
    <row r="15" spans="1:33" s="1" customFormat="1" ht="12" hidden="1" customHeight="1" outlineLevel="1">
      <c r="A15" s="499" t="str">
        <f>'Renewal Rates '!A14</f>
        <v>Class A</v>
      </c>
      <c r="B15" s="385">
        <f>'Renewal Rates '!B14</f>
        <v>0</v>
      </c>
      <c r="C15" s="385">
        <f>'Renewal Rates '!H14</f>
        <v>0</v>
      </c>
      <c r="D15" s="435">
        <f>C15*B15/1000</f>
        <v>0</v>
      </c>
      <c r="E15" s="571">
        <f t="shared" ref="E15:E19" si="26">$C15</f>
        <v>0</v>
      </c>
      <c r="F15" s="435">
        <f>E15*$B15/1000</f>
        <v>0</v>
      </c>
      <c r="G15" s="428" t="e">
        <f>E15/$C15-1</f>
        <v>#DIV/0!</v>
      </c>
      <c r="H15" s="571">
        <v>0</v>
      </c>
      <c r="I15" s="435">
        <f>H15*$B15/1000</f>
        <v>0</v>
      </c>
      <c r="J15" s="428" t="e">
        <f>H15/$C15-1</f>
        <v>#DIV/0!</v>
      </c>
      <c r="K15" s="571">
        <v>0</v>
      </c>
      <c r="L15" s="435">
        <f>K15*$B15/1000</f>
        <v>0</v>
      </c>
      <c r="M15" s="428" t="e">
        <f>K15/$C15-1</f>
        <v>#DIV/0!</v>
      </c>
      <c r="N15" s="571">
        <f t="shared" ref="N15:N19" si="27">$C15</f>
        <v>0</v>
      </c>
      <c r="O15" s="435">
        <f>N15*$B15/1000</f>
        <v>0</v>
      </c>
      <c r="P15" s="428" t="e">
        <f>N15/$C15-1</f>
        <v>#DIV/0!</v>
      </c>
      <c r="Q15" s="571">
        <f t="shared" ref="Q15:Q19" si="28">$C15</f>
        <v>0</v>
      </c>
      <c r="R15" s="799">
        <f>Q15*$B15/1000</f>
        <v>0</v>
      </c>
      <c r="S15" s="428" t="e">
        <f>Q15/$C15-1</f>
        <v>#DIV/0!</v>
      </c>
      <c r="T15" s="571">
        <f t="shared" ref="T15:T19" si="29">$C15</f>
        <v>0</v>
      </c>
      <c r="U15" s="799">
        <f>T15*$B15/1000</f>
        <v>0</v>
      </c>
      <c r="V15" s="428" t="e">
        <f>T15/$C15-1</f>
        <v>#DIV/0!</v>
      </c>
      <c r="W15" s="571">
        <f t="shared" ref="W15:W19" si="30">$C15</f>
        <v>0</v>
      </c>
      <c r="X15" s="934">
        <f>W15*$B15/1000</f>
        <v>0</v>
      </c>
      <c r="Y15" s="428" t="e">
        <f>W15/$C15-1</f>
        <v>#DIV/0!</v>
      </c>
      <c r="Z15" s="571">
        <f t="shared" ref="Z15:Z19" si="31">$C15</f>
        <v>0</v>
      </c>
      <c r="AA15" s="899">
        <f>Z15*$B15/1000</f>
        <v>0</v>
      </c>
      <c r="AB15" s="428" t="e">
        <f>Z15/$C15-1</f>
        <v>#DIV/0!</v>
      </c>
      <c r="AC15" s="571">
        <f t="shared" ref="AC15:AC19" si="32">$C15</f>
        <v>0</v>
      </c>
      <c r="AD15" s="435">
        <f>AC15*$B15/1000</f>
        <v>0</v>
      </c>
      <c r="AE15" s="428" t="e">
        <f>AC15/$C15-1</f>
        <v>#DIV/0!</v>
      </c>
      <c r="AF15" s="291"/>
      <c r="AG15" s="291"/>
    </row>
    <row r="16" spans="1:33" s="1" customFormat="1" ht="12" hidden="1" customHeight="1" outlineLevel="1">
      <c r="A16" s="499" t="str">
        <f>'Renewal Rates '!A15</f>
        <v>Class B</v>
      </c>
      <c r="B16" s="385">
        <f>'Renewal Rates '!B15</f>
        <v>0</v>
      </c>
      <c r="C16" s="385">
        <f>'Renewal Rates '!H15</f>
        <v>0</v>
      </c>
      <c r="D16" s="435">
        <f t="shared" ref="D16:D19" si="33">C16*B16/1000</f>
        <v>0</v>
      </c>
      <c r="E16" s="571">
        <f t="shared" si="26"/>
        <v>0</v>
      </c>
      <c r="F16" s="435">
        <f t="shared" ref="F16:F19" si="34">E16*$B16/1000</f>
        <v>0</v>
      </c>
      <c r="G16" s="428" t="e">
        <f t="shared" ref="G16:G19" si="35">E16/$C16-1</f>
        <v>#DIV/0!</v>
      </c>
      <c r="H16" s="571">
        <v>0</v>
      </c>
      <c r="I16" s="435">
        <f t="shared" ref="I16:I19" si="36">H16*$B16/1000</f>
        <v>0</v>
      </c>
      <c r="J16" s="428" t="e">
        <f t="shared" ref="J16:J19" si="37">H16/$C16-1</f>
        <v>#DIV/0!</v>
      </c>
      <c r="K16" s="571">
        <v>0</v>
      </c>
      <c r="L16" s="435">
        <f t="shared" ref="L16:L19" si="38">K16*$B16/1000</f>
        <v>0</v>
      </c>
      <c r="M16" s="428" t="e">
        <f t="shared" ref="M16:M19" si="39">K16/$C16-1</f>
        <v>#DIV/0!</v>
      </c>
      <c r="N16" s="571">
        <f t="shared" si="27"/>
        <v>0</v>
      </c>
      <c r="O16" s="435">
        <f t="shared" ref="O16:O19" si="40">N16*$B16/1000</f>
        <v>0</v>
      </c>
      <c r="P16" s="428" t="e">
        <f t="shared" ref="P16:P19" si="41">N16/$C16-1</f>
        <v>#DIV/0!</v>
      </c>
      <c r="Q16" s="571">
        <f t="shared" si="28"/>
        <v>0</v>
      </c>
      <c r="R16" s="799">
        <f t="shared" ref="R16:R19" si="42">Q16*$B16/1000</f>
        <v>0</v>
      </c>
      <c r="S16" s="428" t="e">
        <f t="shared" ref="S16:S19" si="43">Q16/$C16-1</f>
        <v>#DIV/0!</v>
      </c>
      <c r="T16" s="571">
        <f t="shared" si="29"/>
        <v>0</v>
      </c>
      <c r="U16" s="799">
        <f t="shared" ref="U16:U19" si="44">T16*$B16/1000</f>
        <v>0</v>
      </c>
      <c r="V16" s="428" t="e">
        <f t="shared" ref="V16:V19" si="45">T16/$C16-1</f>
        <v>#DIV/0!</v>
      </c>
      <c r="W16" s="571">
        <f t="shared" si="30"/>
        <v>0</v>
      </c>
      <c r="X16" s="934">
        <f t="shared" ref="X16:X19" si="46">W16*$B16/1000</f>
        <v>0</v>
      </c>
      <c r="Y16" s="428" t="e">
        <f t="shared" ref="Y16:Y19" si="47">W16/$C16-1</f>
        <v>#DIV/0!</v>
      </c>
      <c r="Z16" s="571">
        <f t="shared" si="31"/>
        <v>0</v>
      </c>
      <c r="AA16" s="899">
        <f t="shared" ref="AA16:AA19" si="48">Z16*$B16/1000</f>
        <v>0</v>
      </c>
      <c r="AB16" s="428" t="e">
        <f t="shared" ref="AB16:AB19" si="49">Z16/$C16-1</f>
        <v>#DIV/0!</v>
      </c>
      <c r="AC16" s="571">
        <f t="shared" si="32"/>
        <v>0</v>
      </c>
      <c r="AD16" s="435">
        <f t="shared" ref="AD16:AD19" si="50">AC16*$B16/1000</f>
        <v>0</v>
      </c>
      <c r="AE16" s="428" t="e">
        <f t="shared" ref="AE16:AE19" si="51">AC16/$C16-1</f>
        <v>#DIV/0!</v>
      </c>
      <c r="AF16" s="291"/>
      <c r="AG16" s="291"/>
    </row>
    <row r="17" spans="1:33" s="1" customFormat="1" ht="12" hidden="1" customHeight="1" outlineLevel="1">
      <c r="A17" s="499" t="str">
        <f>'Renewal Rates '!A16</f>
        <v>Class C</v>
      </c>
      <c r="B17" s="385">
        <f>'Renewal Rates '!B16</f>
        <v>0</v>
      </c>
      <c r="C17" s="385">
        <f>'Renewal Rates '!H16</f>
        <v>0</v>
      </c>
      <c r="D17" s="435">
        <f t="shared" si="33"/>
        <v>0</v>
      </c>
      <c r="E17" s="571">
        <f t="shared" si="26"/>
        <v>0</v>
      </c>
      <c r="F17" s="435">
        <f t="shared" si="34"/>
        <v>0</v>
      </c>
      <c r="G17" s="428" t="e">
        <f t="shared" si="35"/>
        <v>#DIV/0!</v>
      </c>
      <c r="H17" s="571">
        <v>0</v>
      </c>
      <c r="I17" s="435">
        <f t="shared" si="36"/>
        <v>0</v>
      </c>
      <c r="J17" s="428" t="e">
        <f t="shared" si="37"/>
        <v>#DIV/0!</v>
      </c>
      <c r="K17" s="571">
        <v>0</v>
      </c>
      <c r="L17" s="435">
        <f t="shared" si="38"/>
        <v>0</v>
      </c>
      <c r="M17" s="428" t="e">
        <f t="shared" si="39"/>
        <v>#DIV/0!</v>
      </c>
      <c r="N17" s="571">
        <f t="shared" si="27"/>
        <v>0</v>
      </c>
      <c r="O17" s="435">
        <f t="shared" si="40"/>
        <v>0</v>
      </c>
      <c r="P17" s="428" t="e">
        <f t="shared" si="41"/>
        <v>#DIV/0!</v>
      </c>
      <c r="Q17" s="571">
        <f t="shared" si="28"/>
        <v>0</v>
      </c>
      <c r="R17" s="799">
        <f t="shared" si="42"/>
        <v>0</v>
      </c>
      <c r="S17" s="428" t="e">
        <f t="shared" si="43"/>
        <v>#DIV/0!</v>
      </c>
      <c r="T17" s="571">
        <f t="shared" si="29"/>
        <v>0</v>
      </c>
      <c r="U17" s="799">
        <f t="shared" si="44"/>
        <v>0</v>
      </c>
      <c r="V17" s="428" t="e">
        <f t="shared" si="45"/>
        <v>#DIV/0!</v>
      </c>
      <c r="W17" s="571">
        <f t="shared" si="30"/>
        <v>0</v>
      </c>
      <c r="X17" s="934">
        <f t="shared" si="46"/>
        <v>0</v>
      </c>
      <c r="Y17" s="428" t="e">
        <f t="shared" si="47"/>
        <v>#DIV/0!</v>
      </c>
      <c r="Z17" s="571">
        <f t="shared" si="31"/>
        <v>0</v>
      </c>
      <c r="AA17" s="899">
        <f t="shared" si="48"/>
        <v>0</v>
      </c>
      <c r="AB17" s="428" t="e">
        <f t="shared" si="49"/>
        <v>#DIV/0!</v>
      </c>
      <c r="AC17" s="571">
        <f t="shared" si="32"/>
        <v>0</v>
      </c>
      <c r="AD17" s="435">
        <f t="shared" si="50"/>
        <v>0</v>
      </c>
      <c r="AE17" s="428" t="e">
        <f t="shared" si="51"/>
        <v>#DIV/0!</v>
      </c>
      <c r="AF17" s="291"/>
      <c r="AG17" s="291"/>
    </row>
    <row r="18" spans="1:33" s="1" customFormat="1" ht="12" hidden="1" customHeight="1" outlineLevel="1">
      <c r="A18" s="499" t="str">
        <f>'Renewal Rates '!A17</f>
        <v>Class D</v>
      </c>
      <c r="B18" s="385">
        <f>'Renewal Rates '!B17</f>
        <v>0</v>
      </c>
      <c r="C18" s="385">
        <f>'Renewal Rates '!H17</f>
        <v>0</v>
      </c>
      <c r="D18" s="435">
        <f t="shared" si="33"/>
        <v>0</v>
      </c>
      <c r="E18" s="571">
        <f t="shared" si="26"/>
        <v>0</v>
      </c>
      <c r="F18" s="435">
        <f t="shared" si="34"/>
        <v>0</v>
      </c>
      <c r="G18" s="428" t="e">
        <f t="shared" si="35"/>
        <v>#DIV/0!</v>
      </c>
      <c r="H18" s="571">
        <v>0</v>
      </c>
      <c r="I18" s="435">
        <f t="shared" si="36"/>
        <v>0</v>
      </c>
      <c r="J18" s="428" t="e">
        <f t="shared" si="37"/>
        <v>#DIV/0!</v>
      </c>
      <c r="K18" s="571">
        <v>0</v>
      </c>
      <c r="L18" s="435">
        <f t="shared" si="38"/>
        <v>0</v>
      </c>
      <c r="M18" s="428" t="e">
        <f t="shared" si="39"/>
        <v>#DIV/0!</v>
      </c>
      <c r="N18" s="571">
        <f t="shared" si="27"/>
        <v>0</v>
      </c>
      <c r="O18" s="435">
        <f t="shared" si="40"/>
        <v>0</v>
      </c>
      <c r="P18" s="428" t="e">
        <f t="shared" si="41"/>
        <v>#DIV/0!</v>
      </c>
      <c r="Q18" s="571">
        <f t="shared" si="28"/>
        <v>0</v>
      </c>
      <c r="R18" s="799">
        <f t="shared" si="42"/>
        <v>0</v>
      </c>
      <c r="S18" s="428" t="e">
        <f t="shared" si="43"/>
        <v>#DIV/0!</v>
      </c>
      <c r="T18" s="571">
        <f t="shared" si="29"/>
        <v>0</v>
      </c>
      <c r="U18" s="799">
        <f t="shared" si="44"/>
        <v>0</v>
      </c>
      <c r="V18" s="428" t="e">
        <f t="shared" si="45"/>
        <v>#DIV/0!</v>
      </c>
      <c r="W18" s="571">
        <f t="shared" si="30"/>
        <v>0</v>
      </c>
      <c r="X18" s="934">
        <f t="shared" si="46"/>
        <v>0</v>
      </c>
      <c r="Y18" s="428" t="e">
        <f t="shared" si="47"/>
        <v>#DIV/0!</v>
      </c>
      <c r="Z18" s="571">
        <f t="shared" si="31"/>
        <v>0</v>
      </c>
      <c r="AA18" s="899">
        <f t="shared" si="48"/>
        <v>0</v>
      </c>
      <c r="AB18" s="428" t="e">
        <f t="shared" si="49"/>
        <v>#DIV/0!</v>
      </c>
      <c r="AC18" s="571">
        <f t="shared" si="32"/>
        <v>0</v>
      </c>
      <c r="AD18" s="435">
        <f t="shared" si="50"/>
        <v>0</v>
      </c>
      <c r="AE18" s="428" t="e">
        <f t="shared" si="51"/>
        <v>#DIV/0!</v>
      </c>
      <c r="AF18" s="291"/>
      <c r="AG18" s="291"/>
    </row>
    <row r="19" spans="1:33" s="1" customFormat="1" ht="12" customHeight="1" collapsed="1">
      <c r="A19" s="499" t="str">
        <f>'Renewal Rates '!A18</f>
        <v>All Employees</v>
      </c>
      <c r="B19" s="385">
        <f>'Renewal Rates '!B18</f>
        <v>0</v>
      </c>
      <c r="C19" s="385">
        <f>'Renewal Rates '!H18</f>
        <v>0</v>
      </c>
      <c r="D19" s="435">
        <f t="shared" si="33"/>
        <v>0</v>
      </c>
      <c r="E19" s="571">
        <f t="shared" si="26"/>
        <v>0</v>
      </c>
      <c r="F19" s="435">
        <f t="shared" si="34"/>
        <v>0</v>
      </c>
      <c r="G19" s="428" t="e">
        <f t="shared" si="35"/>
        <v>#DIV/0!</v>
      </c>
      <c r="H19" s="571">
        <v>0</v>
      </c>
      <c r="I19" s="435">
        <f t="shared" si="36"/>
        <v>0</v>
      </c>
      <c r="J19" s="428" t="e">
        <f t="shared" si="37"/>
        <v>#DIV/0!</v>
      </c>
      <c r="K19" s="571">
        <v>0</v>
      </c>
      <c r="L19" s="435">
        <f t="shared" si="38"/>
        <v>0</v>
      </c>
      <c r="M19" s="428" t="e">
        <f t="shared" si="39"/>
        <v>#DIV/0!</v>
      </c>
      <c r="N19" s="571">
        <f t="shared" si="27"/>
        <v>0</v>
      </c>
      <c r="O19" s="435">
        <f t="shared" si="40"/>
        <v>0</v>
      </c>
      <c r="P19" s="428" t="e">
        <f t="shared" si="41"/>
        <v>#DIV/0!</v>
      </c>
      <c r="Q19" s="571">
        <f t="shared" si="28"/>
        <v>0</v>
      </c>
      <c r="R19" s="799">
        <f t="shared" si="42"/>
        <v>0</v>
      </c>
      <c r="S19" s="428" t="e">
        <f t="shared" si="43"/>
        <v>#DIV/0!</v>
      </c>
      <c r="T19" s="571">
        <f t="shared" si="29"/>
        <v>0</v>
      </c>
      <c r="U19" s="799">
        <f t="shared" si="44"/>
        <v>0</v>
      </c>
      <c r="V19" s="428" t="e">
        <f t="shared" si="45"/>
        <v>#DIV/0!</v>
      </c>
      <c r="W19" s="571">
        <f t="shared" si="30"/>
        <v>0</v>
      </c>
      <c r="X19" s="934">
        <f t="shared" si="46"/>
        <v>0</v>
      </c>
      <c r="Y19" s="428" t="e">
        <f t="shared" si="47"/>
        <v>#DIV/0!</v>
      </c>
      <c r="Z19" s="571">
        <f t="shared" si="31"/>
        <v>0</v>
      </c>
      <c r="AA19" s="899">
        <f t="shared" si="48"/>
        <v>0</v>
      </c>
      <c r="AB19" s="428" t="e">
        <f t="shared" si="49"/>
        <v>#DIV/0!</v>
      </c>
      <c r="AC19" s="571">
        <f t="shared" si="32"/>
        <v>0</v>
      </c>
      <c r="AD19" s="435">
        <f t="shared" si="50"/>
        <v>0</v>
      </c>
      <c r="AE19" s="428" t="e">
        <f t="shared" si="51"/>
        <v>#DIV/0!</v>
      </c>
      <c r="AF19" s="24"/>
      <c r="AG19" s="24"/>
    </row>
    <row r="20" spans="1:33" s="1" customFormat="1" ht="12" customHeight="1">
      <c r="A20" s="448" t="s">
        <v>532</v>
      </c>
      <c r="B20" s="544"/>
      <c r="C20" s="572"/>
      <c r="D20" s="442">
        <f>SUM(D15:D19)</f>
        <v>0</v>
      </c>
      <c r="E20" s="572"/>
      <c r="F20" s="442">
        <f>SUM(F15:F19)</f>
        <v>0</v>
      </c>
      <c r="G20" s="450" t="e">
        <f>F20/$D20-1</f>
        <v>#DIV/0!</v>
      </c>
      <c r="H20" s="572"/>
      <c r="I20" s="442">
        <f>SUM(I15:I19)</f>
        <v>0</v>
      </c>
      <c r="J20" s="450" t="e">
        <f>I20/$D20-1</f>
        <v>#DIV/0!</v>
      </c>
      <c r="K20" s="572"/>
      <c r="L20" s="442">
        <f>SUM(L15:L19)</f>
        <v>0</v>
      </c>
      <c r="M20" s="450" t="e">
        <f>L20/$D20-1</f>
        <v>#DIV/0!</v>
      </c>
      <c r="N20" s="572"/>
      <c r="O20" s="442">
        <f>SUM(O15:O19)</f>
        <v>0</v>
      </c>
      <c r="P20" s="450" t="e">
        <f>O20/$D20-1</f>
        <v>#DIV/0!</v>
      </c>
      <c r="Q20" s="572"/>
      <c r="R20" s="442">
        <f>SUM(R15:R19)</f>
        <v>0</v>
      </c>
      <c r="S20" s="450" t="e">
        <f>R20/$D20-1</f>
        <v>#DIV/0!</v>
      </c>
      <c r="T20" s="572"/>
      <c r="U20" s="442">
        <f>SUM(U15:U19)</f>
        <v>0</v>
      </c>
      <c r="V20" s="450" t="e">
        <f>U20/$D20-1</f>
        <v>#DIV/0!</v>
      </c>
      <c r="W20" s="572"/>
      <c r="X20" s="442">
        <f>SUM(X15:X19)</f>
        <v>0</v>
      </c>
      <c r="Y20" s="450" t="e">
        <f>X20/$D20-1</f>
        <v>#DIV/0!</v>
      </c>
      <c r="Z20" s="572"/>
      <c r="AA20" s="442">
        <f>SUM(AA15:AA19)</f>
        <v>0</v>
      </c>
      <c r="AB20" s="450" t="e">
        <f>AA20/$D20-1</f>
        <v>#DIV/0!</v>
      </c>
      <c r="AC20" s="572"/>
      <c r="AD20" s="442">
        <f>SUM(AD15:AD19)</f>
        <v>0</v>
      </c>
      <c r="AE20" s="450" t="e">
        <f>AD20/$D20-1</f>
        <v>#DIV/0!</v>
      </c>
      <c r="AF20" s="24"/>
      <c r="AG20" s="24"/>
    </row>
    <row r="21" spans="1:33" s="1" customFormat="1" ht="12" customHeight="1">
      <c r="A21" s="448" t="s">
        <v>9</v>
      </c>
      <c r="B21" s="551"/>
      <c r="C21" s="551"/>
      <c r="D21" s="435"/>
      <c r="E21" s="571"/>
      <c r="F21" s="435"/>
      <c r="G21" s="428"/>
      <c r="H21" s="571"/>
      <c r="I21" s="435"/>
      <c r="J21" s="428"/>
      <c r="K21" s="571"/>
      <c r="L21" s="435"/>
      <c r="M21" s="428"/>
      <c r="N21" s="571"/>
      <c r="O21" s="435"/>
      <c r="P21" s="428"/>
      <c r="Q21" s="571"/>
      <c r="R21" s="799"/>
      <c r="S21" s="428"/>
      <c r="T21" s="571"/>
      <c r="U21" s="799"/>
      <c r="V21" s="428"/>
      <c r="W21" s="571"/>
      <c r="X21" s="934"/>
      <c r="Y21" s="428"/>
      <c r="Z21" s="571"/>
      <c r="AA21" s="899"/>
      <c r="AB21" s="428"/>
      <c r="AC21" s="571"/>
      <c r="AD21" s="435"/>
      <c r="AE21" s="428"/>
      <c r="AF21" s="24"/>
      <c r="AG21" s="24"/>
    </row>
    <row r="22" spans="1:33" s="1" customFormat="1" ht="12" hidden="1" customHeight="1" outlineLevel="1">
      <c r="A22" s="499" t="str">
        <f>'Renewal Rates '!A21</f>
        <v>Class A</v>
      </c>
      <c r="B22" s="551">
        <f>'Renewal Rates '!B21</f>
        <v>0</v>
      </c>
      <c r="C22" s="551">
        <f>'Renewal Rates '!H21</f>
        <v>0</v>
      </c>
      <c r="D22" s="435">
        <f>C22*B22</f>
        <v>0</v>
      </c>
      <c r="E22" s="571">
        <f t="shared" ref="E22:E26" si="52">$C22</f>
        <v>0</v>
      </c>
      <c r="F22" s="435">
        <f>E22*$B22</f>
        <v>0</v>
      </c>
      <c r="G22" s="428" t="e">
        <f>E22/$C22-1</f>
        <v>#DIV/0!</v>
      </c>
      <c r="H22" s="571">
        <v>0</v>
      </c>
      <c r="I22" s="435">
        <f>H22*$B22</f>
        <v>0</v>
      </c>
      <c r="J22" s="428" t="e">
        <f>H22/$C22-1</f>
        <v>#DIV/0!</v>
      </c>
      <c r="K22" s="571">
        <v>0</v>
      </c>
      <c r="L22" s="435">
        <f>K22*$B22</f>
        <v>0</v>
      </c>
      <c r="M22" s="428" t="e">
        <f>K22/$C22-1</f>
        <v>#DIV/0!</v>
      </c>
      <c r="N22" s="571">
        <f t="shared" ref="N22:N26" si="53">$C22</f>
        <v>0</v>
      </c>
      <c r="O22" s="435">
        <f>N22*$B22</f>
        <v>0</v>
      </c>
      <c r="P22" s="428" t="e">
        <f>N22/$C22-1</f>
        <v>#DIV/0!</v>
      </c>
      <c r="Q22" s="571">
        <f t="shared" ref="Q22:Q26" si="54">$C22</f>
        <v>0</v>
      </c>
      <c r="R22" s="799">
        <f>Q22*$B22</f>
        <v>0</v>
      </c>
      <c r="S22" s="428" t="e">
        <f>Q22/$C22-1</f>
        <v>#DIV/0!</v>
      </c>
      <c r="T22" s="571">
        <f t="shared" ref="T22:T26" si="55">$C22</f>
        <v>0</v>
      </c>
      <c r="U22" s="799">
        <f>T22*$B22</f>
        <v>0</v>
      </c>
      <c r="V22" s="428" t="e">
        <f>T22/$C22-1</f>
        <v>#DIV/0!</v>
      </c>
      <c r="W22" s="571">
        <f t="shared" ref="W22:W26" si="56">$C22</f>
        <v>0</v>
      </c>
      <c r="X22" s="934">
        <f>W22*$B22</f>
        <v>0</v>
      </c>
      <c r="Y22" s="428" t="e">
        <f>W22/$C22-1</f>
        <v>#DIV/0!</v>
      </c>
      <c r="Z22" s="571">
        <f t="shared" ref="Z22:Z26" si="57">$C22</f>
        <v>0</v>
      </c>
      <c r="AA22" s="899">
        <f>Z22*$B22</f>
        <v>0</v>
      </c>
      <c r="AB22" s="428" t="e">
        <f>Z22/$C22-1</f>
        <v>#DIV/0!</v>
      </c>
      <c r="AC22" s="571">
        <f t="shared" ref="AC22:AC26" si="58">$C22</f>
        <v>0</v>
      </c>
      <c r="AD22" s="435">
        <f>AC22*$B22</f>
        <v>0</v>
      </c>
      <c r="AE22" s="428" t="e">
        <f>AC22/$C22-1</f>
        <v>#DIV/0!</v>
      </c>
      <c r="AF22" s="291"/>
      <c r="AG22" s="291"/>
    </row>
    <row r="23" spans="1:33" s="1" customFormat="1" ht="12" hidden="1" customHeight="1" outlineLevel="1">
      <c r="A23" s="499" t="str">
        <f>'Renewal Rates '!A22</f>
        <v>Class B</v>
      </c>
      <c r="B23" s="551">
        <f>'Renewal Rates '!B22</f>
        <v>0</v>
      </c>
      <c r="C23" s="551">
        <f>'Renewal Rates '!H22</f>
        <v>0</v>
      </c>
      <c r="D23" s="435">
        <f t="shared" ref="D23:D26" si="59">C23*B23</f>
        <v>0</v>
      </c>
      <c r="E23" s="571">
        <f t="shared" si="52"/>
        <v>0</v>
      </c>
      <c r="F23" s="435">
        <f t="shared" ref="F23:F26" si="60">E23*$B23</f>
        <v>0</v>
      </c>
      <c r="G23" s="428" t="e">
        <f t="shared" ref="G23:G26" si="61">E23/$C23-1</f>
        <v>#DIV/0!</v>
      </c>
      <c r="H23" s="571">
        <v>0</v>
      </c>
      <c r="I23" s="435">
        <f t="shared" ref="I23:I26" si="62">H23*$B23</f>
        <v>0</v>
      </c>
      <c r="J23" s="428" t="e">
        <f t="shared" ref="J23:J26" si="63">H23/$C23-1</f>
        <v>#DIV/0!</v>
      </c>
      <c r="K23" s="571">
        <v>0</v>
      </c>
      <c r="L23" s="435">
        <f t="shared" ref="L23:L26" si="64">K23*$B23</f>
        <v>0</v>
      </c>
      <c r="M23" s="428" t="e">
        <f t="shared" ref="M23:M26" si="65">K23/$C23-1</f>
        <v>#DIV/0!</v>
      </c>
      <c r="N23" s="571">
        <f t="shared" si="53"/>
        <v>0</v>
      </c>
      <c r="O23" s="435">
        <f t="shared" ref="O23:O26" si="66">N23*$B23</f>
        <v>0</v>
      </c>
      <c r="P23" s="428" t="e">
        <f t="shared" ref="P23:P26" si="67">N23/$C23-1</f>
        <v>#DIV/0!</v>
      </c>
      <c r="Q23" s="571">
        <f t="shared" si="54"/>
        <v>0</v>
      </c>
      <c r="R23" s="799">
        <f t="shared" ref="R23:R26" si="68">Q23*$B23</f>
        <v>0</v>
      </c>
      <c r="S23" s="428" t="e">
        <f t="shared" ref="S23:S26" si="69">Q23/$C23-1</f>
        <v>#DIV/0!</v>
      </c>
      <c r="T23" s="571">
        <f t="shared" si="55"/>
        <v>0</v>
      </c>
      <c r="U23" s="799">
        <f t="shared" ref="U23:U26" si="70">T23*$B23</f>
        <v>0</v>
      </c>
      <c r="V23" s="428" t="e">
        <f t="shared" ref="V23:V26" si="71">T23/$C23-1</f>
        <v>#DIV/0!</v>
      </c>
      <c r="W23" s="571">
        <f t="shared" si="56"/>
        <v>0</v>
      </c>
      <c r="X23" s="934">
        <f t="shared" ref="X23:X26" si="72">W23*$B23</f>
        <v>0</v>
      </c>
      <c r="Y23" s="428" t="e">
        <f t="shared" ref="Y23:Y26" si="73">W23/$C23-1</f>
        <v>#DIV/0!</v>
      </c>
      <c r="Z23" s="571">
        <f t="shared" si="57"/>
        <v>0</v>
      </c>
      <c r="AA23" s="899">
        <f t="shared" ref="AA23:AA26" si="74">Z23*$B23</f>
        <v>0</v>
      </c>
      <c r="AB23" s="428" t="e">
        <f t="shared" ref="AB23:AB26" si="75">Z23/$C23-1</f>
        <v>#DIV/0!</v>
      </c>
      <c r="AC23" s="571">
        <f t="shared" si="58"/>
        <v>0</v>
      </c>
      <c r="AD23" s="435">
        <f t="shared" ref="AD23:AD26" si="76">AC23*$B23</f>
        <v>0</v>
      </c>
      <c r="AE23" s="428" t="e">
        <f t="shared" ref="AE23:AE26" si="77">AC23/$C23-1</f>
        <v>#DIV/0!</v>
      </c>
      <c r="AF23" s="291"/>
      <c r="AG23" s="291"/>
    </row>
    <row r="24" spans="1:33" s="1" customFormat="1" ht="12" hidden="1" customHeight="1" outlineLevel="1">
      <c r="A24" s="499" t="str">
        <f>'Renewal Rates '!A23</f>
        <v>Class C</v>
      </c>
      <c r="B24" s="551">
        <f>'Renewal Rates '!B23</f>
        <v>0</v>
      </c>
      <c r="C24" s="551">
        <f>'Renewal Rates '!H23</f>
        <v>0</v>
      </c>
      <c r="D24" s="435">
        <f t="shared" si="59"/>
        <v>0</v>
      </c>
      <c r="E24" s="571">
        <f t="shared" si="52"/>
        <v>0</v>
      </c>
      <c r="F24" s="435">
        <f t="shared" si="60"/>
        <v>0</v>
      </c>
      <c r="G24" s="428" t="e">
        <f t="shared" si="61"/>
        <v>#DIV/0!</v>
      </c>
      <c r="H24" s="571">
        <v>0</v>
      </c>
      <c r="I24" s="435">
        <f t="shared" si="62"/>
        <v>0</v>
      </c>
      <c r="J24" s="428" t="e">
        <f t="shared" si="63"/>
        <v>#DIV/0!</v>
      </c>
      <c r="K24" s="571">
        <v>0</v>
      </c>
      <c r="L24" s="435">
        <f t="shared" si="64"/>
        <v>0</v>
      </c>
      <c r="M24" s="428" t="e">
        <f t="shared" si="65"/>
        <v>#DIV/0!</v>
      </c>
      <c r="N24" s="571">
        <f t="shared" si="53"/>
        <v>0</v>
      </c>
      <c r="O24" s="435">
        <f t="shared" si="66"/>
        <v>0</v>
      </c>
      <c r="P24" s="428" t="e">
        <f t="shared" si="67"/>
        <v>#DIV/0!</v>
      </c>
      <c r="Q24" s="571">
        <f t="shared" si="54"/>
        <v>0</v>
      </c>
      <c r="R24" s="799">
        <f t="shared" si="68"/>
        <v>0</v>
      </c>
      <c r="S24" s="428" t="e">
        <f t="shared" si="69"/>
        <v>#DIV/0!</v>
      </c>
      <c r="T24" s="571">
        <f t="shared" si="55"/>
        <v>0</v>
      </c>
      <c r="U24" s="799">
        <f t="shared" si="70"/>
        <v>0</v>
      </c>
      <c r="V24" s="428" t="e">
        <f t="shared" si="71"/>
        <v>#DIV/0!</v>
      </c>
      <c r="W24" s="571">
        <f t="shared" si="56"/>
        <v>0</v>
      </c>
      <c r="X24" s="934">
        <f t="shared" si="72"/>
        <v>0</v>
      </c>
      <c r="Y24" s="428" t="e">
        <f t="shared" si="73"/>
        <v>#DIV/0!</v>
      </c>
      <c r="Z24" s="571">
        <f t="shared" si="57"/>
        <v>0</v>
      </c>
      <c r="AA24" s="899">
        <f t="shared" si="74"/>
        <v>0</v>
      </c>
      <c r="AB24" s="428" t="e">
        <f t="shared" si="75"/>
        <v>#DIV/0!</v>
      </c>
      <c r="AC24" s="571">
        <f t="shared" si="58"/>
        <v>0</v>
      </c>
      <c r="AD24" s="435">
        <f t="shared" si="76"/>
        <v>0</v>
      </c>
      <c r="AE24" s="428" t="e">
        <f t="shared" si="77"/>
        <v>#DIV/0!</v>
      </c>
      <c r="AF24" s="291"/>
      <c r="AG24" s="291"/>
    </row>
    <row r="25" spans="1:33" s="1" customFormat="1" ht="12" hidden="1" customHeight="1" outlineLevel="1">
      <c r="A25" s="499" t="str">
        <f>'Renewal Rates '!A24</f>
        <v>Class D</v>
      </c>
      <c r="B25" s="551">
        <f>'Renewal Rates '!B24</f>
        <v>0</v>
      </c>
      <c r="C25" s="551">
        <f>'Renewal Rates '!H24</f>
        <v>0</v>
      </c>
      <c r="D25" s="435">
        <f t="shared" si="59"/>
        <v>0</v>
      </c>
      <c r="E25" s="571">
        <f t="shared" si="52"/>
        <v>0</v>
      </c>
      <c r="F25" s="435">
        <f t="shared" si="60"/>
        <v>0</v>
      </c>
      <c r="G25" s="428" t="e">
        <f t="shared" si="61"/>
        <v>#DIV/0!</v>
      </c>
      <c r="H25" s="571">
        <v>0</v>
      </c>
      <c r="I25" s="435">
        <f t="shared" si="62"/>
        <v>0</v>
      </c>
      <c r="J25" s="428" t="e">
        <f t="shared" si="63"/>
        <v>#DIV/0!</v>
      </c>
      <c r="K25" s="571">
        <v>0</v>
      </c>
      <c r="L25" s="435">
        <f t="shared" si="64"/>
        <v>0</v>
      </c>
      <c r="M25" s="428" t="e">
        <f t="shared" si="65"/>
        <v>#DIV/0!</v>
      </c>
      <c r="N25" s="571">
        <f t="shared" si="53"/>
        <v>0</v>
      </c>
      <c r="O25" s="435">
        <f t="shared" si="66"/>
        <v>0</v>
      </c>
      <c r="P25" s="428" t="e">
        <f t="shared" si="67"/>
        <v>#DIV/0!</v>
      </c>
      <c r="Q25" s="571">
        <f t="shared" si="54"/>
        <v>0</v>
      </c>
      <c r="R25" s="799">
        <f t="shared" si="68"/>
        <v>0</v>
      </c>
      <c r="S25" s="428" t="e">
        <f t="shared" si="69"/>
        <v>#DIV/0!</v>
      </c>
      <c r="T25" s="571">
        <f t="shared" si="55"/>
        <v>0</v>
      </c>
      <c r="U25" s="799">
        <f t="shared" si="70"/>
        <v>0</v>
      </c>
      <c r="V25" s="428" t="e">
        <f t="shared" si="71"/>
        <v>#DIV/0!</v>
      </c>
      <c r="W25" s="571">
        <f t="shared" si="56"/>
        <v>0</v>
      </c>
      <c r="X25" s="934">
        <f t="shared" si="72"/>
        <v>0</v>
      </c>
      <c r="Y25" s="428" t="e">
        <f t="shared" si="73"/>
        <v>#DIV/0!</v>
      </c>
      <c r="Z25" s="571">
        <f t="shared" si="57"/>
        <v>0</v>
      </c>
      <c r="AA25" s="899">
        <f t="shared" si="74"/>
        <v>0</v>
      </c>
      <c r="AB25" s="428" t="e">
        <f t="shared" si="75"/>
        <v>#DIV/0!</v>
      </c>
      <c r="AC25" s="571">
        <f t="shared" si="58"/>
        <v>0</v>
      </c>
      <c r="AD25" s="435">
        <f t="shared" si="76"/>
        <v>0</v>
      </c>
      <c r="AE25" s="428" t="e">
        <f t="shared" si="77"/>
        <v>#DIV/0!</v>
      </c>
      <c r="AF25" s="291"/>
      <c r="AG25" s="291"/>
    </row>
    <row r="26" spans="1:33" s="1" customFormat="1" ht="12" customHeight="1" collapsed="1">
      <c r="A26" s="499" t="str">
        <f>'Renewal Rates '!A25</f>
        <v>All Employees</v>
      </c>
      <c r="B26" s="551">
        <f>'Renewal Rates '!B25</f>
        <v>0</v>
      </c>
      <c r="C26" s="551">
        <f>'Renewal Rates '!H25</f>
        <v>0</v>
      </c>
      <c r="D26" s="435">
        <f t="shared" si="59"/>
        <v>0</v>
      </c>
      <c r="E26" s="571">
        <f t="shared" si="52"/>
        <v>0</v>
      </c>
      <c r="F26" s="435">
        <f t="shared" si="60"/>
        <v>0</v>
      </c>
      <c r="G26" s="428" t="e">
        <f t="shared" si="61"/>
        <v>#DIV/0!</v>
      </c>
      <c r="H26" s="571">
        <v>0</v>
      </c>
      <c r="I26" s="435">
        <f t="shared" si="62"/>
        <v>0</v>
      </c>
      <c r="J26" s="428" t="e">
        <f t="shared" si="63"/>
        <v>#DIV/0!</v>
      </c>
      <c r="K26" s="571">
        <v>0</v>
      </c>
      <c r="L26" s="435">
        <f t="shared" si="64"/>
        <v>0</v>
      </c>
      <c r="M26" s="428" t="e">
        <f t="shared" si="65"/>
        <v>#DIV/0!</v>
      </c>
      <c r="N26" s="571">
        <f t="shared" si="53"/>
        <v>0</v>
      </c>
      <c r="O26" s="435">
        <f t="shared" si="66"/>
        <v>0</v>
      </c>
      <c r="P26" s="428" t="e">
        <f t="shared" si="67"/>
        <v>#DIV/0!</v>
      </c>
      <c r="Q26" s="571">
        <f t="shared" si="54"/>
        <v>0</v>
      </c>
      <c r="R26" s="799">
        <f t="shared" si="68"/>
        <v>0</v>
      </c>
      <c r="S26" s="428" t="e">
        <f t="shared" si="69"/>
        <v>#DIV/0!</v>
      </c>
      <c r="T26" s="571">
        <f t="shared" si="55"/>
        <v>0</v>
      </c>
      <c r="U26" s="799">
        <f t="shared" si="70"/>
        <v>0</v>
      </c>
      <c r="V26" s="428" t="e">
        <f t="shared" si="71"/>
        <v>#DIV/0!</v>
      </c>
      <c r="W26" s="571">
        <f t="shared" si="56"/>
        <v>0</v>
      </c>
      <c r="X26" s="934">
        <f t="shared" si="72"/>
        <v>0</v>
      </c>
      <c r="Y26" s="428" t="e">
        <f t="shared" si="73"/>
        <v>#DIV/0!</v>
      </c>
      <c r="Z26" s="571">
        <f t="shared" si="57"/>
        <v>0</v>
      </c>
      <c r="AA26" s="899">
        <f t="shared" si="74"/>
        <v>0</v>
      </c>
      <c r="AB26" s="428" t="e">
        <f t="shared" si="75"/>
        <v>#DIV/0!</v>
      </c>
      <c r="AC26" s="571">
        <f t="shared" si="58"/>
        <v>0</v>
      </c>
      <c r="AD26" s="435">
        <f t="shared" si="76"/>
        <v>0</v>
      </c>
      <c r="AE26" s="428" t="e">
        <f t="shared" si="77"/>
        <v>#DIV/0!</v>
      </c>
      <c r="AF26" s="24"/>
      <c r="AG26" s="24"/>
    </row>
    <row r="27" spans="1:33" s="1" customFormat="1" ht="12" customHeight="1">
      <c r="A27" s="448" t="s">
        <v>533</v>
      </c>
      <c r="B27" s="544"/>
      <c r="C27" s="572"/>
      <c r="D27" s="442">
        <f>SUM(D22:D26)</f>
        <v>0</v>
      </c>
      <c r="E27" s="572"/>
      <c r="F27" s="442">
        <f>SUM(F22:F26)</f>
        <v>0</v>
      </c>
      <c r="G27" s="450" t="e">
        <f>F27/$D27-1</f>
        <v>#DIV/0!</v>
      </c>
      <c r="H27" s="572"/>
      <c r="I27" s="442">
        <f>SUM(I22:I26)</f>
        <v>0</v>
      </c>
      <c r="J27" s="450" t="e">
        <f>I27/$D27-1</f>
        <v>#DIV/0!</v>
      </c>
      <c r="K27" s="572"/>
      <c r="L27" s="442">
        <f>SUM(L22:L26)</f>
        <v>0</v>
      </c>
      <c r="M27" s="450" t="e">
        <f>L27/$D27-1</f>
        <v>#DIV/0!</v>
      </c>
      <c r="N27" s="572"/>
      <c r="O27" s="442">
        <f>SUM(O22:O26)</f>
        <v>0</v>
      </c>
      <c r="P27" s="450" t="e">
        <f>O27/$D27-1</f>
        <v>#DIV/0!</v>
      </c>
      <c r="Q27" s="572"/>
      <c r="R27" s="442">
        <f>SUM(R22:R26)</f>
        <v>0</v>
      </c>
      <c r="S27" s="450" t="e">
        <f>R27/$D27-1</f>
        <v>#DIV/0!</v>
      </c>
      <c r="T27" s="572"/>
      <c r="U27" s="442">
        <f>SUM(U22:U26)</f>
        <v>0</v>
      </c>
      <c r="V27" s="450" t="e">
        <f>U27/$D27-1</f>
        <v>#DIV/0!</v>
      </c>
      <c r="W27" s="572"/>
      <c r="X27" s="442">
        <f>SUM(X22:X26)</f>
        <v>0</v>
      </c>
      <c r="Y27" s="450" t="e">
        <f>X27/$D27-1</f>
        <v>#DIV/0!</v>
      </c>
      <c r="Z27" s="572"/>
      <c r="AA27" s="442">
        <f>SUM(AA22:AA26)</f>
        <v>0</v>
      </c>
      <c r="AB27" s="450" t="e">
        <f>AA27/$D27-1</f>
        <v>#DIV/0!</v>
      </c>
      <c r="AC27" s="572"/>
      <c r="AD27" s="442">
        <f>SUM(AD22:AD26)</f>
        <v>0</v>
      </c>
      <c r="AE27" s="450" t="e">
        <f>AD27/$D27-1</f>
        <v>#DIV/0!</v>
      </c>
      <c r="AF27" s="24"/>
      <c r="AG27" s="24"/>
    </row>
    <row r="28" spans="1:33" s="1" customFormat="1" ht="12" customHeight="1">
      <c r="A28" s="448" t="s">
        <v>39</v>
      </c>
      <c r="B28" s="385"/>
      <c r="C28" s="385"/>
      <c r="D28" s="435"/>
      <c r="E28" s="571"/>
      <c r="F28" s="435"/>
      <c r="G28" s="428"/>
      <c r="H28" s="571"/>
      <c r="I28" s="435"/>
      <c r="J28" s="428"/>
      <c r="K28" s="571"/>
      <c r="L28" s="435"/>
      <c r="M28" s="428"/>
      <c r="N28" s="571"/>
      <c r="O28" s="435"/>
      <c r="P28" s="428"/>
      <c r="Q28" s="571"/>
      <c r="R28" s="799"/>
      <c r="S28" s="428"/>
      <c r="T28" s="571"/>
      <c r="U28" s="799"/>
      <c r="V28" s="428"/>
      <c r="W28" s="571"/>
      <c r="X28" s="934"/>
      <c r="Y28" s="428"/>
      <c r="Z28" s="571"/>
      <c r="AA28" s="899"/>
      <c r="AB28" s="428"/>
      <c r="AC28" s="571"/>
      <c r="AD28" s="435"/>
      <c r="AE28" s="428"/>
      <c r="AF28" s="24"/>
      <c r="AG28" s="24"/>
    </row>
    <row r="29" spans="1:33" s="1" customFormat="1" ht="12" customHeight="1">
      <c r="A29" s="499" t="str">
        <f>'Renewal Rates '!A32</f>
        <v>All Employees</v>
      </c>
      <c r="B29" s="385">
        <f>'Renewal Rates '!B32</f>
        <v>0</v>
      </c>
      <c r="C29" s="385">
        <f>'Renewal Rates '!H32</f>
        <v>0</v>
      </c>
      <c r="D29" s="435">
        <f t="shared" ref="D29" si="78">C29*$B29/100</f>
        <v>0</v>
      </c>
      <c r="E29" s="571">
        <f t="shared" ref="E29" si="79">$C29</f>
        <v>0</v>
      </c>
      <c r="F29" s="435">
        <f t="shared" ref="F29" si="80">E29*$B29/100</f>
        <v>0</v>
      </c>
      <c r="G29" s="428" t="e">
        <f t="shared" ref="G29" si="81">E29/$C29-1</f>
        <v>#DIV/0!</v>
      </c>
      <c r="H29" s="571">
        <v>0</v>
      </c>
      <c r="I29" s="435">
        <f t="shared" ref="I29" si="82">H29*$B29/100</f>
        <v>0</v>
      </c>
      <c r="J29" s="428" t="e">
        <f t="shared" ref="J29" si="83">H29/$C29-1</f>
        <v>#DIV/0!</v>
      </c>
      <c r="K29" s="571">
        <v>0</v>
      </c>
      <c r="L29" s="435">
        <f t="shared" ref="L29" si="84">K29*$B29/100</f>
        <v>0</v>
      </c>
      <c r="M29" s="428" t="e">
        <f t="shared" ref="M29" si="85">K29/$C29-1</f>
        <v>#DIV/0!</v>
      </c>
      <c r="N29" s="571">
        <f t="shared" ref="N29" si="86">$C29</f>
        <v>0</v>
      </c>
      <c r="O29" s="435">
        <f t="shared" ref="O29" si="87">N29*$B29/100</f>
        <v>0</v>
      </c>
      <c r="P29" s="428" t="e">
        <f t="shared" ref="P29" si="88">N29/$C29-1</f>
        <v>#DIV/0!</v>
      </c>
      <c r="Q29" s="571">
        <f t="shared" ref="Q29" si="89">$C29</f>
        <v>0</v>
      </c>
      <c r="R29" s="799">
        <f t="shared" ref="R29" si="90">Q29*$B29/100</f>
        <v>0</v>
      </c>
      <c r="S29" s="428" t="e">
        <f t="shared" ref="S29" si="91">Q29/$C29-1</f>
        <v>#DIV/0!</v>
      </c>
      <c r="T29" s="571">
        <f t="shared" ref="T29" si="92">$C29</f>
        <v>0</v>
      </c>
      <c r="U29" s="799">
        <f t="shared" ref="U29" si="93">T29*$B29/100</f>
        <v>0</v>
      </c>
      <c r="V29" s="428" t="e">
        <f t="shared" ref="V29" si="94">T29/$C29-1</f>
        <v>#DIV/0!</v>
      </c>
      <c r="W29" s="571">
        <f t="shared" ref="W29" si="95">$C29</f>
        <v>0</v>
      </c>
      <c r="X29" s="934">
        <f t="shared" ref="X29" si="96">W29*$B29/100</f>
        <v>0</v>
      </c>
      <c r="Y29" s="428" t="e">
        <f t="shared" ref="Y29" si="97">W29/$C29-1</f>
        <v>#DIV/0!</v>
      </c>
      <c r="Z29" s="571">
        <f t="shared" ref="Z29" si="98">$C29</f>
        <v>0</v>
      </c>
      <c r="AA29" s="899">
        <f t="shared" ref="AA29" si="99">Z29*$B29/100</f>
        <v>0</v>
      </c>
      <c r="AB29" s="428" t="e">
        <f t="shared" ref="AB29" si="100">Z29/$C29-1</f>
        <v>#DIV/0!</v>
      </c>
      <c r="AC29" s="571">
        <f t="shared" ref="AC29" si="101">$C29</f>
        <v>0</v>
      </c>
      <c r="AD29" s="435">
        <f t="shared" ref="AD29" si="102">AC29*$B29/100</f>
        <v>0</v>
      </c>
      <c r="AE29" s="428" t="e">
        <f t="shared" ref="AE29" si="103">AC29/$C29-1</f>
        <v>#DIV/0!</v>
      </c>
      <c r="AF29" s="24"/>
      <c r="AG29" s="24"/>
    </row>
    <row r="30" spans="1:33" s="1" customFormat="1" ht="12" customHeight="1">
      <c r="A30" s="448" t="s">
        <v>534</v>
      </c>
      <c r="B30" s="544"/>
      <c r="C30" s="572"/>
      <c r="D30" s="442">
        <f>SUM(D29:D29)</f>
        <v>0</v>
      </c>
      <c r="E30" s="572"/>
      <c r="F30" s="442">
        <f>SUM(F29:F29)</f>
        <v>0</v>
      </c>
      <c r="G30" s="450" t="e">
        <f>F30/$D30-1</f>
        <v>#DIV/0!</v>
      </c>
      <c r="H30" s="572"/>
      <c r="I30" s="442">
        <f>SUM(I29:I29)</f>
        <v>0</v>
      </c>
      <c r="J30" s="450" t="e">
        <f>I30/$D30-1</f>
        <v>#DIV/0!</v>
      </c>
      <c r="K30" s="572"/>
      <c r="L30" s="442">
        <f>SUM(L29:L29)</f>
        <v>0</v>
      </c>
      <c r="M30" s="450" t="e">
        <f>L30/$D30-1</f>
        <v>#DIV/0!</v>
      </c>
      <c r="N30" s="572"/>
      <c r="O30" s="442">
        <f>SUM(O29:O29)</f>
        <v>0</v>
      </c>
      <c r="P30" s="450" t="e">
        <f>O30/$D30-1</f>
        <v>#DIV/0!</v>
      </c>
      <c r="Q30" s="572"/>
      <c r="R30" s="442">
        <f>SUM(R29:R29)</f>
        <v>0</v>
      </c>
      <c r="S30" s="450" t="e">
        <f>R30/$D30-1</f>
        <v>#DIV/0!</v>
      </c>
      <c r="T30" s="572"/>
      <c r="U30" s="442">
        <f>SUM(U29:U29)</f>
        <v>0</v>
      </c>
      <c r="V30" s="450" t="e">
        <f>U30/$D30-1</f>
        <v>#DIV/0!</v>
      </c>
      <c r="W30" s="572"/>
      <c r="X30" s="442">
        <f>SUM(X29:X29)</f>
        <v>0</v>
      </c>
      <c r="Y30" s="450" t="e">
        <f>X30/$D30-1</f>
        <v>#DIV/0!</v>
      </c>
      <c r="Z30" s="572"/>
      <c r="AA30" s="442">
        <f>SUM(AA29:AA29)</f>
        <v>0</v>
      </c>
      <c r="AB30" s="450" t="e">
        <f>AA30/$D30-1</f>
        <v>#DIV/0!</v>
      </c>
      <c r="AC30" s="572"/>
      <c r="AD30" s="442">
        <f>SUM(AD29:AD29)</f>
        <v>0</v>
      </c>
      <c r="AE30" s="450" t="e">
        <f>AD30/$D30-1</f>
        <v>#DIV/0!</v>
      </c>
      <c r="AF30" s="24"/>
      <c r="AG30" s="24"/>
    </row>
    <row r="31" spans="1:33" s="1" customFormat="1" ht="12" customHeight="1">
      <c r="A31" s="448" t="s">
        <v>133</v>
      </c>
      <c r="B31" s="385"/>
      <c r="C31" s="385"/>
      <c r="D31" s="435"/>
      <c r="E31" s="571"/>
      <c r="F31" s="435"/>
      <c r="G31" s="428"/>
      <c r="H31" s="571"/>
      <c r="I31" s="435"/>
      <c r="J31" s="428"/>
      <c r="K31" s="571"/>
      <c r="L31" s="435"/>
      <c r="M31" s="428"/>
      <c r="N31" s="571"/>
      <c r="O31" s="435"/>
      <c r="P31" s="428"/>
      <c r="Q31" s="571"/>
      <c r="R31" s="799"/>
      <c r="S31" s="428"/>
      <c r="T31" s="571"/>
      <c r="U31" s="799"/>
      <c r="V31" s="428"/>
      <c r="W31" s="571"/>
      <c r="X31" s="934"/>
      <c r="Y31" s="428"/>
      <c r="Z31" s="571"/>
      <c r="AA31" s="899"/>
      <c r="AB31" s="428"/>
      <c r="AC31" s="571"/>
      <c r="AD31" s="435"/>
      <c r="AE31" s="428"/>
      <c r="AF31" s="291"/>
      <c r="AG31" s="291"/>
    </row>
    <row r="32" spans="1:33" s="1" customFormat="1" ht="12" hidden="1" customHeight="1" outlineLevel="1">
      <c r="A32" s="499" t="str">
        <f>'Renewal Rates '!A35</f>
        <v>Class A</v>
      </c>
      <c r="B32" s="385">
        <f>'Renewal Rates '!B35</f>
        <v>0</v>
      </c>
      <c r="C32" s="385">
        <f>'Renewal Rates '!H35</f>
        <v>0</v>
      </c>
      <c r="D32" s="435">
        <f>C32*B32/1000</f>
        <v>0</v>
      </c>
      <c r="E32" s="571">
        <f t="shared" ref="E32:E36" si="104">$C32</f>
        <v>0</v>
      </c>
      <c r="F32" s="435">
        <f>E32*$B32/1000</f>
        <v>0</v>
      </c>
      <c r="G32" s="428" t="e">
        <f>E32/$C32-1</f>
        <v>#DIV/0!</v>
      </c>
      <c r="H32" s="571">
        <v>0</v>
      </c>
      <c r="I32" s="435">
        <f>H32*$B32/1000</f>
        <v>0</v>
      </c>
      <c r="J32" s="428" t="e">
        <f>H32/$C32-1</f>
        <v>#DIV/0!</v>
      </c>
      <c r="K32" s="571">
        <v>0</v>
      </c>
      <c r="L32" s="435">
        <f>K32*$B32/1000</f>
        <v>0</v>
      </c>
      <c r="M32" s="428" t="e">
        <f>K32/$C32-1</f>
        <v>#DIV/0!</v>
      </c>
      <c r="N32" s="571">
        <f t="shared" ref="N32:N36" si="105">$C32</f>
        <v>0</v>
      </c>
      <c r="O32" s="435">
        <f>N32*$B32/1000</f>
        <v>0</v>
      </c>
      <c r="P32" s="428" t="e">
        <f>N32/$C32-1</f>
        <v>#DIV/0!</v>
      </c>
      <c r="Q32" s="571">
        <f t="shared" ref="Q32:Q36" si="106">$C32</f>
        <v>0</v>
      </c>
      <c r="R32" s="799">
        <f>Q32*$B32/1000</f>
        <v>0</v>
      </c>
      <c r="S32" s="428" t="e">
        <f>Q32/$C32-1</f>
        <v>#DIV/0!</v>
      </c>
      <c r="T32" s="571">
        <f t="shared" ref="T32:T36" si="107">$C32</f>
        <v>0</v>
      </c>
      <c r="U32" s="799">
        <f>T32*$B32/1000</f>
        <v>0</v>
      </c>
      <c r="V32" s="428" t="e">
        <f>T32/$C32-1</f>
        <v>#DIV/0!</v>
      </c>
      <c r="W32" s="571">
        <f t="shared" ref="W32:W36" si="108">$C32</f>
        <v>0</v>
      </c>
      <c r="X32" s="934">
        <f>W32*$B32/1000</f>
        <v>0</v>
      </c>
      <c r="Y32" s="428" t="e">
        <f>W32/$C32-1</f>
        <v>#DIV/0!</v>
      </c>
      <c r="Z32" s="571">
        <f t="shared" ref="Z32:Z36" si="109">$C32</f>
        <v>0</v>
      </c>
      <c r="AA32" s="899">
        <f>Z32*$B32/1000</f>
        <v>0</v>
      </c>
      <c r="AB32" s="428" t="e">
        <f>Z32/$C32-1</f>
        <v>#DIV/0!</v>
      </c>
      <c r="AC32" s="571">
        <f t="shared" ref="AC32:AC36" si="110">$C32</f>
        <v>0</v>
      </c>
      <c r="AD32" s="435">
        <f>AC32*$B32/1000</f>
        <v>0</v>
      </c>
      <c r="AE32" s="428" t="e">
        <f>AC32/$C32-1</f>
        <v>#DIV/0!</v>
      </c>
      <c r="AF32" s="291"/>
      <c r="AG32" s="291"/>
    </row>
    <row r="33" spans="1:33" s="1" customFormat="1" ht="12" hidden="1" customHeight="1" outlineLevel="1">
      <c r="A33" s="499" t="str">
        <f>'Renewal Rates '!A36</f>
        <v>Class B</v>
      </c>
      <c r="B33" s="385">
        <f>'Renewal Rates '!B36</f>
        <v>0</v>
      </c>
      <c r="C33" s="385">
        <f>'Renewal Rates '!H36</f>
        <v>0</v>
      </c>
      <c r="D33" s="435">
        <f t="shared" ref="D33:D36" si="111">C33*B33/1000</f>
        <v>0</v>
      </c>
      <c r="E33" s="571">
        <f t="shared" si="104"/>
        <v>0</v>
      </c>
      <c r="F33" s="435">
        <f t="shared" ref="F33:F36" si="112">E33*$B33/1000</f>
        <v>0</v>
      </c>
      <c r="G33" s="428" t="e">
        <f t="shared" ref="G33:G35" si="113">E33/$C33-1</f>
        <v>#DIV/0!</v>
      </c>
      <c r="H33" s="571">
        <v>0</v>
      </c>
      <c r="I33" s="435">
        <f t="shared" ref="I33:I36" si="114">H33*$B33/1000</f>
        <v>0</v>
      </c>
      <c r="J33" s="428" t="e">
        <f t="shared" ref="J33:J35" si="115">H33/$C33-1</f>
        <v>#DIV/0!</v>
      </c>
      <c r="K33" s="571">
        <v>0</v>
      </c>
      <c r="L33" s="435">
        <f t="shared" ref="L33:L36" si="116">K33*$B33/1000</f>
        <v>0</v>
      </c>
      <c r="M33" s="428" t="e">
        <f t="shared" ref="M33:M35" si="117">K33/$C33-1</f>
        <v>#DIV/0!</v>
      </c>
      <c r="N33" s="571">
        <f t="shared" si="105"/>
        <v>0</v>
      </c>
      <c r="O33" s="435">
        <f t="shared" ref="O33:O36" si="118">N33*$B33/1000</f>
        <v>0</v>
      </c>
      <c r="P33" s="428" t="e">
        <f t="shared" ref="P33:P35" si="119">N33/$C33-1</f>
        <v>#DIV/0!</v>
      </c>
      <c r="Q33" s="571">
        <f t="shared" si="106"/>
        <v>0</v>
      </c>
      <c r="R33" s="799">
        <f t="shared" ref="R33:R36" si="120">Q33*$B33/1000</f>
        <v>0</v>
      </c>
      <c r="S33" s="428" t="e">
        <f t="shared" ref="S33:S35" si="121">Q33/$C33-1</f>
        <v>#DIV/0!</v>
      </c>
      <c r="T33" s="571">
        <f t="shared" si="107"/>
        <v>0</v>
      </c>
      <c r="U33" s="799">
        <f t="shared" ref="U33:U36" si="122">T33*$B33/1000</f>
        <v>0</v>
      </c>
      <c r="V33" s="428" t="e">
        <f t="shared" ref="V33:V35" si="123">T33/$C33-1</f>
        <v>#DIV/0!</v>
      </c>
      <c r="W33" s="571">
        <f t="shared" si="108"/>
        <v>0</v>
      </c>
      <c r="X33" s="934">
        <f t="shared" ref="X33:X36" si="124">W33*$B33/1000</f>
        <v>0</v>
      </c>
      <c r="Y33" s="428" t="e">
        <f t="shared" ref="Y33:Y35" si="125">W33/$C33-1</f>
        <v>#DIV/0!</v>
      </c>
      <c r="Z33" s="571">
        <f t="shared" si="109"/>
        <v>0</v>
      </c>
      <c r="AA33" s="899">
        <f t="shared" ref="AA33:AA36" si="126">Z33*$B33/1000</f>
        <v>0</v>
      </c>
      <c r="AB33" s="428" t="e">
        <f t="shared" ref="AB33:AB35" si="127">Z33/$C33-1</f>
        <v>#DIV/0!</v>
      </c>
      <c r="AC33" s="571">
        <f t="shared" si="110"/>
        <v>0</v>
      </c>
      <c r="AD33" s="435">
        <f t="shared" ref="AD33:AD36" si="128">AC33*$B33/1000</f>
        <v>0</v>
      </c>
      <c r="AE33" s="428" t="e">
        <f t="shared" ref="AE33:AE36" si="129">AC33/$C33-1</f>
        <v>#DIV/0!</v>
      </c>
      <c r="AF33" s="291"/>
      <c r="AG33" s="291"/>
    </row>
    <row r="34" spans="1:33" s="1" customFormat="1" ht="12" hidden="1" customHeight="1" outlineLevel="1">
      <c r="A34" s="499" t="str">
        <f>'Renewal Rates '!A37</f>
        <v>Class C</v>
      </c>
      <c r="B34" s="385">
        <f>'Renewal Rates '!B37</f>
        <v>0</v>
      </c>
      <c r="C34" s="385">
        <f>'Renewal Rates '!H37</f>
        <v>0</v>
      </c>
      <c r="D34" s="435">
        <f t="shared" si="111"/>
        <v>0</v>
      </c>
      <c r="E34" s="571">
        <f t="shared" si="104"/>
        <v>0</v>
      </c>
      <c r="F34" s="435">
        <f t="shared" si="112"/>
        <v>0</v>
      </c>
      <c r="G34" s="428" t="e">
        <f t="shared" si="113"/>
        <v>#DIV/0!</v>
      </c>
      <c r="H34" s="571">
        <v>0</v>
      </c>
      <c r="I34" s="435">
        <f t="shared" si="114"/>
        <v>0</v>
      </c>
      <c r="J34" s="428" t="e">
        <f t="shared" si="115"/>
        <v>#DIV/0!</v>
      </c>
      <c r="K34" s="571">
        <v>0</v>
      </c>
      <c r="L34" s="435">
        <f t="shared" si="116"/>
        <v>0</v>
      </c>
      <c r="M34" s="428" t="e">
        <f t="shared" si="117"/>
        <v>#DIV/0!</v>
      </c>
      <c r="N34" s="571">
        <f t="shared" si="105"/>
        <v>0</v>
      </c>
      <c r="O34" s="435">
        <f t="shared" si="118"/>
        <v>0</v>
      </c>
      <c r="P34" s="428" t="e">
        <f t="shared" si="119"/>
        <v>#DIV/0!</v>
      </c>
      <c r="Q34" s="571">
        <f t="shared" si="106"/>
        <v>0</v>
      </c>
      <c r="R34" s="799">
        <f t="shared" si="120"/>
        <v>0</v>
      </c>
      <c r="S34" s="428" t="e">
        <f t="shared" si="121"/>
        <v>#DIV/0!</v>
      </c>
      <c r="T34" s="571">
        <f t="shared" si="107"/>
        <v>0</v>
      </c>
      <c r="U34" s="799">
        <f t="shared" si="122"/>
        <v>0</v>
      </c>
      <c r="V34" s="428" t="e">
        <f t="shared" si="123"/>
        <v>#DIV/0!</v>
      </c>
      <c r="W34" s="571">
        <f t="shared" si="108"/>
        <v>0</v>
      </c>
      <c r="X34" s="934">
        <f t="shared" si="124"/>
        <v>0</v>
      </c>
      <c r="Y34" s="428" t="e">
        <f t="shared" si="125"/>
        <v>#DIV/0!</v>
      </c>
      <c r="Z34" s="571">
        <f t="shared" si="109"/>
        <v>0</v>
      </c>
      <c r="AA34" s="899">
        <f t="shared" si="126"/>
        <v>0</v>
      </c>
      <c r="AB34" s="428" t="e">
        <f t="shared" si="127"/>
        <v>#DIV/0!</v>
      </c>
      <c r="AC34" s="571">
        <f t="shared" si="110"/>
        <v>0</v>
      </c>
      <c r="AD34" s="435">
        <f t="shared" si="128"/>
        <v>0</v>
      </c>
      <c r="AE34" s="428" t="e">
        <f t="shared" si="129"/>
        <v>#DIV/0!</v>
      </c>
      <c r="AF34" s="291"/>
      <c r="AG34" s="291"/>
    </row>
    <row r="35" spans="1:33" s="1" customFormat="1" ht="12" hidden="1" customHeight="1" outlineLevel="1">
      <c r="A35" s="499" t="str">
        <f>'Renewal Rates '!A38</f>
        <v>Class D</v>
      </c>
      <c r="B35" s="385">
        <f>'Renewal Rates '!B38</f>
        <v>0</v>
      </c>
      <c r="C35" s="385">
        <f>'Renewal Rates '!H38</f>
        <v>0</v>
      </c>
      <c r="D35" s="435">
        <f t="shared" si="111"/>
        <v>0</v>
      </c>
      <c r="E35" s="571">
        <f t="shared" si="104"/>
        <v>0</v>
      </c>
      <c r="F35" s="435">
        <f t="shared" si="112"/>
        <v>0</v>
      </c>
      <c r="G35" s="428" t="e">
        <f t="shared" si="113"/>
        <v>#DIV/0!</v>
      </c>
      <c r="H35" s="571">
        <v>0</v>
      </c>
      <c r="I35" s="435">
        <f t="shared" si="114"/>
        <v>0</v>
      </c>
      <c r="J35" s="428" t="e">
        <f t="shared" si="115"/>
        <v>#DIV/0!</v>
      </c>
      <c r="K35" s="571">
        <v>0</v>
      </c>
      <c r="L35" s="435">
        <f t="shared" si="116"/>
        <v>0</v>
      </c>
      <c r="M35" s="428" t="e">
        <f t="shared" si="117"/>
        <v>#DIV/0!</v>
      </c>
      <c r="N35" s="571">
        <f t="shared" si="105"/>
        <v>0</v>
      </c>
      <c r="O35" s="435">
        <f t="shared" si="118"/>
        <v>0</v>
      </c>
      <c r="P35" s="428" t="e">
        <f t="shared" si="119"/>
        <v>#DIV/0!</v>
      </c>
      <c r="Q35" s="571">
        <f t="shared" si="106"/>
        <v>0</v>
      </c>
      <c r="R35" s="799">
        <f t="shared" si="120"/>
        <v>0</v>
      </c>
      <c r="S35" s="428" t="e">
        <f t="shared" si="121"/>
        <v>#DIV/0!</v>
      </c>
      <c r="T35" s="571">
        <f t="shared" si="107"/>
        <v>0</v>
      </c>
      <c r="U35" s="799">
        <f t="shared" si="122"/>
        <v>0</v>
      </c>
      <c r="V35" s="428" t="e">
        <f t="shared" si="123"/>
        <v>#DIV/0!</v>
      </c>
      <c r="W35" s="571">
        <f t="shared" si="108"/>
        <v>0</v>
      </c>
      <c r="X35" s="934">
        <f t="shared" si="124"/>
        <v>0</v>
      </c>
      <c r="Y35" s="428" t="e">
        <f t="shared" si="125"/>
        <v>#DIV/0!</v>
      </c>
      <c r="Z35" s="571">
        <f t="shared" si="109"/>
        <v>0</v>
      </c>
      <c r="AA35" s="899">
        <f t="shared" si="126"/>
        <v>0</v>
      </c>
      <c r="AB35" s="428" t="e">
        <f t="shared" si="127"/>
        <v>#DIV/0!</v>
      </c>
      <c r="AC35" s="571">
        <f t="shared" si="110"/>
        <v>0</v>
      </c>
      <c r="AD35" s="435">
        <f t="shared" si="128"/>
        <v>0</v>
      </c>
      <c r="AE35" s="428" t="e">
        <f t="shared" si="129"/>
        <v>#DIV/0!</v>
      </c>
      <c r="AF35" s="291"/>
      <c r="AG35" s="291"/>
    </row>
    <row r="36" spans="1:33" s="1" customFormat="1" ht="12" customHeight="1" collapsed="1">
      <c r="A36" s="499" t="str">
        <f>'Renewal Rates '!A39</f>
        <v>All Employees</v>
      </c>
      <c r="B36" s="385">
        <f>'Renewal Rates '!B39</f>
        <v>0</v>
      </c>
      <c r="C36" s="385">
        <f>'Renewal Rates '!H39</f>
        <v>0</v>
      </c>
      <c r="D36" s="435">
        <f t="shared" si="111"/>
        <v>0</v>
      </c>
      <c r="E36" s="571">
        <f t="shared" si="104"/>
        <v>0</v>
      </c>
      <c r="F36" s="435">
        <f t="shared" si="112"/>
        <v>0</v>
      </c>
      <c r="G36" s="428" t="e">
        <f>E36/$C36-1</f>
        <v>#DIV/0!</v>
      </c>
      <c r="H36" s="571">
        <v>0</v>
      </c>
      <c r="I36" s="435">
        <f t="shared" si="114"/>
        <v>0</v>
      </c>
      <c r="J36" s="428" t="e">
        <f>H36/$C36-1</f>
        <v>#DIV/0!</v>
      </c>
      <c r="K36" s="571">
        <v>0</v>
      </c>
      <c r="L36" s="435">
        <f t="shared" si="116"/>
        <v>0</v>
      </c>
      <c r="M36" s="428" t="e">
        <f>K36/$C36-1</f>
        <v>#DIV/0!</v>
      </c>
      <c r="N36" s="571">
        <f t="shared" si="105"/>
        <v>0</v>
      </c>
      <c r="O36" s="435">
        <f t="shared" si="118"/>
        <v>0</v>
      </c>
      <c r="P36" s="428" t="e">
        <f>N36/$C36-1</f>
        <v>#DIV/0!</v>
      </c>
      <c r="Q36" s="571">
        <f t="shared" si="106"/>
        <v>0</v>
      </c>
      <c r="R36" s="799">
        <f t="shared" si="120"/>
        <v>0</v>
      </c>
      <c r="S36" s="428" t="e">
        <f>Q36/$C36-1</f>
        <v>#DIV/0!</v>
      </c>
      <c r="T36" s="571">
        <f t="shared" si="107"/>
        <v>0</v>
      </c>
      <c r="U36" s="799">
        <f t="shared" si="122"/>
        <v>0</v>
      </c>
      <c r="V36" s="428" t="e">
        <f>T36/$C36-1</f>
        <v>#DIV/0!</v>
      </c>
      <c r="W36" s="571">
        <f t="shared" si="108"/>
        <v>0</v>
      </c>
      <c r="X36" s="934">
        <f t="shared" si="124"/>
        <v>0</v>
      </c>
      <c r="Y36" s="428" t="e">
        <f>W36/$C36-1</f>
        <v>#DIV/0!</v>
      </c>
      <c r="Z36" s="571">
        <f t="shared" si="109"/>
        <v>0</v>
      </c>
      <c r="AA36" s="899">
        <f t="shared" si="126"/>
        <v>0</v>
      </c>
      <c r="AB36" s="428" t="e">
        <f>Z36/$C36-1</f>
        <v>#DIV/0!</v>
      </c>
      <c r="AC36" s="571">
        <f t="shared" si="110"/>
        <v>0</v>
      </c>
      <c r="AD36" s="435">
        <f t="shared" si="128"/>
        <v>0</v>
      </c>
      <c r="AE36" s="428" t="e">
        <f t="shared" si="129"/>
        <v>#DIV/0!</v>
      </c>
      <c r="AF36" s="291"/>
      <c r="AG36" s="291"/>
    </row>
    <row r="37" spans="1:33" s="1" customFormat="1" ht="12" customHeight="1">
      <c r="A37" s="448" t="s">
        <v>683</v>
      </c>
      <c r="B37" s="544"/>
      <c r="C37" s="572"/>
      <c r="D37" s="442">
        <f>SUM(D32:D36)</f>
        <v>0</v>
      </c>
      <c r="E37" s="572"/>
      <c r="F37" s="442">
        <f>SUM(F32:F36)</f>
        <v>0</v>
      </c>
      <c r="G37" s="450" t="e">
        <f>F37/$D37-1</f>
        <v>#DIV/0!</v>
      </c>
      <c r="H37" s="572"/>
      <c r="I37" s="442">
        <f>SUM(I32:I36)</f>
        <v>0</v>
      </c>
      <c r="J37" s="450" t="e">
        <f>I37/$D37-1</f>
        <v>#DIV/0!</v>
      </c>
      <c r="K37" s="572"/>
      <c r="L37" s="442">
        <f>SUM(L32:L36)</f>
        <v>0</v>
      </c>
      <c r="M37" s="450" t="e">
        <f>L37/$D37-1</f>
        <v>#DIV/0!</v>
      </c>
      <c r="N37" s="572"/>
      <c r="O37" s="442">
        <f>SUM(O32:O36)</f>
        <v>0</v>
      </c>
      <c r="P37" s="450" t="e">
        <f>O37/$D37-1</f>
        <v>#DIV/0!</v>
      </c>
      <c r="Q37" s="572"/>
      <c r="R37" s="442">
        <f>SUM(R32:R36)</f>
        <v>0</v>
      </c>
      <c r="S37" s="450" t="e">
        <f>R37/$D37-1</f>
        <v>#DIV/0!</v>
      </c>
      <c r="T37" s="572"/>
      <c r="U37" s="442">
        <f>SUM(U32:U36)</f>
        <v>0</v>
      </c>
      <c r="V37" s="450" t="e">
        <f>U37/$D37-1</f>
        <v>#DIV/0!</v>
      </c>
      <c r="W37" s="572"/>
      <c r="X37" s="442">
        <f>SUM(X32:X36)</f>
        <v>0</v>
      </c>
      <c r="Y37" s="450" t="e">
        <f>X37/$D37-1</f>
        <v>#DIV/0!</v>
      </c>
      <c r="Z37" s="572"/>
      <c r="AA37" s="442">
        <f>SUM(AA32:AA36)</f>
        <v>0</v>
      </c>
      <c r="AB37" s="450" t="e">
        <f>AA37/$D37-1</f>
        <v>#DIV/0!</v>
      </c>
      <c r="AC37" s="572"/>
      <c r="AD37" s="442">
        <f>SUM(AD32:AD36)</f>
        <v>0</v>
      </c>
      <c r="AE37" s="450" t="e">
        <f>AD37/$D37-1</f>
        <v>#DIV/0!</v>
      </c>
      <c r="AF37" s="291"/>
      <c r="AG37" s="291"/>
    </row>
    <row r="38" spans="1:33" s="1" customFormat="1" ht="12" customHeight="1">
      <c r="A38" s="1214" t="s">
        <v>161</v>
      </c>
      <c r="B38" s="1214"/>
      <c r="C38" s="1211"/>
      <c r="D38" s="1212">
        <f>D13+D20+D27+D30+D37</f>
        <v>0</v>
      </c>
      <c r="E38" s="1211"/>
      <c r="F38" s="1212">
        <f>F13+F20+F27+F30+F37</f>
        <v>0</v>
      </c>
      <c r="G38" s="1210" t="e">
        <f>F38/$D38-1</f>
        <v>#DIV/0!</v>
      </c>
      <c r="H38" s="1211"/>
      <c r="I38" s="1212">
        <f>I13+I20+I27+I30+I37</f>
        <v>0</v>
      </c>
      <c r="J38" s="1210" t="e">
        <f>I38/$D38-1</f>
        <v>#DIV/0!</v>
      </c>
      <c r="K38" s="1211"/>
      <c r="L38" s="1212">
        <f>L13+L20+L27+L30+L37</f>
        <v>0</v>
      </c>
      <c r="M38" s="1210" t="e">
        <f>L38/$D38-1</f>
        <v>#DIV/0!</v>
      </c>
      <c r="N38" s="1211"/>
      <c r="O38" s="1212">
        <f>O13+O20+O27+O30+O37</f>
        <v>0</v>
      </c>
      <c r="P38" s="1210" t="e">
        <f>O38/$D38-1</f>
        <v>#DIV/0!</v>
      </c>
      <c r="Q38" s="1211"/>
      <c r="R38" s="1212">
        <f>R13+R20+R27+R30+R37</f>
        <v>0</v>
      </c>
      <c r="S38" s="1210" t="e">
        <f>R38/$D38-1</f>
        <v>#DIV/0!</v>
      </c>
      <c r="T38" s="1211"/>
      <c r="U38" s="1212">
        <f>U13+U20+U27+U30+U37</f>
        <v>0</v>
      </c>
      <c r="V38" s="1210" t="e">
        <f>U38/$D38-1</f>
        <v>#DIV/0!</v>
      </c>
      <c r="W38" s="1211"/>
      <c r="X38" s="1212">
        <f>X13+X20+X27+X30+X37</f>
        <v>0</v>
      </c>
      <c r="Y38" s="1210" t="e">
        <f>X38/$D38-1</f>
        <v>#DIV/0!</v>
      </c>
      <c r="Z38" s="1211"/>
      <c r="AA38" s="1212">
        <f>AA13+AA20+AA27+AA30+AA37</f>
        <v>0</v>
      </c>
      <c r="AB38" s="1210" t="e">
        <f>AA38/$D38-1</f>
        <v>#DIV/0!</v>
      </c>
      <c r="AC38" s="1211"/>
      <c r="AD38" s="1212">
        <f>AD13+AD20+AD27+AD30+AD37</f>
        <v>0</v>
      </c>
      <c r="AE38" s="1210" t="e">
        <f>AD38/$D38-1</f>
        <v>#DIV/0!</v>
      </c>
      <c r="AF38" s="24"/>
      <c r="AG38" s="24"/>
    </row>
    <row r="39" spans="1:33" s="1" customFormat="1" ht="12" customHeight="1">
      <c r="A39" s="1213" t="s">
        <v>6</v>
      </c>
      <c r="B39" s="1213"/>
      <c r="C39" s="1211"/>
      <c r="D39" s="1212"/>
      <c r="E39" s="1211"/>
      <c r="F39" s="1212"/>
      <c r="G39" s="1210"/>
      <c r="H39" s="1211"/>
      <c r="I39" s="1212"/>
      <c r="J39" s="1210"/>
      <c r="K39" s="1211"/>
      <c r="L39" s="1212"/>
      <c r="M39" s="1210"/>
      <c r="N39" s="1211"/>
      <c r="O39" s="1212"/>
      <c r="P39" s="1210"/>
      <c r="Q39" s="1211"/>
      <c r="R39" s="1212"/>
      <c r="S39" s="1210"/>
      <c r="T39" s="1211"/>
      <c r="U39" s="1212"/>
      <c r="V39" s="1210"/>
      <c r="W39" s="1211"/>
      <c r="X39" s="1212"/>
      <c r="Y39" s="1210"/>
      <c r="Z39" s="1211"/>
      <c r="AA39" s="1212"/>
      <c r="AB39" s="1210"/>
      <c r="AC39" s="1211"/>
      <c r="AD39" s="1212"/>
      <c r="AE39" s="1210"/>
      <c r="AF39" s="24"/>
      <c r="AG39" s="24"/>
    </row>
    <row r="40" spans="1:33" s="1" customFormat="1" ht="4.5" customHeight="1">
      <c r="A40" s="731"/>
      <c r="B40" s="732"/>
      <c r="C40" s="732"/>
      <c r="D40" s="732"/>
      <c r="E40" s="732"/>
      <c r="F40" s="732"/>
      <c r="G40" s="732"/>
      <c r="H40" s="732"/>
      <c r="I40" s="732"/>
      <c r="J40" s="732"/>
      <c r="K40" s="732"/>
      <c r="L40" s="732"/>
      <c r="M40" s="732"/>
      <c r="N40" s="732"/>
      <c r="O40" s="732"/>
      <c r="P40" s="732"/>
      <c r="Q40" s="732"/>
      <c r="R40" s="732"/>
      <c r="S40" s="732"/>
      <c r="T40" s="732"/>
      <c r="U40" s="732"/>
      <c r="V40" s="732"/>
      <c r="W40" s="732"/>
      <c r="X40" s="732"/>
      <c r="Y40" s="732"/>
      <c r="Z40" s="732"/>
      <c r="AA40" s="732"/>
      <c r="AB40" s="732"/>
      <c r="AC40" s="732"/>
      <c r="AD40" s="732"/>
      <c r="AE40" s="733"/>
      <c r="AF40" s="24"/>
      <c r="AG40" s="24"/>
    </row>
    <row r="41" spans="1:33" s="1" customFormat="1" ht="12" customHeight="1">
      <c r="A41" s="448" t="s">
        <v>40</v>
      </c>
      <c r="B41" s="385"/>
      <c r="C41" s="435"/>
      <c r="D41" s="435"/>
      <c r="E41" s="435"/>
      <c r="F41" s="435"/>
      <c r="G41" s="428"/>
      <c r="H41" s="435"/>
      <c r="I41" s="435"/>
      <c r="J41" s="428"/>
      <c r="K41" s="435"/>
      <c r="L41" s="435"/>
      <c r="M41" s="428"/>
      <c r="N41" s="435"/>
      <c r="O41" s="435"/>
      <c r="P41" s="428"/>
      <c r="Q41" s="799"/>
      <c r="R41" s="799"/>
      <c r="S41" s="428"/>
      <c r="T41" s="799"/>
      <c r="U41" s="799"/>
      <c r="V41" s="428"/>
      <c r="W41" s="934"/>
      <c r="X41" s="934"/>
      <c r="Y41" s="428"/>
      <c r="Z41" s="899"/>
      <c r="AA41" s="899"/>
      <c r="AB41" s="428"/>
      <c r="AC41" s="435"/>
      <c r="AD41" s="435"/>
      <c r="AE41" s="428"/>
      <c r="AF41" s="24"/>
      <c r="AG41" s="24"/>
    </row>
    <row r="42" spans="1:33" s="1" customFormat="1" ht="12" hidden="1" customHeight="1" outlineLevel="1">
      <c r="A42" s="499" t="str">
        <f>'Renewal Rates '!A44</f>
        <v>Class A</v>
      </c>
      <c r="B42" s="385">
        <f>'Renewal Rates '!B44</f>
        <v>0</v>
      </c>
      <c r="C42" s="385">
        <f>'Renewal Rates '!H44</f>
        <v>0</v>
      </c>
      <c r="D42" s="435">
        <f>C42*$B42/10</f>
        <v>0</v>
      </c>
      <c r="E42" s="571">
        <f t="shared" ref="E42:E46" si="130">$C42</f>
        <v>0</v>
      </c>
      <c r="F42" s="435">
        <f>E42*$B42/10</f>
        <v>0</v>
      </c>
      <c r="G42" s="428" t="e">
        <f>E42/$C42-1</f>
        <v>#DIV/0!</v>
      </c>
      <c r="H42" s="435">
        <v>0</v>
      </c>
      <c r="I42" s="435">
        <f>H42*$B42/10</f>
        <v>0</v>
      </c>
      <c r="J42" s="428" t="e">
        <f>H42/$C42-1</f>
        <v>#DIV/0!</v>
      </c>
      <c r="K42" s="435">
        <v>0</v>
      </c>
      <c r="L42" s="435">
        <f>K42*$B42/10</f>
        <v>0</v>
      </c>
      <c r="M42" s="428" t="e">
        <f>K42/$C42-1</f>
        <v>#DIV/0!</v>
      </c>
      <c r="N42" s="571">
        <f t="shared" ref="N42:N46" si="131">$C42</f>
        <v>0</v>
      </c>
      <c r="O42" s="435">
        <f>N42*$B42/10</f>
        <v>0</v>
      </c>
      <c r="P42" s="428" t="e">
        <f>N42/$C42-1</f>
        <v>#DIV/0!</v>
      </c>
      <c r="Q42" s="571">
        <f t="shared" ref="Q42:Q46" si="132">$C42</f>
        <v>0</v>
      </c>
      <c r="R42" s="799">
        <f>Q42*$B42/10</f>
        <v>0</v>
      </c>
      <c r="S42" s="428" t="e">
        <f>Q42/$C42-1</f>
        <v>#DIV/0!</v>
      </c>
      <c r="T42" s="571">
        <f t="shared" ref="T42:T46" si="133">$C42</f>
        <v>0</v>
      </c>
      <c r="U42" s="799">
        <f>T42*$B42/10</f>
        <v>0</v>
      </c>
      <c r="V42" s="428" t="e">
        <f>T42/$C42-1</f>
        <v>#DIV/0!</v>
      </c>
      <c r="W42" s="571">
        <f t="shared" ref="W42:W46" si="134">$C42</f>
        <v>0</v>
      </c>
      <c r="X42" s="934">
        <f>W42*$B42/10</f>
        <v>0</v>
      </c>
      <c r="Y42" s="428" t="e">
        <f>W42/$C42-1</f>
        <v>#DIV/0!</v>
      </c>
      <c r="Z42" s="571">
        <f t="shared" ref="Z42:Z46" si="135">$C42</f>
        <v>0</v>
      </c>
      <c r="AA42" s="899">
        <f>Z42*$B42/10</f>
        <v>0</v>
      </c>
      <c r="AB42" s="428" t="e">
        <f>Z42/$C42-1</f>
        <v>#DIV/0!</v>
      </c>
      <c r="AC42" s="571">
        <f t="shared" ref="AC42:AC46" si="136">$C42</f>
        <v>0</v>
      </c>
      <c r="AD42" s="435">
        <f>AC42*$B42/10</f>
        <v>0</v>
      </c>
      <c r="AE42" s="428" t="e">
        <f>AC42/$C42-1</f>
        <v>#DIV/0!</v>
      </c>
      <c r="AF42" s="291"/>
      <c r="AG42" s="291"/>
    </row>
    <row r="43" spans="1:33" s="1" customFormat="1" ht="12" hidden="1" customHeight="1" outlineLevel="1">
      <c r="A43" s="499" t="str">
        <f>'Renewal Rates '!A45</f>
        <v>Class B</v>
      </c>
      <c r="B43" s="385">
        <f>'Renewal Rates '!B45</f>
        <v>0</v>
      </c>
      <c r="C43" s="385">
        <f>'Renewal Rates '!H45</f>
        <v>0</v>
      </c>
      <c r="D43" s="435">
        <f t="shared" ref="D43:D46" si="137">C43*$B43/10</f>
        <v>0</v>
      </c>
      <c r="E43" s="571">
        <f t="shared" si="130"/>
        <v>0</v>
      </c>
      <c r="F43" s="435">
        <f t="shared" ref="F43:F46" si="138">E43*$B43/10</f>
        <v>0</v>
      </c>
      <c r="G43" s="428" t="e">
        <f t="shared" ref="G43:G46" si="139">E43/$C43-1</f>
        <v>#DIV/0!</v>
      </c>
      <c r="H43" s="435">
        <v>0</v>
      </c>
      <c r="I43" s="435">
        <f t="shared" ref="I43:I46" si="140">H43*$B43/10</f>
        <v>0</v>
      </c>
      <c r="J43" s="428" t="e">
        <f t="shared" ref="J43:J46" si="141">H43/$C43-1</f>
        <v>#DIV/0!</v>
      </c>
      <c r="K43" s="435">
        <v>0</v>
      </c>
      <c r="L43" s="435">
        <f t="shared" ref="L43:L46" si="142">K43*$B43/10</f>
        <v>0</v>
      </c>
      <c r="M43" s="428" t="e">
        <f t="shared" ref="M43:M46" si="143">K43/$C43-1</f>
        <v>#DIV/0!</v>
      </c>
      <c r="N43" s="571">
        <f t="shared" si="131"/>
        <v>0</v>
      </c>
      <c r="O43" s="435">
        <f t="shared" ref="O43:O46" si="144">N43*$B43/10</f>
        <v>0</v>
      </c>
      <c r="P43" s="428" t="e">
        <f t="shared" ref="P43:P46" si="145">N43/$C43-1</f>
        <v>#DIV/0!</v>
      </c>
      <c r="Q43" s="571">
        <f t="shared" si="132"/>
        <v>0</v>
      </c>
      <c r="R43" s="799">
        <f t="shared" ref="R43:R46" si="146">Q43*$B43/10</f>
        <v>0</v>
      </c>
      <c r="S43" s="428" t="e">
        <f t="shared" ref="S43:S46" si="147">Q43/$C43-1</f>
        <v>#DIV/0!</v>
      </c>
      <c r="T43" s="571">
        <f t="shared" si="133"/>
        <v>0</v>
      </c>
      <c r="U43" s="799">
        <f t="shared" ref="U43:U46" si="148">T43*$B43/10</f>
        <v>0</v>
      </c>
      <c r="V43" s="428" t="e">
        <f t="shared" ref="V43:V46" si="149">T43/$C43-1</f>
        <v>#DIV/0!</v>
      </c>
      <c r="W43" s="571">
        <f t="shared" si="134"/>
        <v>0</v>
      </c>
      <c r="X43" s="934">
        <f t="shared" ref="X43:X46" si="150">W43*$B43/10</f>
        <v>0</v>
      </c>
      <c r="Y43" s="428" t="e">
        <f t="shared" ref="Y43:Y46" si="151">W43/$C43-1</f>
        <v>#DIV/0!</v>
      </c>
      <c r="Z43" s="571">
        <f t="shared" si="135"/>
        <v>0</v>
      </c>
      <c r="AA43" s="899">
        <f t="shared" ref="AA43:AA46" si="152">Z43*$B43/10</f>
        <v>0</v>
      </c>
      <c r="AB43" s="428" t="e">
        <f t="shared" ref="AB43:AB46" si="153">Z43/$C43-1</f>
        <v>#DIV/0!</v>
      </c>
      <c r="AC43" s="571">
        <f t="shared" si="136"/>
        <v>0</v>
      </c>
      <c r="AD43" s="435">
        <f t="shared" ref="AD43:AD46" si="154">AC43*$B43/10</f>
        <v>0</v>
      </c>
      <c r="AE43" s="428" t="e">
        <f t="shared" ref="AE43:AE46" si="155">AC43/$C43-1</f>
        <v>#DIV/0!</v>
      </c>
      <c r="AF43" s="291"/>
      <c r="AG43" s="291"/>
    </row>
    <row r="44" spans="1:33" s="1" customFormat="1" ht="12" hidden="1" customHeight="1" outlineLevel="1">
      <c r="A44" s="499" t="str">
        <f>'Renewal Rates '!A46</f>
        <v>Class C</v>
      </c>
      <c r="B44" s="385">
        <f>'Renewal Rates '!B46</f>
        <v>0</v>
      </c>
      <c r="C44" s="385">
        <f>'Renewal Rates '!H46</f>
        <v>0</v>
      </c>
      <c r="D44" s="435">
        <f t="shared" si="137"/>
        <v>0</v>
      </c>
      <c r="E44" s="571">
        <f t="shared" si="130"/>
        <v>0</v>
      </c>
      <c r="F44" s="435">
        <f t="shared" si="138"/>
        <v>0</v>
      </c>
      <c r="G44" s="428" t="e">
        <f t="shared" si="139"/>
        <v>#DIV/0!</v>
      </c>
      <c r="H44" s="435">
        <v>0</v>
      </c>
      <c r="I44" s="435">
        <f t="shared" si="140"/>
        <v>0</v>
      </c>
      <c r="J44" s="428" t="e">
        <f t="shared" si="141"/>
        <v>#DIV/0!</v>
      </c>
      <c r="K44" s="435">
        <v>0</v>
      </c>
      <c r="L44" s="435">
        <f t="shared" si="142"/>
        <v>0</v>
      </c>
      <c r="M44" s="428" t="e">
        <f t="shared" si="143"/>
        <v>#DIV/0!</v>
      </c>
      <c r="N44" s="571">
        <f t="shared" si="131"/>
        <v>0</v>
      </c>
      <c r="O44" s="435">
        <f t="shared" si="144"/>
        <v>0</v>
      </c>
      <c r="P44" s="428" t="e">
        <f t="shared" si="145"/>
        <v>#DIV/0!</v>
      </c>
      <c r="Q44" s="571">
        <f t="shared" si="132"/>
        <v>0</v>
      </c>
      <c r="R44" s="799">
        <f t="shared" si="146"/>
        <v>0</v>
      </c>
      <c r="S44" s="428" t="e">
        <f t="shared" si="147"/>
        <v>#DIV/0!</v>
      </c>
      <c r="T44" s="571">
        <f t="shared" si="133"/>
        <v>0</v>
      </c>
      <c r="U44" s="799">
        <f t="shared" si="148"/>
        <v>0</v>
      </c>
      <c r="V44" s="428" t="e">
        <f t="shared" si="149"/>
        <v>#DIV/0!</v>
      </c>
      <c r="W44" s="571">
        <f t="shared" si="134"/>
        <v>0</v>
      </c>
      <c r="X44" s="934">
        <f t="shared" si="150"/>
        <v>0</v>
      </c>
      <c r="Y44" s="428" t="e">
        <f t="shared" si="151"/>
        <v>#DIV/0!</v>
      </c>
      <c r="Z44" s="571">
        <f t="shared" si="135"/>
        <v>0</v>
      </c>
      <c r="AA44" s="899">
        <f t="shared" si="152"/>
        <v>0</v>
      </c>
      <c r="AB44" s="428" t="e">
        <f t="shared" si="153"/>
        <v>#DIV/0!</v>
      </c>
      <c r="AC44" s="571">
        <f t="shared" si="136"/>
        <v>0</v>
      </c>
      <c r="AD44" s="435">
        <f t="shared" si="154"/>
        <v>0</v>
      </c>
      <c r="AE44" s="428" t="e">
        <f t="shared" si="155"/>
        <v>#DIV/0!</v>
      </c>
      <c r="AF44" s="291"/>
      <c r="AG44" s="291"/>
    </row>
    <row r="45" spans="1:33" s="1" customFormat="1" ht="12" hidden="1" customHeight="1" outlineLevel="1">
      <c r="A45" s="499" t="str">
        <f>'Renewal Rates '!A47</f>
        <v>Class D</v>
      </c>
      <c r="B45" s="385">
        <f>'Renewal Rates '!B47</f>
        <v>0</v>
      </c>
      <c r="C45" s="385">
        <f>'Renewal Rates '!H47</f>
        <v>0</v>
      </c>
      <c r="D45" s="435">
        <f t="shared" si="137"/>
        <v>0</v>
      </c>
      <c r="E45" s="571">
        <f t="shared" si="130"/>
        <v>0</v>
      </c>
      <c r="F45" s="435">
        <f t="shared" si="138"/>
        <v>0</v>
      </c>
      <c r="G45" s="428" t="e">
        <f t="shared" si="139"/>
        <v>#DIV/0!</v>
      </c>
      <c r="H45" s="435">
        <v>0</v>
      </c>
      <c r="I45" s="435">
        <f t="shared" si="140"/>
        <v>0</v>
      </c>
      <c r="J45" s="428" t="e">
        <f t="shared" si="141"/>
        <v>#DIV/0!</v>
      </c>
      <c r="K45" s="435">
        <v>0</v>
      </c>
      <c r="L45" s="435">
        <f t="shared" si="142"/>
        <v>0</v>
      </c>
      <c r="M45" s="428" t="e">
        <f t="shared" si="143"/>
        <v>#DIV/0!</v>
      </c>
      <c r="N45" s="571">
        <f t="shared" si="131"/>
        <v>0</v>
      </c>
      <c r="O45" s="435">
        <f t="shared" si="144"/>
        <v>0</v>
      </c>
      <c r="P45" s="428" t="e">
        <f t="shared" si="145"/>
        <v>#DIV/0!</v>
      </c>
      <c r="Q45" s="571">
        <f t="shared" si="132"/>
        <v>0</v>
      </c>
      <c r="R45" s="799">
        <f t="shared" si="146"/>
        <v>0</v>
      </c>
      <c r="S45" s="428" t="e">
        <f t="shared" si="147"/>
        <v>#DIV/0!</v>
      </c>
      <c r="T45" s="571">
        <f t="shared" si="133"/>
        <v>0</v>
      </c>
      <c r="U45" s="799">
        <f t="shared" si="148"/>
        <v>0</v>
      </c>
      <c r="V45" s="428" t="e">
        <f t="shared" si="149"/>
        <v>#DIV/0!</v>
      </c>
      <c r="W45" s="571">
        <f t="shared" si="134"/>
        <v>0</v>
      </c>
      <c r="X45" s="934">
        <f t="shared" si="150"/>
        <v>0</v>
      </c>
      <c r="Y45" s="428" t="e">
        <f t="shared" si="151"/>
        <v>#DIV/0!</v>
      </c>
      <c r="Z45" s="571">
        <f t="shared" si="135"/>
        <v>0</v>
      </c>
      <c r="AA45" s="899">
        <f t="shared" si="152"/>
        <v>0</v>
      </c>
      <c r="AB45" s="428" t="e">
        <f t="shared" si="153"/>
        <v>#DIV/0!</v>
      </c>
      <c r="AC45" s="571">
        <f t="shared" si="136"/>
        <v>0</v>
      </c>
      <c r="AD45" s="435">
        <f t="shared" si="154"/>
        <v>0</v>
      </c>
      <c r="AE45" s="428" t="e">
        <f t="shared" si="155"/>
        <v>#DIV/0!</v>
      </c>
      <c r="AF45" s="291"/>
      <c r="AG45" s="291"/>
    </row>
    <row r="46" spans="1:33" s="1" customFormat="1" ht="12" customHeight="1" collapsed="1">
      <c r="A46" s="499" t="str">
        <f>'Renewal Rates '!A48</f>
        <v>All Employees</v>
      </c>
      <c r="B46" s="385">
        <f>'Renewal Rates '!B48</f>
        <v>0</v>
      </c>
      <c r="C46" s="385">
        <f>'Renewal Rates '!H48</f>
        <v>0</v>
      </c>
      <c r="D46" s="435">
        <f t="shared" si="137"/>
        <v>0</v>
      </c>
      <c r="E46" s="571">
        <f t="shared" si="130"/>
        <v>0</v>
      </c>
      <c r="F46" s="435">
        <f t="shared" si="138"/>
        <v>0</v>
      </c>
      <c r="G46" s="428" t="e">
        <f t="shared" si="139"/>
        <v>#DIV/0!</v>
      </c>
      <c r="H46" s="435">
        <v>0</v>
      </c>
      <c r="I46" s="435">
        <f t="shared" si="140"/>
        <v>0</v>
      </c>
      <c r="J46" s="428" t="e">
        <f t="shared" si="141"/>
        <v>#DIV/0!</v>
      </c>
      <c r="K46" s="435">
        <v>0</v>
      </c>
      <c r="L46" s="435">
        <f t="shared" si="142"/>
        <v>0</v>
      </c>
      <c r="M46" s="428" t="e">
        <f t="shared" si="143"/>
        <v>#DIV/0!</v>
      </c>
      <c r="N46" s="571">
        <f t="shared" si="131"/>
        <v>0</v>
      </c>
      <c r="O46" s="435">
        <f t="shared" si="144"/>
        <v>0</v>
      </c>
      <c r="P46" s="428" t="e">
        <f t="shared" si="145"/>
        <v>#DIV/0!</v>
      </c>
      <c r="Q46" s="571">
        <f t="shared" si="132"/>
        <v>0</v>
      </c>
      <c r="R46" s="799">
        <f t="shared" si="146"/>
        <v>0</v>
      </c>
      <c r="S46" s="428" t="e">
        <f t="shared" si="147"/>
        <v>#DIV/0!</v>
      </c>
      <c r="T46" s="571">
        <f t="shared" si="133"/>
        <v>0</v>
      </c>
      <c r="U46" s="799">
        <f t="shared" si="148"/>
        <v>0</v>
      </c>
      <c r="V46" s="428" t="e">
        <f t="shared" si="149"/>
        <v>#DIV/0!</v>
      </c>
      <c r="W46" s="571">
        <f t="shared" si="134"/>
        <v>0</v>
      </c>
      <c r="X46" s="934">
        <f t="shared" si="150"/>
        <v>0</v>
      </c>
      <c r="Y46" s="428" t="e">
        <f t="shared" si="151"/>
        <v>#DIV/0!</v>
      </c>
      <c r="Z46" s="571">
        <f t="shared" si="135"/>
        <v>0</v>
      </c>
      <c r="AA46" s="899">
        <f t="shared" si="152"/>
        <v>0</v>
      </c>
      <c r="AB46" s="428" t="e">
        <f t="shared" si="153"/>
        <v>#DIV/0!</v>
      </c>
      <c r="AC46" s="571">
        <f t="shared" si="136"/>
        <v>0</v>
      </c>
      <c r="AD46" s="435">
        <f t="shared" si="154"/>
        <v>0</v>
      </c>
      <c r="AE46" s="428" t="e">
        <f t="shared" si="155"/>
        <v>#DIV/0!</v>
      </c>
      <c r="AF46" s="24"/>
      <c r="AG46" s="24"/>
    </row>
    <row r="47" spans="1:33" s="1" customFormat="1" ht="12" customHeight="1">
      <c r="A47" s="448" t="s">
        <v>535</v>
      </c>
      <c r="B47" s="573"/>
      <c r="C47" s="442"/>
      <c r="D47" s="442">
        <f>SUM(D42:D46)</f>
        <v>0</v>
      </c>
      <c r="E47" s="442"/>
      <c r="F47" s="442">
        <f>SUM(F42:F46)</f>
        <v>0</v>
      </c>
      <c r="G47" s="450" t="e">
        <f>F47/$D47-1</f>
        <v>#DIV/0!</v>
      </c>
      <c r="H47" s="442"/>
      <c r="I47" s="442">
        <f>SUM(I42:I46)</f>
        <v>0</v>
      </c>
      <c r="J47" s="450" t="e">
        <f>I47/$D47-1</f>
        <v>#DIV/0!</v>
      </c>
      <c r="K47" s="442"/>
      <c r="L47" s="442">
        <f>SUM(L42:L46)</f>
        <v>0</v>
      </c>
      <c r="M47" s="450" t="e">
        <f>L47/$D47-1</f>
        <v>#DIV/0!</v>
      </c>
      <c r="N47" s="442"/>
      <c r="O47" s="442">
        <f>SUM(O42:O46)</f>
        <v>0</v>
      </c>
      <c r="P47" s="450" t="e">
        <f>O47/$D47-1</f>
        <v>#DIV/0!</v>
      </c>
      <c r="Q47" s="442"/>
      <c r="R47" s="442">
        <f>SUM(R42:R46)</f>
        <v>0</v>
      </c>
      <c r="S47" s="450" t="e">
        <f>R47/$D47-1</f>
        <v>#DIV/0!</v>
      </c>
      <c r="T47" s="442"/>
      <c r="U47" s="442">
        <f>SUM(U42:U46)</f>
        <v>0</v>
      </c>
      <c r="V47" s="450" t="e">
        <f>U47/$D47-1</f>
        <v>#DIV/0!</v>
      </c>
      <c r="W47" s="442"/>
      <c r="X47" s="442">
        <f>SUM(X42:X46)</f>
        <v>0</v>
      </c>
      <c r="Y47" s="450" t="e">
        <f>X47/$D47-1</f>
        <v>#DIV/0!</v>
      </c>
      <c r="Z47" s="442"/>
      <c r="AA47" s="442">
        <f>SUM(AA42:AA46)</f>
        <v>0</v>
      </c>
      <c r="AB47" s="450" t="e">
        <f>AA47/$D47-1</f>
        <v>#DIV/0!</v>
      </c>
      <c r="AC47" s="442"/>
      <c r="AD47" s="442">
        <f>SUM(AD42:AD46)</f>
        <v>0</v>
      </c>
      <c r="AE47" s="450" t="e">
        <f>AD47/$D47-1</f>
        <v>#DIV/0!</v>
      </c>
      <c r="AF47" s="24"/>
      <c r="AG47" s="24"/>
    </row>
    <row r="48" spans="1:33" s="1" customFormat="1" ht="4.5" customHeight="1">
      <c r="A48" s="731"/>
      <c r="B48" s="732"/>
      <c r="C48" s="732"/>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2"/>
      <c r="AD48" s="732"/>
      <c r="AE48" s="733"/>
      <c r="AF48" s="24"/>
      <c r="AG48" s="24"/>
    </row>
    <row r="49" spans="1:33" s="1" customFormat="1" ht="12" customHeight="1">
      <c r="A49" s="448" t="s">
        <v>162</v>
      </c>
      <c r="B49" s="438"/>
      <c r="C49" s="435"/>
      <c r="D49" s="435"/>
      <c r="E49" s="435"/>
      <c r="F49" s="435"/>
      <c r="G49" s="564"/>
      <c r="H49" s="435"/>
      <c r="I49" s="435"/>
      <c r="J49" s="564"/>
      <c r="K49" s="435"/>
      <c r="L49" s="435"/>
      <c r="M49" s="564"/>
      <c r="N49" s="435"/>
      <c r="O49" s="435"/>
      <c r="P49" s="564"/>
      <c r="Q49" s="799"/>
      <c r="R49" s="799"/>
      <c r="S49" s="564"/>
      <c r="T49" s="799"/>
      <c r="U49" s="799"/>
      <c r="V49" s="564"/>
      <c r="W49" s="934"/>
      <c r="X49" s="934"/>
      <c r="Y49" s="564"/>
      <c r="Z49" s="899"/>
      <c r="AA49" s="899"/>
      <c r="AB49" s="564"/>
      <c r="AC49" s="435"/>
      <c r="AD49" s="435"/>
      <c r="AE49" s="564"/>
      <c r="AF49" s="24"/>
      <c r="AG49" s="24"/>
    </row>
    <row r="50" spans="1:33" s="1" customFormat="1" ht="12" hidden="1" customHeight="1" outlineLevel="1">
      <c r="A50" s="499" t="str">
        <f>'Renewal Rates '!A51</f>
        <v>Class A</v>
      </c>
      <c r="B50" s="438"/>
      <c r="C50" s="435"/>
      <c r="D50" s="435"/>
      <c r="E50" s="435"/>
      <c r="F50" s="435"/>
      <c r="G50" s="564"/>
      <c r="H50" s="435"/>
      <c r="I50" s="435"/>
      <c r="J50" s="564"/>
      <c r="K50" s="435"/>
      <c r="L50" s="435"/>
      <c r="M50" s="564"/>
      <c r="N50" s="435"/>
      <c r="O50" s="435"/>
      <c r="P50" s="564"/>
      <c r="Q50" s="799"/>
      <c r="R50" s="799"/>
      <c r="S50" s="564"/>
      <c r="T50" s="799"/>
      <c r="U50" s="799"/>
      <c r="V50" s="564"/>
      <c r="W50" s="934"/>
      <c r="X50" s="934"/>
      <c r="Y50" s="564"/>
      <c r="Z50" s="899"/>
      <c r="AA50" s="899"/>
      <c r="AB50" s="564"/>
      <c r="AC50" s="435"/>
      <c r="AD50" s="435"/>
      <c r="AE50" s="564"/>
      <c r="AF50" s="291"/>
      <c r="AG50" s="291"/>
    </row>
    <row r="51" spans="1:33" s="1" customFormat="1" ht="12" hidden="1" customHeight="1" outlineLevel="1">
      <c r="A51" s="448" t="s">
        <v>163</v>
      </c>
      <c r="B51" s="551">
        <f>'Renewal Rates '!B52</f>
        <v>0</v>
      </c>
      <c r="C51" s="435">
        <f>'Renewal Rates '!H52</f>
        <v>0</v>
      </c>
      <c r="D51" s="435">
        <f>C51*$B51</f>
        <v>0</v>
      </c>
      <c r="E51" s="435">
        <f>$C51</f>
        <v>0</v>
      </c>
      <c r="F51" s="435">
        <f>E51*$B51</f>
        <v>0</v>
      </c>
      <c r="G51" s="428" t="e">
        <f>E51/$C51-1</f>
        <v>#DIV/0!</v>
      </c>
      <c r="H51" s="435">
        <v>0</v>
      </c>
      <c r="I51" s="435">
        <f>H51*$B51</f>
        <v>0</v>
      </c>
      <c r="J51" s="428" t="e">
        <f>H51/$C51-1</f>
        <v>#DIV/0!</v>
      </c>
      <c r="K51" s="435">
        <v>0</v>
      </c>
      <c r="L51" s="435">
        <f>K51*$B51</f>
        <v>0</v>
      </c>
      <c r="M51" s="428" t="e">
        <f>K51/$C51-1</f>
        <v>#DIV/0!</v>
      </c>
      <c r="N51" s="766">
        <f>$C51</f>
        <v>0</v>
      </c>
      <c r="O51" s="435">
        <f>N51*$B51</f>
        <v>0</v>
      </c>
      <c r="P51" s="428" t="e">
        <f>N51/$C51-1</f>
        <v>#DIV/0!</v>
      </c>
      <c r="Q51" s="799">
        <f>$C51</f>
        <v>0</v>
      </c>
      <c r="R51" s="799">
        <f>Q51*$B51</f>
        <v>0</v>
      </c>
      <c r="S51" s="428" t="e">
        <f>Q51/$C51-1</f>
        <v>#DIV/0!</v>
      </c>
      <c r="T51" s="799">
        <f>$C51</f>
        <v>0</v>
      </c>
      <c r="U51" s="799">
        <f>T51*$B51</f>
        <v>0</v>
      </c>
      <c r="V51" s="428" t="e">
        <f>T51/$C51-1</f>
        <v>#DIV/0!</v>
      </c>
      <c r="W51" s="934">
        <f>$C51</f>
        <v>0</v>
      </c>
      <c r="X51" s="934">
        <f>W51*$B51</f>
        <v>0</v>
      </c>
      <c r="Y51" s="428" t="e">
        <f>W51/$C51-1</f>
        <v>#DIV/0!</v>
      </c>
      <c r="Z51" s="899">
        <f>$C51</f>
        <v>0</v>
      </c>
      <c r="AA51" s="899">
        <f>Z51*$B51</f>
        <v>0</v>
      </c>
      <c r="AB51" s="428" t="e">
        <f>Z51/$C51-1</f>
        <v>#DIV/0!</v>
      </c>
      <c r="AC51" s="766">
        <f>$C51</f>
        <v>0</v>
      </c>
      <c r="AD51" s="435">
        <f>AC51*$B51</f>
        <v>0</v>
      </c>
      <c r="AE51" s="428" t="e">
        <f>AC51/$C51-1</f>
        <v>#DIV/0!</v>
      </c>
      <c r="AF51" s="24"/>
      <c r="AG51" s="24"/>
    </row>
    <row r="52" spans="1:33" s="1" customFormat="1" ht="12" hidden="1" customHeight="1" outlineLevel="1">
      <c r="A52" s="448" t="s">
        <v>164</v>
      </c>
      <c r="B52" s="551">
        <f>'Renewal Rates '!B53</f>
        <v>0</v>
      </c>
      <c r="C52" s="435">
        <f>'Renewal Rates '!H53</f>
        <v>0</v>
      </c>
      <c r="D52" s="435">
        <f>C52*$B52</f>
        <v>0</v>
      </c>
      <c r="E52" s="766">
        <f>$C52</f>
        <v>0</v>
      </c>
      <c r="F52" s="435">
        <f>E52*$B52</f>
        <v>0</v>
      </c>
      <c r="G52" s="428" t="e">
        <f>E52/$C52-1</f>
        <v>#DIV/0!</v>
      </c>
      <c r="H52" s="435">
        <v>0</v>
      </c>
      <c r="I52" s="435">
        <f>H52*$B52</f>
        <v>0</v>
      </c>
      <c r="J52" s="428" t="e">
        <f>H52/$C52-1</f>
        <v>#DIV/0!</v>
      </c>
      <c r="K52" s="435">
        <v>0</v>
      </c>
      <c r="L52" s="435">
        <f>K52*$B52</f>
        <v>0</v>
      </c>
      <c r="M52" s="428" t="e">
        <f>K52/$C52-1</f>
        <v>#DIV/0!</v>
      </c>
      <c r="N52" s="766">
        <f>$C52</f>
        <v>0</v>
      </c>
      <c r="O52" s="435">
        <f>N52*$B52</f>
        <v>0</v>
      </c>
      <c r="P52" s="428" t="e">
        <f>N52/$C52-1</f>
        <v>#DIV/0!</v>
      </c>
      <c r="Q52" s="799">
        <f>$C52</f>
        <v>0</v>
      </c>
      <c r="R52" s="799">
        <f>Q52*$B52</f>
        <v>0</v>
      </c>
      <c r="S52" s="428" t="e">
        <f>Q52/$C52-1</f>
        <v>#DIV/0!</v>
      </c>
      <c r="T52" s="799">
        <f>$C52</f>
        <v>0</v>
      </c>
      <c r="U52" s="799">
        <f>T52*$B52</f>
        <v>0</v>
      </c>
      <c r="V52" s="428" t="e">
        <f>T52/$C52-1</f>
        <v>#DIV/0!</v>
      </c>
      <c r="W52" s="934">
        <f>$C52</f>
        <v>0</v>
      </c>
      <c r="X52" s="934">
        <f>W52*$B52</f>
        <v>0</v>
      </c>
      <c r="Y52" s="428" t="e">
        <f>W52/$C52-1</f>
        <v>#DIV/0!</v>
      </c>
      <c r="Z52" s="899">
        <f>$C52</f>
        <v>0</v>
      </c>
      <c r="AA52" s="899">
        <f>Z52*$B52</f>
        <v>0</v>
      </c>
      <c r="AB52" s="428" t="e">
        <f>Z52/$C52-1</f>
        <v>#DIV/0!</v>
      </c>
      <c r="AC52" s="766">
        <f>$C52</f>
        <v>0</v>
      </c>
      <c r="AD52" s="435">
        <f>AC52*$B52</f>
        <v>0</v>
      </c>
      <c r="AE52" s="428" t="e">
        <f>AC52/$C52-1</f>
        <v>#DIV/0!</v>
      </c>
      <c r="AF52" s="24"/>
      <c r="AG52" s="24"/>
    </row>
    <row r="53" spans="1:33" s="1" customFormat="1" ht="12" hidden="1" customHeight="1" outlineLevel="1">
      <c r="A53" s="499" t="str">
        <f>'Renewal Rates '!A54</f>
        <v>Class B</v>
      </c>
      <c r="B53" s="438"/>
      <c r="C53" s="435"/>
      <c r="D53" s="435"/>
      <c r="E53" s="435"/>
      <c r="F53" s="435"/>
      <c r="G53" s="564"/>
      <c r="H53" s="435"/>
      <c r="I53" s="435"/>
      <c r="J53" s="564"/>
      <c r="K53" s="435"/>
      <c r="L53" s="435"/>
      <c r="M53" s="564"/>
      <c r="N53" s="766"/>
      <c r="O53" s="435"/>
      <c r="P53" s="564"/>
      <c r="Q53" s="799"/>
      <c r="R53" s="799"/>
      <c r="S53" s="564"/>
      <c r="T53" s="799"/>
      <c r="U53" s="799"/>
      <c r="V53" s="564"/>
      <c r="W53" s="934"/>
      <c r="X53" s="934"/>
      <c r="Y53" s="564"/>
      <c r="Z53" s="899"/>
      <c r="AA53" s="899"/>
      <c r="AB53" s="564"/>
      <c r="AC53" s="766"/>
      <c r="AD53" s="435"/>
      <c r="AE53" s="564"/>
      <c r="AF53" s="291"/>
      <c r="AG53" s="291"/>
    </row>
    <row r="54" spans="1:33" s="1" customFormat="1" ht="12" hidden="1" customHeight="1" outlineLevel="1">
      <c r="A54" s="448" t="s">
        <v>163</v>
      </c>
      <c r="B54" s="551">
        <f>'Renewal Rates '!B55</f>
        <v>0</v>
      </c>
      <c r="C54" s="435">
        <f>'Renewal Rates '!H55</f>
        <v>0</v>
      </c>
      <c r="D54" s="435">
        <f>C54*$B54</f>
        <v>0</v>
      </c>
      <c r="E54" s="766">
        <f>$C54</f>
        <v>0</v>
      </c>
      <c r="F54" s="435">
        <f>E54*$B54</f>
        <v>0</v>
      </c>
      <c r="G54" s="428" t="e">
        <f>E54/$C54-1</f>
        <v>#DIV/0!</v>
      </c>
      <c r="H54" s="435">
        <v>0</v>
      </c>
      <c r="I54" s="435">
        <f>H54*$B54</f>
        <v>0</v>
      </c>
      <c r="J54" s="428" t="e">
        <f>H54/$C54-1</f>
        <v>#DIV/0!</v>
      </c>
      <c r="K54" s="435">
        <v>0</v>
      </c>
      <c r="L54" s="435">
        <f>K54*$B54</f>
        <v>0</v>
      </c>
      <c r="M54" s="428" t="e">
        <f>K54/$C54-1</f>
        <v>#DIV/0!</v>
      </c>
      <c r="N54" s="766">
        <f>$C54</f>
        <v>0</v>
      </c>
      <c r="O54" s="435">
        <f>N54*$B54</f>
        <v>0</v>
      </c>
      <c r="P54" s="428" t="e">
        <f>N54/$C54-1</f>
        <v>#DIV/0!</v>
      </c>
      <c r="Q54" s="799">
        <f>$C54</f>
        <v>0</v>
      </c>
      <c r="R54" s="799">
        <f>Q54*$B54</f>
        <v>0</v>
      </c>
      <c r="S54" s="428" t="e">
        <f>Q54/$C54-1</f>
        <v>#DIV/0!</v>
      </c>
      <c r="T54" s="799">
        <f>$C54</f>
        <v>0</v>
      </c>
      <c r="U54" s="799">
        <f>T54*$B54</f>
        <v>0</v>
      </c>
      <c r="V54" s="428" t="e">
        <f>T54/$C54-1</f>
        <v>#DIV/0!</v>
      </c>
      <c r="W54" s="934">
        <f>$C54</f>
        <v>0</v>
      </c>
      <c r="X54" s="934">
        <f>W54*$B54</f>
        <v>0</v>
      </c>
      <c r="Y54" s="428" t="e">
        <f>W54/$C54-1</f>
        <v>#DIV/0!</v>
      </c>
      <c r="Z54" s="899">
        <f>$C54</f>
        <v>0</v>
      </c>
      <c r="AA54" s="899">
        <f>Z54*$B54</f>
        <v>0</v>
      </c>
      <c r="AB54" s="428" t="e">
        <f>Z54/$C54-1</f>
        <v>#DIV/0!</v>
      </c>
      <c r="AC54" s="766">
        <f>$C54</f>
        <v>0</v>
      </c>
      <c r="AD54" s="435">
        <f>AC54*$B54</f>
        <v>0</v>
      </c>
      <c r="AE54" s="428" t="e">
        <f>AC54/$C54-1</f>
        <v>#DIV/0!</v>
      </c>
      <c r="AF54" s="291"/>
      <c r="AG54" s="291"/>
    </row>
    <row r="55" spans="1:33" s="1" customFormat="1" ht="12" hidden="1" customHeight="1" outlineLevel="1">
      <c r="A55" s="448" t="s">
        <v>164</v>
      </c>
      <c r="B55" s="551">
        <f>'Renewal Rates '!B56</f>
        <v>0</v>
      </c>
      <c r="C55" s="435">
        <f>'Renewal Rates '!H56</f>
        <v>0</v>
      </c>
      <c r="D55" s="435">
        <f>C55*$B55</f>
        <v>0</v>
      </c>
      <c r="E55" s="766">
        <f t="shared" ref="E55" si="156">$C55</f>
        <v>0</v>
      </c>
      <c r="F55" s="435">
        <f>E55*$B55</f>
        <v>0</v>
      </c>
      <c r="G55" s="428" t="e">
        <f>E55/$C55-1</f>
        <v>#DIV/0!</v>
      </c>
      <c r="H55" s="435">
        <v>0</v>
      </c>
      <c r="I55" s="435">
        <f>H55*$B55</f>
        <v>0</v>
      </c>
      <c r="J55" s="428" t="e">
        <f>H55/$C55-1</f>
        <v>#DIV/0!</v>
      </c>
      <c r="K55" s="435">
        <v>0</v>
      </c>
      <c r="L55" s="435">
        <f>K55*$B55</f>
        <v>0</v>
      </c>
      <c r="M55" s="428" t="e">
        <f>K55/$C55-1</f>
        <v>#DIV/0!</v>
      </c>
      <c r="N55" s="766">
        <f t="shared" ref="N55" si="157">$C55</f>
        <v>0</v>
      </c>
      <c r="O55" s="435">
        <f>N55*$B55</f>
        <v>0</v>
      </c>
      <c r="P55" s="428" t="e">
        <f>N55/$C55-1</f>
        <v>#DIV/0!</v>
      </c>
      <c r="Q55" s="799">
        <f t="shared" ref="Q55" si="158">$C55</f>
        <v>0</v>
      </c>
      <c r="R55" s="799">
        <f>Q55*$B55</f>
        <v>0</v>
      </c>
      <c r="S55" s="428" t="e">
        <f>Q55/$C55-1</f>
        <v>#DIV/0!</v>
      </c>
      <c r="T55" s="799">
        <f t="shared" ref="T55" si="159">$C55</f>
        <v>0</v>
      </c>
      <c r="U55" s="799">
        <f>T55*$B55</f>
        <v>0</v>
      </c>
      <c r="V55" s="428" t="e">
        <f>T55/$C55-1</f>
        <v>#DIV/0!</v>
      </c>
      <c r="W55" s="934">
        <f t="shared" ref="W55" si="160">$C55</f>
        <v>0</v>
      </c>
      <c r="X55" s="934">
        <f>W55*$B55</f>
        <v>0</v>
      </c>
      <c r="Y55" s="428" t="e">
        <f>W55/$C55-1</f>
        <v>#DIV/0!</v>
      </c>
      <c r="Z55" s="899">
        <f t="shared" ref="Z55" si="161">$C55</f>
        <v>0</v>
      </c>
      <c r="AA55" s="899">
        <f>Z55*$B55</f>
        <v>0</v>
      </c>
      <c r="AB55" s="428" t="e">
        <f>Z55/$C55-1</f>
        <v>#DIV/0!</v>
      </c>
      <c r="AC55" s="766">
        <f t="shared" ref="AC55" si="162">$C55</f>
        <v>0</v>
      </c>
      <c r="AD55" s="435">
        <f>AC55*$B55</f>
        <v>0</v>
      </c>
      <c r="AE55" s="428" t="e">
        <f>AC55/$C55-1</f>
        <v>#DIV/0!</v>
      </c>
      <c r="AF55" s="291"/>
      <c r="AG55" s="291"/>
    </row>
    <row r="56" spans="1:33" s="1" customFormat="1" ht="12" hidden="1" customHeight="1" outlineLevel="1">
      <c r="A56" s="499" t="str">
        <f>'Renewal Rates '!A57</f>
        <v>Class C</v>
      </c>
      <c r="B56" s="438"/>
      <c r="C56" s="435"/>
      <c r="D56" s="435"/>
      <c r="E56" s="435"/>
      <c r="F56" s="435"/>
      <c r="G56" s="564"/>
      <c r="H56" s="435"/>
      <c r="I56" s="435"/>
      <c r="J56" s="564"/>
      <c r="K56" s="435"/>
      <c r="L56" s="435"/>
      <c r="M56" s="564"/>
      <c r="N56" s="766"/>
      <c r="O56" s="435"/>
      <c r="P56" s="564"/>
      <c r="Q56" s="799"/>
      <c r="R56" s="799"/>
      <c r="S56" s="564"/>
      <c r="T56" s="799"/>
      <c r="U56" s="799"/>
      <c r="V56" s="564"/>
      <c r="W56" s="934"/>
      <c r="X56" s="934"/>
      <c r="Y56" s="564"/>
      <c r="Z56" s="899"/>
      <c r="AA56" s="899"/>
      <c r="AB56" s="564"/>
      <c r="AC56" s="766"/>
      <c r="AD56" s="435"/>
      <c r="AE56" s="564"/>
      <c r="AF56" s="291"/>
      <c r="AG56" s="291"/>
    </row>
    <row r="57" spans="1:33" s="1" customFormat="1" ht="12" hidden="1" customHeight="1" outlineLevel="1">
      <c r="A57" s="448" t="s">
        <v>163</v>
      </c>
      <c r="B57" s="551">
        <f>'Renewal Rates '!B58</f>
        <v>0</v>
      </c>
      <c r="C57" s="435">
        <f>'Renewal Rates '!H58</f>
        <v>0</v>
      </c>
      <c r="D57" s="435">
        <f>C57*$B57</f>
        <v>0</v>
      </c>
      <c r="E57" s="766">
        <f t="shared" ref="E57:E64" si="163">$C57</f>
        <v>0</v>
      </c>
      <c r="F57" s="435">
        <f>E57*$B57</f>
        <v>0</v>
      </c>
      <c r="G57" s="428" t="e">
        <f>E57/$C57-1</f>
        <v>#DIV/0!</v>
      </c>
      <c r="H57" s="435">
        <v>0</v>
      </c>
      <c r="I57" s="435">
        <f>H57*$B57</f>
        <v>0</v>
      </c>
      <c r="J57" s="428" t="e">
        <f>H57/$C57-1</f>
        <v>#DIV/0!</v>
      </c>
      <c r="K57" s="435">
        <v>0</v>
      </c>
      <c r="L57" s="435">
        <f>K57*$B57</f>
        <v>0</v>
      </c>
      <c r="M57" s="428" t="e">
        <f>K57/$C57-1</f>
        <v>#DIV/0!</v>
      </c>
      <c r="N57" s="766">
        <f t="shared" ref="N57:N64" si="164">$C57</f>
        <v>0</v>
      </c>
      <c r="O57" s="435">
        <f>N57*$B57</f>
        <v>0</v>
      </c>
      <c r="P57" s="428" t="e">
        <f>N57/$C57-1</f>
        <v>#DIV/0!</v>
      </c>
      <c r="Q57" s="799">
        <f t="shared" ref="Q57:Q64" si="165">$C57</f>
        <v>0</v>
      </c>
      <c r="R57" s="799">
        <f>Q57*$B57</f>
        <v>0</v>
      </c>
      <c r="S57" s="428" t="e">
        <f>Q57/$C57-1</f>
        <v>#DIV/0!</v>
      </c>
      <c r="T57" s="799">
        <f t="shared" ref="T57:T64" si="166">$C57</f>
        <v>0</v>
      </c>
      <c r="U57" s="799">
        <f>T57*$B57</f>
        <v>0</v>
      </c>
      <c r="V57" s="428" t="e">
        <f>T57/$C57-1</f>
        <v>#DIV/0!</v>
      </c>
      <c r="W57" s="934">
        <f t="shared" ref="W57:W64" si="167">$C57</f>
        <v>0</v>
      </c>
      <c r="X57" s="934">
        <f>W57*$B57</f>
        <v>0</v>
      </c>
      <c r="Y57" s="428" t="e">
        <f>W57/$C57-1</f>
        <v>#DIV/0!</v>
      </c>
      <c r="Z57" s="899">
        <f t="shared" ref="Z57:Z64" si="168">$C57</f>
        <v>0</v>
      </c>
      <c r="AA57" s="899">
        <f>Z57*$B57</f>
        <v>0</v>
      </c>
      <c r="AB57" s="428" t="e">
        <f>Z57/$C57-1</f>
        <v>#DIV/0!</v>
      </c>
      <c r="AC57" s="766">
        <f t="shared" ref="AC57:AC64" si="169">$C57</f>
        <v>0</v>
      </c>
      <c r="AD57" s="435">
        <f>AC57*$B57</f>
        <v>0</v>
      </c>
      <c r="AE57" s="428" t="e">
        <f>AC57/$C57-1</f>
        <v>#DIV/0!</v>
      </c>
      <c r="AF57" s="291"/>
      <c r="AG57" s="291"/>
    </row>
    <row r="58" spans="1:33" s="1" customFormat="1" ht="12" hidden="1" customHeight="1" outlineLevel="1">
      <c r="A58" s="448" t="s">
        <v>164</v>
      </c>
      <c r="B58" s="551">
        <f>'Renewal Rates '!B59</f>
        <v>0</v>
      </c>
      <c r="C58" s="435">
        <f>'Renewal Rates '!H59</f>
        <v>0</v>
      </c>
      <c r="D58" s="435">
        <f>C58*$B58</f>
        <v>0</v>
      </c>
      <c r="E58" s="766">
        <f t="shared" si="163"/>
        <v>0</v>
      </c>
      <c r="F58" s="435">
        <f>E58*$B58</f>
        <v>0</v>
      </c>
      <c r="G58" s="428" t="e">
        <f>E58/$C58-1</f>
        <v>#DIV/0!</v>
      </c>
      <c r="H58" s="435">
        <v>0</v>
      </c>
      <c r="I58" s="435">
        <f>H58*$B58</f>
        <v>0</v>
      </c>
      <c r="J58" s="428" t="e">
        <f>H58/$C58-1</f>
        <v>#DIV/0!</v>
      </c>
      <c r="K58" s="435">
        <v>0</v>
      </c>
      <c r="L58" s="435">
        <f>K58*$B58</f>
        <v>0</v>
      </c>
      <c r="M58" s="428" t="e">
        <f>K58/$C58-1</f>
        <v>#DIV/0!</v>
      </c>
      <c r="N58" s="766">
        <f t="shared" si="164"/>
        <v>0</v>
      </c>
      <c r="O58" s="435">
        <f>N58*$B58</f>
        <v>0</v>
      </c>
      <c r="P58" s="428" t="e">
        <f>N58/$C58-1</f>
        <v>#DIV/0!</v>
      </c>
      <c r="Q58" s="799">
        <f t="shared" si="165"/>
        <v>0</v>
      </c>
      <c r="R58" s="799">
        <f>Q58*$B58</f>
        <v>0</v>
      </c>
      <c r="S58" s="428" t="e">
        <f>Q58/$C58-1</f>
        <v>#DIV/0!</v>
      </c>
      <c r="T58" s="799">
        <f t="shared" si="166"/>
        <v>0</v>
      </c>
      <c r="U58" s="799">
        <f>T58*$B58</f>
        <v>0</v>
      </c>
      <c r="V58" s="428" t="e">
        <f>T58/$C58-1</f>
        <v>#DIV/0!</v>
      </c>
      <c r="W58" s="934">
        <f t="shared" si="167"/>
        <v>0</v>
      </c>
      <c r="X58" s="934">
        <f>W58*$B58</f>
        <v>0</v>
      </c>
      <c r="Y58" s="428" t="e">
        <f>W58/$C58-1</f>
        <v>#DIV/0!</v>
      </c>
      <c r="Z58" s="899">
        <f t="shared" si="168"/>
        <v>0</v>
      </c>
      <c r="AA58" s="899">
        <f>Z58*$B58</f>
        <v>0</v>
      </c>
      <c r="AB58" s="428" t="e">
        <f>Z58/$C58-1</f>
        <v>#DIV/0!</v>
      </c>
      <c r="AC58" s="766">
        <f t="shared" si="169"/>
        <v>0</v>
      </c>
      <c r="AD58" s="435">
        <f>AC58*$B58</f>
        <v>0</v>
      </c>
      <c r="AE58" s="428" t="e">
        <f>AC58/$C58-1</f>
        <v>#DIV/0!</v>
      </c>
      <c r="AF58" s="291"/>
      <c r="AG58" s="291"/>
    </row>
    <row r="59" spans="1:33" s="1" customFormat="1" ht="12" hidden="1" customHeight="1" outlineLevel="1">
      <c r="A59" s="499" t="str">
        <f>'Renewal Rates '!A60</f>
        <v>Class D</v>
      </c>
      <c r="B59" s="438"/>
      <c r="C59" s="435"/>
      <c r="D59" s="435"/>
      <c r="E59" s="435"/>
      <c r="F59" s="435"/>
      <c r="G59" s="564"/>
      <c r="H59" s="435"/>
      <c r="I59" s="435"/>
      <c r="J59" s="564"/>
      <c r="K59" s="435"/>
      <c r="L59" s="435"/>
      <c r="M59" s="564"/>
      <c r="N59" s="766"/>
      <c r="O59" s="435"/>
      <c r="P59" s="564"/>
      <c r="Q59" s="799"/>
      <c r="R59" s="799"/>
      <c r="S59" s="564"/>
      <c r="T59" s="799"/>
      <c r="U59" s="799"/>
      <c r="V59" s="564"/>
      <c r="W59" s="934"/>
      <c r="X59" s="934"/>
      <c r="Y59" s="564"/>
      <c r="Z59" s="899"/>
      <c r="AA59" s="899"/>
      <c r="AB59" s="564"/>
      <c r="AC59" s="766"/>
      <c r="AD59" s="435"/>
      <c r="AE59" s="564"/>
      <c r="AF59" s="291"/>
      <c r="AG59" s="291"/>
    </row>
    <row r="60" spans="1:33" s="1" customFormat="1" ht="12" hidden="1" customHeight="1" outlineLevel="1">
      <c r="A60" s="448" t="s">
        <v>163</v>
      </c>
      <c r="B60" s="551">
        <f>'Renewal Rates '!B61</f>
        <v>0</v>
      </c>
      <c r="C60" s="435">
        <f>'Renewal Rates '!H61</f>
        <v>0</v>
      </c>
      <c r="D60" s="435">
        <f>C60*$B60</f>
        <v>0</v>
      </c>
      <c r="E60" s="766">
        <f t="shared" si="163"/>
        <v>0</v>
      </c>
      <c r="F60" s="435">
        <f>E60*$B60</f>
        <v>0</v>
      </c>
      <c r="G60" s="428" t="e">
        <f>E60/$C60-1</f>
        <v>#DIV/0!</v>
      </c>
      <c r="H60" s="435">
        <v>0</v>
      </c>
      <c r="I60" s="435">
        <f>H60*$B60</f>
        <v>0</v>
      </c>
      <c r="J60" s="428" t="e">
        <f>H60/$C60-1</f>
        <v>#DIV/0!</v>
      </c>
      <c r="K60" s="435">
        <v>0</v>
      </c>
      <c r="L60" s="435">
        <f>K60*$B60</f>
        <v>0</v>
      </c>
      <c r="M60" s="428" t="e">
        <f>K60/$C60-1</f>
        <v>#DIV/0!</v>
      </c>
      <c r="N60" s="766">
        <f t="shared" si="164"/>
        <v>0</v>
      </c>
      <c r="O60" s="435">
        <f>N60*$B60</f>
        <v>0</v>
      </c>
      <c r="P60" s="428" t="e">
        <f>N60/$C60-1</f>
        <v>#DIV/0!</v>
      </c>
      <c r="Q60" s="799">
        <f t="shared" si="165"/>
        <v>0</v>
      </c>
      <c r="R60" s="799">
        <f>Q60*$B60</f>
        <v>0</v>
      </c>
      <c r="S60" s="428" t="e">
        <f>Q60/$C60-1</f>
        <v>#DIV/0!</v>
      </c>
      <c r="T60" s="799">
        <f t="shared" si="166"/>
        <v>0</v>
      </c>
      <c r="U60" s="799">
        <f>T60*$B60</f>
        <v>0</v>
      </c>
      <c r="V60" s="428" t="e">
        <f>T60/$C60-1</f>
        <v>#DIV/0!</v>
      </c>
      <c r="W60" s="934">
        <f t="shared" si="167"/>
        <v>0</v>
      </c>
      <c r="X60" s="934">
        <f>W60*$B60</f>
        <v>0</v>
      </c>
      <c r="Y60" s="428" t="e">
        <f>W60/$C60-1</f>
        <v>#DIV/0!</v>
      </c>
      <c r="Z60" s="899">
        <f t="shared" si="168"/>
        <v>0</v>
      </c>
      <c r="AA60" s="899">
        <f>Z60*$B60</f>
        <v>0</v>
      </c>
      <c r="AB60" s="428" t="e">
        <f>Z60/$C60-1</f>
        <v>#DIV/0!</v>
      </c>
      <c r="AC60" s="766">
        <f t="shared" si="169"/>
        <v>0</v>
      </c>
      <c r="AD60" s="435">
        <f>AC60*$B60</f>
        <v>0</v>
      </c>
      <c r="AE60" s="428" t="e">
        <f>AC60/$C60-1</f>
        <v>#DIV/0!</v>
      </c>
      <c r="AF60" s="291"/>
      <c r="AG60" s="291"/>
    </row>
    <row r="61" spans="1:33" s="1" customFormat="1" ht="12" hidden="1" customHeight="1" outlineLevel="1">
      <c r="A61" s="448" t="s">
        <v>164</v>
      </c>
      <c r="B61" s="551">
        <f>'Renewal Rates '!B62</f>
        <v>0</v>
      </c>
      <c r="C61" s="435">
        <f>'Renewal Rates '!H62</f>
        <v>0</v>
      </c>
      <c r="D61" s="435">
        <f>C61*$B61</f>
        <v>0</v>
      </c>
      <c r="E61" s="766">
        <f t="shared" si="163"/>
        <v>0</v>
      </c>
      <c r="F61" s="435">
        <f>E61*$B61</f>
        <v>0</v>
      </c>
      <c r="G61" s="428" t="e">
        <f>E61/$C61-1</f>
        <v>#DIV/0!</v>
      </c>
      <c r="H61" s="435">
        <v>0</v>
      </c>
      <c r="I61" s="435">
        <f>H61*$B61</f>
        <v>0</v>
      </c>
      <c r="J61" s="428" t="e">
        <f>H61/$C61-1</f>
        <v>#DIV/0!</v>
      </c>
      <c r="K61" s="435">
        <v>0</v>
      </c>
      <c r="L61" s="435">
        <f>K61*$B61</f>
        <v>0</v>
      </c>
      <c r="M61" s="428" t="e">
        <f>K61/$C61-1</f>
        <v>#DIV/0!</v>
      </c>
      <c r="N61" s="766">
        <f t="shared" si="164"/>
        <v>0</v>
      </c>
      <c r="O61" s="435">
        <f>N61*$B61</f>
        <v>0</v>
      </c>
      <c r="P61" s="428" t="e">
        <f>N61/$C61-1</f>
        <v>#DIV/0!</v>
      </c>
      <c r="Q61" s="799">
        <f t="shared" si="165"/>
        <v>0</v>
      </c>
      <c r="R61" s="799">
        <f>Q61*$B61</f>
        <v>0</v>
      </c>
      <c r="S61" s="428" t="e">
        <f>Q61/$C61-1</f>
        <v>#DIV/0!</v>
      </c>
      <c r="T61" s="799">
        <f t="shared" si="166"/>
        <v>0</v>
      </c>
      <c r="U61" s="799">
        <f>T61*$B61</f>
        <v>0</v>
      </c>
      <c r="V61" s="428" t="e">
        <f>T61/$C61-1</f>
        <v>#DIV/0!</v>
      </c>
      <c r="W61" s="934">
        <f t="shared" si="167"/>
        <v>0</v>
      </c>
      <c r="X61" s="934">
        <f>W61*$B61</f>
        <v>0</v>
      </c>
      <c r="Y61" s="428" t="e">
        <f>W61/$C61-1</f>
        <v>#DIV/0!</v>
      </c>
      <c r="Z61" s="899">
        <f t="shared" si="168"/>
        <v>0</v>
      </c>
      <c r="AA61" s="899">
        <f>Z61*$B61</f>
        <v>0</v>
      </c>
      <c r="AB61" s="428" t="e">
        <f>Z61/$C61-1</f>
        <v>#DIV/0!</v>
      </c>
      <c r="AC61" s="766">
        <f t="shared" si="169"/>
        <v>0</v>
      </c>
      <c r="AD61" s="435">
        <f>AC61*$B61</f>
        <v>0</v>
      </c>
      <c r="AE61" s="428" t="e">
        <f>AC61/$C61-1</f>
        <v>#DIV/0!</v>
      </c>
      <c r="AF61" s="291"/>
      <c r="AG61" s="291"/>
    </row>
    <row r="62" spans="1:33" s="1" customFormat="1" ht="12" customHeight="1" collapsed="1">
      <c r="A62" s="499" t="str">
        <f>'Renewal Rates '!A63</f>
        <v>All Employees</v>
      </c>
      <c r="B62" s="438"/>
      <c r="C62" s="435"/>
      <c r="D62" s="435"/>
      <c r="E62" s="435"/>
      <c r="F62" s="435"/>
      <c r="G62" s="564"/>
      <c r="H62" s="435"/>
      <c r="I62" s="435"/>
      <c r="J62" s="564"/>
      <c r="K62" s="435"/>
      <c r="L62" s="435"/>
      <c r="M62" s="564"/>
      <c r="N62" s="766"/>
      <c r="O62" s="435"/>
      <c r="P62" s="564"/>
      <c r="Q62" s="799"/>
      <c r="R62" s="799"/>
      <c r="S62" s="564"/>
      <c r="T62" s="799"/>
      <c r="U62" s="799"/>
      <c r="V62" s="564"/>
      <c r="W62" s="934"/>
      <c r="X62" s="934"/>
      <c r="Y62" s="564"/>
      <c r="Z62" s="899"/>
      <c r="AA62" s="899"/>
      <c r="AB62" s="564"/>
      <c r="AC62" s="766"/>
      <c r="AD62" s="435"/>
      <c r="AE62" s="564"/>
      <c r="AF62" s="291"/>
      <c r="AG62" s="291"/>
    </row>
    <row r="63" spans="1:33" s="1" customFormat="1" ht="12" customHeight="1">
      <c r="A63" s="448" t="s">
        <v>163</v>
      </c>
      <c r="B63" s="551">
        <f>'Renewal Rates '!B64</f>
        <v>0</v>
      </c>
      <c r="C63" s="435">
        <f>'Renewal Rates '!H64</f>
        <v>0</v>
      </c>
      <c r="D63" s="435">
        <f>C63*$B63</f>
        <v>0</v>
      </c>
      <c r="E63" s="766">
        <f t="shared" si="163"/>
        <v>0</v>
      </c>
      <c r="F63" s="435">
        <f>E63*$B63</f>
        <v>0</v>
      </c>
      <c r="G63" s="428" t="e">
        <f>E63/$C63-1</f>
        <v>#DIV/0!</v>
      </c>
      <c r="H63" s="435">
        <v>0</v>
      </c>
      <c r="I63" s="435">
        <f>H63*$B63</f>
        <v>0</v>
      </c>
      <c r="J63" s="428" t="e">
        <f>H63/$C63-1</f>
        <v>#DIV/0!</v>
      </c>
      <c r="K63" s="435">
        <v>0</v>
      </c>
      <c r="L63" s="435">
        <f>K63*$B63</f>
        <v>0</v>
      </c>
      <c r="M63" s="428" t="e">
        <f>K63/$C63-1</f>
        <v>#DIV/0!</v>
      </c>
      <c r="N63" s="766">
        <f t="shared" si="164"/>
        <v>0</v>
      </c>
      <c r="O63" s="435">
        <f>N63*$B63</f>
        <v>0</v>
      </c>
      <c r="P63" s="428" t="e">
        <f>N63/$C63-1</f>
        <v>#DIV/0!</v>
      </c>
      <c r="Q63" s="799">
        <f t="shared" si="165"/>
        <v>0</v>
      </c>
      <c r="R63" s="799">
        <f>Q63*$B63</f>
        <v>0</v>
      </c>
      <c r="S63" s="428" t="e">
        <f>Q63/$C63-1</f>
        <v>#DIV/0!</v>
      </c>
      <c r="T63" s="799">
        <f t="shared" si="166"/>
        <v>0</v>
      </c>
      <c r="U63" s="799">
        <f>T63*$B63</f>
        <v>0</v>
      </c>
      <c r="V63" s="428" t="e">
        <f>T63/$C63-1</f>
        <v>#DIV/0!</v>
      </c>
      <c r="W63" s="934">
        <f t="shared" si="167"/>
        <v>0</v>
      </c>
      <c r="X63" s="934">
        <f>W63*$B63</f>
        <v>0</v>
      </c>
      <c r="Y63" s="428" t="e">
        <f>W63/$C63-1</f>
        <v>#DIV/0!</v>
      </c>
      <c r="Z63" s="899">
        <f t="shared" si="168"/>
        <v>0</v>
      </c>
      <c r="AA63" s="899">
        <f>Z63*$B63</f>
        <v>0</v>
      </c>
      <c r="AB63" s="428" t="e">
        <f>Z63/$C63-1</f>
        <v>#DIV/0!</v>
      </c>
      <c r="AC63" s="766">
        <f t="shared" si="169"/>
        <v>0</v>
      </c>
      <c r="AD63" s="435">
        <f>AC63*$B63</f>
        <v>0</v>
      </c>
      <c r="AE63" s="428" t="e">
        <f>AC63/$C63-1</f>
        <v>#DIV/0!</v>
      </c>
      <c r="AF63" s="291"/>
      <c r="AG63" s="291"/>
    </row>
    <row r="64" spans="1:33" s="1" customFormat="1" ht="12" customHeight="1">
      <c r="A64" s="448" t="s">
        <v>164</v>
      </c>
      <c r="B64" s="551">
        <f>'Renewal Rates '!B65</f>
        <v>0</v>
      </c>
      <c r="C64" s="435">
        <f>'Renewal Rates '!H65</f>
        <v>0</v>
      </c>
      <c r="D64" s="435">
        <f>C64*$B64</f>
        <v>0</v>
      </c>
      <c r="E64" s="766">
        <f t="shared" si="163"/>
        <v>0</v>
      </c>
      <c r="F64" s="435">
        <f>E64*$B64</f>
        <v>0</v>
      </c>
      <c r="G64" s="428" t="e">
        <f>E64/$C64-1</f>
        <v>#DIV/0!</v>
      </c>
      <c r="H64" s="435">
        <v>0</v>
      </c>
      <c r="I64" s="435">
        <f>H64*$B64</f>
        <v>0</v>
      </c>
      <c r="J64" s="428" t="e">
        <f>H64/$C64-1</f>
        <v>#DIV/0!</v>
      </c>
      <c r="K64" s="435">
        <v>0</v>
      </c>
      <c r="L64" s="435">
        <f>K64*$B64</f>
        <v>0</v>
      </c>
      <c r="M64" s="428" t="e">
        <f>K64/$C64-1</f>
        <v>#DIV/0!</v>
      </c>
      <c r="N64" s="766">
        <f t="shared" si="164"/>
        <v>0</v>
      </c>
      <c r="O64" s="435">
        <f>N64*$B64</f>
        <v>0</v>
      </c>
      <c r="P64" s="428" t="e">
        <f>N64/$C64-1</f>
        <v>#DIV/0!</v>
      </c>
      <c r="Q64" s="799">
        <f t="shared" si="165"/>
        <v>0</v>
      </c>
      <c r="R64" s="799">
        <f>Q64*$B64</f>
        <v>0</v>
      </c>
      <c r="S64" s="428" t="e">
        <f>Q64/$C64-1</f>
        <v>#DIV/0!</v>
      </c>
      <c r="T64" s="799">
        <f t="shared" si="166"/>
        <v>0</v>
      </c>
      <c r="U64" s="799">
        <f>T64*$B64</f>
        <v>0</v>
      </c>
      <c r="V64" s="428" t="e">
        <f>T64/$C64-1</f>
        <v>#DIV/0!</v>
      </c>
      <c r="W64" s="934">
        <f t="shared" si="167"/>
        <v>0</v>
      </c>
      <c r="X64" s="934">
        <f>W64*$B64</f>
        <v>0</v>
      </c>
      <c r="Y64" s="428" t="e">
        <f>W64/$C64-1</f>
        <v>#DIV/0!</v>
      </c>
      <c r="Z64" s="899">
        <f t="shared" si="168"/>
        <v>0</v>
      </c>
      <c r="AA64" s="899">
        <f>Z64*$B64</f>
        <v>0</v>
      </c>
      <c r="AB64" s="428" t="e">
        <f>Z64/$C64-1</f>
        <v>#DIV/0!</v>
      </c>
      <c r="AC64" s="766">
        <f t="shared" si="169"/>
        <v>0</v>
      </c>
      <c r="AD64" s="435">
        <f>AC64*$B64</f>
        <v>0</v>
      </c>
      <c r="AE64" s="428" t="e">
        <f>AC64/$C64-1</f>
        <v>#DIV/0!</v>
      </c>
      <c r="AF64" s="291"/>
      <c r="AG64" s="291"/>
    </row>
    <row r="65" spans="1:33" s="1" customFormat="1" ht="12" customHeight="1">
      <c r="A65" s="448" t="s">
        <v>165</v>
      </c>
      <c r="B65" s="541"/>
      <c r="C65" s="542"/>
      <c r="D65" s="542">
        <f>SUM(D51:D64)</f>
        <v>0</v>
      </c>
      <c r="E65" s="542"/>
      <c r="F65" s="542">
        <f>SUM(F51:F64)</f>
        <v>0</v>
      </c>
      <c r="G65" s="448"/>
      <c r="H65" s="542"/>
      <c r="I65" s="542">
        <f>SUM(I51:I64)</f>
        <v>0</v>
      </c>
      <c r="J65" s="448"/>
      <c r="K65" s="542"/>
      <c r="L65" s="542">
        <f>SUM(L51:L64)</f>
        <v>0</v>
      </c>
      <c r="M65" s="448"/>
      <c r="N65" s="542"/>
      <c r="O65" s="542">
        <f>SUM(O51:O64)</f>
        <v>0</v>
      </c>
      <c r="P65" s="448"/>
      <c r="Q65" s="542"/>
      <c r="R65" s="542">
        <f>SUM(R51:R64)</f>
        <v>0</v>
      </c>
      <c r="S65" s="448"/>
      <c r="T65" s="542"/>
      <c r="U65" s="542">
        <f>SUM(U51:U64)</f>
        <v>0</v>
      </c>
      <c r="V65" s="448"/>
      <c r="W65" s="542"/>
      <c r="X65" s="542">
        <f>SUM(X51:X64)</f>
        <v>0</v>
      </c>
      <c r="Y65" s="448"/>
      <c r="Z65" s="542"/>
      <c r="AA65" s="542">
        <f>SUM(AA51:AA64)</f>
        <v>0</v>
      </c>
      <c r="AB65" s="448"/>
      <c r="AC65" s="542"/>
      <c r="AD65" s="542">
        <f>SUM(AD51:AD64)</f>
        <v>0</v>
      </c>
      <c r="AE65" s="448"/>
      <c r="AF65" s="24"/>
      <c r="AG65" s="24"/>
    </row>
    <row r="66" spans="1:33" s="1" customFormat="1" ht="4.5" customHeight="1">
      <c r="A66" s="731"/>
      <c r="B66" s="732"/>
      <c r="C66" s="732"/>
      <c r="D66" s="732"/>
      <c r="E66" s="732"/>
      <c r="F66" s="732"/>
      <c r="G66" s="732"/>
      <c r="H66" s="732"/>
      <c r="I66" s="732"/>
      <c r="J66" s="732"/>
      <c r="K66" s="732"/>
      <c r="L66" s="732"/>
      <c r="M66" s="732"/>
      <c r="N66" s="732"/>
      <c r="O66" s="732"/>
      <c r="P66" s="732"/>
      <c r="Q66" s="732"/>
      <c r="R66" s="732"/>
      <c r="S66" s="732"/>
      <c r="T66" s="732"/>
      <c r="U66" s="732"/>
      <c r="V66" s="732"/>
      <c r="W66" s="732"/>
      <c r="X66" s="732"/>
      <c r="Y66" s="732"/>
      <c r="Z66" s="732"/>
      <c r="AA66" s="732"/>
      <c r="AB66" s="732"/>
      <c r="AC66" s="732"/>
      <c r="AD66" s="732"/>
      <c r="AE66" s="733"/>
      <c r="AF66" s="291"/>
      <c r="AG66" s="291"/>
    </row>
    <row r="67" spans="1:33" s="1" customFormat="1" ht="12" customHeight="1">
      <c r="A67" s="448" t="s">
        <v>110</v>
      </c>
      <c r="B67" s="438"/>
      <c r="C67" s="435"/>
      <c r="D67" s="435"/>
      <c r="E67" s="435"/>
      <c r="F67" s="435"/>
      <c r="G67" s="564"/>
      <c r="H67" s="435"/>
      <c r="I67" s="435"/>
      <c r="J67" s="564"/>
      <c r="K67" s="435"/>
      <c r="L67" s="435"/>
      <c r="M67" s="564"/>
      <c r="N67" s="766"/>
      <c r="O67" s="435"/>
      <c r="P67" s="564"/>
      <c r="Q67" s="799"/>
      <c r="R67" s="799"/>
      <c r="S67" s="564"/>
      <c r="T67" s="799"/>
      <c r="U67" s="799"/>
      <c r="V67" s="564"/>
      <c r="W67" s="934"/>
      <c r="X67" s="934"/>
      <c r="Y67" s="564"/>
      <c r="Z67" s="899"/>
      <c r="AA67" s="899"/>
      <c r="AB67" s="564"/>
      <c r="AC67" s="766"/>
      <c r="AD67" s="435"/>
      <c r="AE67" s="564"/>
      <c r="AF67" s="291"/>
      <c r="AG67" s="291"/>
    </row>
    <row r="68" spans="1:33" s="1" customFormat="1" ht="12" hidden="1" customHeight="1" outlineLevel="1">
      <c r="A68" s="499" t="str">
        <f>'Renewal Rates '!A68</f>
        <v>Class A</v>
      </c>
      <c r="B68" s="438"/>
      <c r="C68" s="435"/>
      <c r="D68" s="435"/>
      <c r="E68" s="435"/>
      <c r="F68" s="435"/>
      <c r="G68" s="564"/>
      <c r="H68" s="435"/>
      <c r="I68" s="435"/>
      <c r="J68" s="564"/>
      <c r="K68" s="435"/>
      <c r="L68" s="435"/>
      <c r="M68" s="564"/>
      <c r="N68" s="766"/>
      <c r="O68" s="435"/>
      <c r="P68" s="564"/>
      <c r="Q68" s="799"/>
      <c r="R68" s="799"/>
      <c r="S68" s="564"/>
      <c r="T68" s="799"/>
      <c r="U68" s="799"/>
      <c r="V68" s="564"/>
      <c r="W68" s="934"/>
      <c r="X68" s="934"/>
      <c r="Y68" s="564"/>
      <c r="Z68" s="899"/>
      <c r="AA68" s="899"/>
      <c r="AB68" s="564"/>
      <c r="AC68" s="766"/>
      <c r="AD68" s="435"/>
      <c r="AE68" s="564"/>
      <c r="AF68" s="291"/>
      <c r="AG68" s="291"/>
    </row>
    <row r="69" spans="1:33" s="1" customFormat="1" ht="12" hidden="1" customHeight="1" outlineLevel="1">
      <c r="A69" s="448" t="s">
        <v>163</v>
      </c>
      <c r="B69" s="551">
        <f>'Renewal Rates '!B69</f>
        <v>0</v>
      </c>
      <c r="C69" s="435">
        <f>'Renewal Rates '!H69</f>
        <v>0</v>
      </c>
      <c r="D69" s="435">
        <f>C69*$B69</f>
        <v>0</v>
      </c>
      <c r="E69" s="766">
        <f>$C69</f>
        <v>0</v>
      </c>
      <c r="F69" s="435">
        <f>E69*$B69</f>
        <v>0</v>
      </c>
      <c r="G69" s="428" t="e">
        <f>E69/$C69-1</f>
        <v>#DIV/0!</v>
      </c>
      <c r="H69" s="435">
        <v>0</v>
      </c>
      <c r="I69" s="435">
        <f>H69*$B69</f>
        <v>0</v>
      </c>
      <c r="J69" s="428" t="e">
        <f>H69/$C69-1</f>
        <v>#DIV/0!</v>
      </c>
      <c r="K69" s="435">
        <v>0</v>
      </c>
      <c r="L69" s="435">
        <f>K69*$B69</f>
        <v>0</v>
      </c>
      <c r="M69" s="428" t="e">
        <f>K69/$C69-1</f>
        <v>#DIV/0!</v>
      </c>
      <c r="N69" s="766">
        <f>$C69</f>
        <v>0</v>
      </c>
      <c r="O69" s="435">
        <f>N69*$B69</f>
        <v>0</v>
      </c>
      <c r="P69" s="428" t="e">
        <f>N69/$C69-1</f>
        <v>#DIV/0!</v>
      </c>
      <c r="Q69" s="799">
        <f>$C69</f>
        <v>0</v>
      </c>
      <c r="R69" s="799">
        <f>Q69*$B69</f>
        <v>0</v>
      </c>
      <c r="S69" s="428" t="e">
        <f>Q69/$C69-1</f>
        <v>#DIV/0!</v>
      </c>
      <c r="T69" s="799">
        <f>$C69</f>
        <v>0</v>
      </c>
      <c r="U69" s="799">
        <f>T69*$B69</f>
        <v>0</v>
      </c>
      <c r="V69" s="428" t="e">
        <f>T69/$C69-1</f>
        <v>#DIV/0!</v>
      </c>
      <c r="W69" s="934">
        <f>$C69</f>
        <v>0</v>
      </c>
      <c r="X69" s="934">
        <f>W69*$B69</f>
        <v>0</v>
      </c>
      <c r="Y69" s="428" t="e">
        <f>W69/$C69-1</f>
        <v>#DIV/0!</v>
      </c>
      <c r="Z69" s="899">
        <f>$C69</f>
        <v>0</v>
      </c>
      <c r="AA69" s="899">
        <f>Z69*$B69</f>
        <v>0</v>
      </c>
      <c r="AB69" s="428" t="e">
        <f>Z69/$C69-1</f>
        <v>#DIV/0!</v>
      </c>
      <c r="AC69" s="766">
        <f>$C69</f>
        <v>0</v>
      </c>
      <c r="AD69" s="435">
        <f>AC69*$B69</f>
        <v>0</v>
      </c>
      <c r="AE69" s="428" t="e">
        <f>AC69/$C69-1</f>
        <v>#DIV/0!</v>
      </c>
      <c r="AF69" s="291"/>
      <c r="AG69" s="291"/>
    </row>
    <row r="70" spans="1:33" s="1" customFormat="1" ht="12" hidden="1" customHeight="1" outlineLevel="1">
      <c r="A70" s="448" t="s">
        <v>164</v>
      </c>
      <c r="B70" s="551">
        <f>'Renewal Rates '!B70</f>
        <v>0</v>
      </c>
      <c r="C70" s="435">
        <f>'Renewal Rates '!H70</f>
        <v>0</v>
      </c>
      <c r="D70" s="435">
        <f>C70*$B70</f>
        <v>0</v>
      </c>
      <c r="E70" s="766">
        <f>$C70</f>
        <v>0</v>
      </c>
      <c r="F70" s="435">
        <f>E70*$B70</f>
        <v>0</v>
      </c>
      <c r="G70" s="428" t="e">
        <f>E70/$C70-1</f>
        <v>#DIV/0!</v>
      </c>
      <c r="H70" s="435">
        <v>0</v>
      </c>
      <c r="I70" s="435">
        <f>H70*$B70</f>
        <v>0</v>
      </c>
      <c r="J70" s="428" t="e">
        <f>H70/$C70-1</f>
        <v>#DIV/0!</v>
      </c>
      <c r="K70" s="435">
        <v>0</v>
      </c>
      <c r="L70" s="435">
        <f>K70*$B70</f>
        <v>0</v>
      </c>
      <c r="M70" s="428" t="e">
        <f>K70/$C70-1</f>
        <v>#DIV/0!</v>
      </c>
      <c r="N70" s="766">
        <f>$C70</f>
        <v>0</v>
      </c>
      <c r="O70" s="435">
        <f>N70*$B70</f>
        <v>0</v>
      </c>
      <c r="P70" s="428" t="e">
        <f>N70/$C70-1</f>
        <v>#DIV/0!</v>
      </c>
      <c r="Q70" s="799">
        <f>$C70</f>
        <v>0</v>
      </c>
      <c r="R70" s="799">
        <f>Q70*$B70</f>
        <v>0</v>
      </c>
      <c r="S70" s="428" t="e">
        <f>Q70/$C70-1</f>
        <v>#DIV/0!</v>
      </c>
      <c r="T70" s="799">
        <f>$C70</f>
        <v>0</v>
      </c>
      <c r="U70" s="799">
        <f>T70*$B70</f>
        <v>0</v>
      </c>
      <c r="V70" s="428" t="e">
        <f>T70/$C70-1</f>
        <v>#DIV/0!</v>
      </c>
      <c r="W70" s="934">
        <f>$C70</f>
        <v>0</v>
      </c>
      <c r="X70" s="934">
        <f>W70*$B70</f>
        <v>0</v>
      </c>
      <c r="Y70" s="428" t="e">
        <f>W70/$C70-1</f>
        <v>#DIV/0!</v>
      </c>
      <c r="Z70" s="899">
        <f>$C70</f>
        <v>0</v>
      </c>
      <c r="AA70" s="899">
        <f>Z70*$B70</f>
        <v>0</v>
      </c>
      <c r="AB70" s="428" t="e">
        <f>Z70/$C70-1</f>
        <v>#DIV/0!</v>
      </c>
      <c r="AC70" s="766">
        <f>$C70</f>
        <v>0</v>
      </c>
      <c r="AD70" s="435">
        <f>AC70*$B70</f>
        <v>0</v>
      </c>
      <c r="AE70" s="428" t="e">
        <f>AC70/$C70-1</f>
        <v>#DIV/0!</v>
      </c>
      <c r="AF70" s="291"/>
      <c r="AG70" s="291"/>
    </row>
    <row r="71" spans="1:33" s="1" customFormat="1" ht="12" hidden="1" customHeight="1" outlineLevel="1">
      <c r="A71" s="499" t="str">
        <f>'Renewal Rates '!A71</f>
        <v>Class B</v>
      </c>
      <c r="B71" s="551"/>
      <c r="C71" s="435"/>
      <c r="D71" s="435"/>
      <c r="E71" s="766"/>
      <c r="F71" s="435"/>
      <c r="G71" s="564"/>
      <c r="H71" s="435"/>
      <c r="I71" s="435"/>
      <c r="J71" s="564"/>
      <c r="K71" s="435"/>
      <c r="L71" s="435"/>
      <c r="M71" s="564"/>
      <c r="N71" s="766"/>
      <c r="O71" s="435"/>
      <c r="P71" s="564"/>
      <c r="Q71" s="799"/>
      <c r="R71" s="799"/>
      <c r="S71" s="564"/>
      <c r="T71" s="799"/>
      <c r="U71" s="799"/>
      <c r="V71" s="564"/>
      <c r="W71" s="934"/>
      <c r="X71" s="934"/>
      <c r="Y71" s="564"/>
      <c r="Z71" s="899"/>
      <c r="AA71" s="899"/>
      <c r="AB71" s="564"/>
      <c r="AC71" s="766"/>
      <c r="AD71" s="435"/>
      <c r="AE71" s="564"/>
      <c r="AF71" s="291"/>
      <c r="AG71" s="291"/>
    </row>
    <row r="72" spans="1:33" s="1" customFormat="1" ht="12" hidden="1" customHeight="1" outlineLevel="1">
      <c r="A72" s="448" t="s">
        <v>163</v>
      </c>
      <c r="B72" s="551">
        <f>'Renewal Rates '!B72</f>
        <v>0</v>
      </c>
      <c r="C72" s="435">
        <f>'Renewal Rates '!H72</f>
        <v>0</v>
      </c>
      <c r="D72" s="435">
        <f>C72*$B72</f>
        <v>0</v>
      </c>
      <c r="E72" s="766">
        <f>$C72</f>
        <v>0</v>
      </c>
      <c r="F72" s="435">
        <f>E72*$B72</f>
        <v>0</v>
      </c>
      <c r="G72" s="428" t="e">
        <f>E72/$C72-1</f>
        <v>#DIV/0!</v>
      </c>
      <c r="H72" s="435">
        <v>0</v>
      </c>
      <c r="I72" s="435">
        <f>H72*$B72</f>
        <v>0</v>
      </c>
      <c r="J72" s="428" t="e">
        <f>H72/$C72-1</f>
        <v>#DIV/0!</v>
      </c>
      <c r="K72" s="435">
        <v>0</v>
      </c>
      <c r="L72" s="435">
        <f>K72*$B72</f>
        <v>0</v>
      </c>
      <c r="M72" s="428" t="e">
        <f>K72/$C72-1</f>
        <v>#DIV/0!</v>
      </c>
      <c r="N72" s="766">
        <f>$C72</f>
        <v>0</v>
      </c>
      <c r="O72" s="435">
        <f>N72*$B72</f>
        <v>0</v>
      </c>
      <c r="P72" s="428" t="e">
        <f>N72/$C72-1</f>
        <v>#DIV/0!</v>
      </c>
      <c r="Q72" s="799">
        <f>$C72</f>
        <v>0</v>
      </c>
      <c r="R72" s="799">
        <f>Q72*$B72</f>
        <v>0</v>
      </c>
      <c r="S72" s="428" t="e">
        <f>Q72/$C72-1</f>
        <v>#DIV/0!</v>
      </c>
      <c r="T72" s="799">
        <f>$C72</f>
        <v>0</v>
      </c>
      <c r="U72" s="799">
        <f>T72*$B72</f>
        <v>0</v>
      </c>
      <c r="V72" s="428" t="e">
        <f>T72/$C72-1</f>
        <v>#DIV/0!</v>
      </c>
      <c r="W72" s="934">
        <f>$C72</f>
        <v>0</v>
      </c>
      <c r="X72" s="934">
        <f>W72*$B72</f>
        <v>0</v>
      </c>
      <c r="Y72" s="428" t="e">
        <f>W72/$C72-1</f>
        <v>#DIV/0!</v>
      </c>
      <c r="Z72" s="899">
        <f>$C72</f>
        <v>0</v>
      </c>
      <c r="AA72" s="899">
        <f>Z72*$B72</f>
        <v>0</v>
      </c>
      <c r="AB72" s="428" t="e">
        <f>Z72/$C72-1</f>
        <v>#DIV/0!</v>
      </c>
      <c r="AC72" s="766">
        <f>$C72</f>
        <v>0</v>
      </c>
      <c r="AD72" s="435">
        <f>AC72*$B72</f>
        <v>0</v>
      </c>
      <c r="AE72" s="428" t="e">
        <f>AC72/$C72-1</f>
        <v>#DIV/0!</v>
      </c>
      <c r="AF72" s="291"/>
      <c r="AG72" s="291"/>
    </row>
    <row r="73" spans="1:33" s="1" customFormat="1" ht="12" hidden="1" customHeight="1" outlineLevel="1">
      <c r="A73" s="448" t="s">
        <v>164</v>
      </c>
      <c r="B73" s="551">
        <f>'Renewal Rates '!B73</f>
        <v>0</v>
      </c>
      <c r="C73" s="435">
        <f>'Renewal Rates '!H73</f>
        <v>0</v>
      </c>
      <c r="D73" s="435">
        <f>C73*$B73</f>
        <v>0</v>
      </c>
      <c r="E73" s="766">
        <f t="shared" ref="E73" si="170">$C73</f>
        <v>0</v>
      </c>
      <c r="F73" s="435">
        <f>E73*$B73</f>
        <v>0</v>
      </c>
      <c r="G73" s="428" t="e">
        <f>E73/$C73-1</f>
        <v>#DIV/0!</v>
      </c>
      <c r="H73" s="435">
        <v>0</v>
      </c>
      <c r="I73" s="435">
        <f>H73*$B73</f>
        <v>0</v>
      </c>
      <c r="J73" s="428" t="e">
        <f>H73/$C73-1</f>
        <v>#DIV/0!</v>
      </c>
      <c r="K73" s="435">
        <v>0</v>
      </c>
      <c r="L73" s="435">
        <f>K73*$B73</f>
        <v>0</v>
      </c>
      <c r="M73" s="428" t="e">
        <f>K73/$C73-1</f>
        <v>#DIV/0!</v>
      </c>
      <c r="N73" s="766">
        <f t="shared" ref="N73" si="171">$C73</f>
        <v>0</v>
      </c>
      <c r="O73" s="435">
        <f>N73*$B73</f>
        <v>0</v>
      </c>
      <c r="P73" s="428" t="e">
        <f>N73/$C73-1</f>
        <v>#DIV/0!</v>
      </c>
      <c r="Q73" s="799">
        <f t="shared" ref="Q73" si="172">$C73</f>
        <v>0</v>
      </c>
      <c r="R73" s="799">
        <f>Q73*$B73</f>
        <v>0</v>
      </c>
      <c r="S73" s="428" t="e">
        <f>Q73/$C73-1</f>
        <v>#DIV/0!</v>
      </c>
      <c r="T73" s="799">
        <f t="shared" ref="T73" si="173">$C73</f>
        <v>0</v>
      </c>
      <c r="U73" s="799">
        <f>T73*$B73</f>
        <v>0</v>
      </c>
      <c r="V73" s="428" t="e">
        <f>T73/$C73-1</f>
        <v>#DIV/0!</v>
      </c>
      <c r="W73" s="934">
        <f t="shared" ref="W73" si="174">$C73</f>
        <v>0</v>
      </c>
      <c r="X73" s="934">
        <f>W73*$B73</f>
        <v>0</v>
      </c>
      <c r="Y73" s="428" t="e">
        <f>W73/$C73-1</f>
        <v>#DIV/0!</v>
      </c>
      <c r="Z73" s="899">
        <f t="shared" ref="Z73" si="175">$C73</f>
        <v>0</v>
      </c>
      <c r="AA73" s="899">
        <f>Z73*$B73</f>
        <v>0</v>
      </c>
      <c r="AB73" s="428" t="e">
        <f>Z73/$C73-1</f>
        <v>#DIV/0!</v>
      </c>
      <c r="AC73" s="766">
        <f t="shared" ref="AC73" si="176">$C73</f>
        <v>0</v>
      </c>
      <c r="AD73" s="435">
        <f>AC73*$B73</f>
        <v>0</v>
      </c>
      <c r="AE73" s="428" t="e">
        <f>AC73/$C73-1</f>
        <v>#DIV/0!</v>
      </c>
      <c r="AF73" s="291"/>
      <c r="AG73" s="291"/>
    </row>
    <row r="74" spans="1:33" s="1" customFormat="1" ht="12" hidden="1" customHeight="1" outlineLevel="1">
      <c r="A74" s="499" t="str">
        <f>'Renewal Rates '!A74</f>
        <v>Class C</v>
      </c>
      <c r="B74" s="551"/>
      <c r="C74" s="435"/>
      <c r="D74" s="435"/>
      <c r="E74" s="766"/>
      <c r="F74" s="435"/>
      <c r="G74" s="564"/>
      <c r="H74" s="435"/>
      <c r="I74" s="435"/>
      <c r="J74" s="564"/>
      <c r="K74" s="435"/>
      <c r="L74" s="435"/>
      <c r="M74" s="564"/>
      <c r="N74" s="766"/>
      <c r="O74" s="435"/>
      <c r="P74" s="564"/>
      <c r="Q74" s="799"/>
      <c r="R74" s="799"/>
      <c r="S74" s="564"/>
      <c r="T74" s="799"/>
      <c r="U74" s="799"/>
      <c r="V74" s="564"/>
      <c r="W74" s="934"/>
      <c r="X74" s="934"/>
      <c r="Y74" s="564"/>
      <c r="Z74" s="899"/>
      <c r="AA74" s="899"/>
      <c r="AB74" s="564"/>
      <c r="AC74" s="766"/>
      <c r="AD74" s="435"/>
      <c r="AE74" s="564"/>
      <c r="AF74" s="291"/>
      <c r="AG74" s="291"/>
    </row>
    <row r="75" spans="1:33" s="1" customFormat="1" ht="12" hidden="1" customHeight="1" outlineLevel="1">
      <c r="A75" s="448" t="s">
        <v>163</v>
      </c>
      <c r="B75" s="551">
        <f>'Renewal Rates '!B75</f>
        <v>0</v>
      </c>
      <c r="C75" s="435">
        <f>'Renewal Rates '!H75</f>
        <v>0</v>
      </c>
      <c r="D75" s="435">
        <f>C75*$B75</f>
        <v>0</v>
      </c>
      <c r="E75" s="766">
        <f t="shared" ref="E75:E82" si="177">$C75</f>
        <v>0</v>
      </c>
      <c r="F75" s="435">
        <f>E75*$B75</f>
        <v>0</v>
      </c>
      <c r="G75" s="428" t="e">
        <f>E75/$C75-1</f>
        <v>#DIV/0!</v>
      </c>
      <c r="H75" s="435">
        <v>0</v>
      </c>
      <c r="I75" s="435">
        <f>H75*$B75</f>
        <v>0</v>
      </c>
      <c r="J75" s="428" t="e">
        <f>H75/$C75-1</f>
        <v>#DIV/0!</v>
      </c>
      <c r="K75" s="435">
        <v>0</v>
      </c>
      <c r="L75" s="435">
        <f>K75*$B75</f>
        <v>0</v>
      </c>
      <c r="M75" s="428" t="e">
        <f>K75/$C75-1</f>
        <v>#DIV/0!</v>
      </c>
      <c r="N75" s="766">
        <f t="shared" ref="N75:N82" si="178">$C75</f>
        <v>0</v>
      </c>
      <c r="O75" s="435">
        <f>N75*$B75</f>
        <v>0</v>
      </c>
      <c r="P75" s="428" t="e">
        <f>N75/$C75-1</f>
        <v>#DIV/0!</v>
      </c>
      <c r="Q75" s="799">
        <f t="shared" ref="Q75:Q82" si="179">$C75</f>
        <v>0</v>
      </c>
      <c r="R75" s="799">
        <f>Q75*$B75</f>
        <v>0</v>
      </c>
      <c r="S75" s="428" t="e">
        <f>Q75/$C75-1</f>
        <v>#DIV/0!</v>
      </c>
      <c r="T75" s="799">
        <f t="shared" ref="T75:T82" si="180">$C75</f>
        <v>0</v>
      </c>
      <c r="U75" s="799">
        <f>T75*$B75</f>
        <v>0</v>
      </c>
      <c r="V75" s="428" t="e">
        <f>T75/$C75-1</f>
        <v>#DIV/0!</v>
      </c>
      <c r="W75" s="934">
        <f t="shared" ref="W75:W82" si="181">$C75</f>
        <v>0</v>
      </c>
      <c r="X75" s="934">
        <f>W75*$B75</f>
        <v>0</v>
      </c>
      <c r="Y75" s="428" t="e">
        <f>W75/$C75-1</f>
        <v>#DIV/0!</v>
      </c>
      <c r="Z75" s="899">
        <f t="shared" ref="Z75:Z82" si="182">$C75</f>
        <v>0</v>
      </c>
      <c r="AA75" s="899">
        <f>Z75*$B75</f>
        <v>0</v>
      </c>
      <c r="AB75" s="428" t="e">
        <f>Z75/$C75-1</f>
        <v>#DIV/0!</v>
      </c>
      <c r="AC75" s="766">
        <f t="shared" ref="AC75:AC82" si="183">$C75</f>
        <v>0</v>
      </c>
      <c r="AD75" s="435">
        <f>AC75*$B75</f>
        <v>0</v>
      </c>
      <c r="AE75" s="428" t="e">
        <f>AC75/$C75-1</f>
        <v>#DIV/0!</v>
      </c>
      <c r="AF75" s="291"/>
      <c r="AG75" s="291"/>
    </row>
    <row r="76" spans="1:33" s="1" customFormat="1" ht="12" hidden="1" customHeight="1" outlineLevel="1">
      <c r="A76" s="448" t="s">
        <v>164</v>
      </c>
      <c r="B76" s="551">
        <f>'Renewal Rates '!B76</f>
        <v>0</v>
      </c>
      <c r="C76" s="435">
        <f>'Renewal Rates '!H76</f>
        <v>0</v>
      </c>
      <c r="D76" s="435">
        <f>C76*$B76</f>
        <v>0</v>
      </c>
      <c r="E76" s="766">
        <f t="shared" si="177"/>
        <v>0</v>
      </c>
      <c r="F76" s="435">
        <f>E76*$B76</f>
        <v>0</v>
      </c>
      <c r="G76" s="428" t="e">
        <f>E76/$C76-1</f>
        <v>#DIV/0!</v>
      </c>
      <c r="H76" s="435">
        <v>0</v>
      </c>
      <c r="I76" s="435">
        <f>H76*$B76</f>
        <v>0</v>
      </c>
      <c r="J76" s="428" t="e">
        <f>H76/$C76-1</f>
        <v>#DIV/0!</v>
      </c>
      <c r="K76" s="435">
        <v>0</v>
      </c>
      <c r="L76" s="435">
        <f>K76*$B76</f>
        <v>0</v>
      </c>
      <c r="M76" s="428" t="e">
        <f>K76/$C76-1</f>
        <v>#DIV/0!</v>
      </c>
      <c r="N76" s="766">
        <f t="shared" si="178"/>
        <v>0</v>
      </c>
      <c r="O76" s="435">
        <f>N76*$B76</f>
        <v>0</v>
      </c>
      <c r="P76" s="428" t="e">
        <f>N76/$C76-1</f>
        <v>#DIV/0!</v>
      </c>
      <c r="Q76" s="799">
        <f t="shared" si="179"/>
        <v>0</v>
      </c>
      <c r="R76" s="799">
        <f>Q76*$B76</f>
        <v>0</v>
      </c>
      <c r="S76" s="428" t="e">
        <f>Q76/$C76-1</f>
        <v>#DIV/0!</v>
      </c>
      <c r="T76" s="799">
        <f t="shared" si="180"/>
        <v>0</v>
      </c>
      <c r="U76" s="799">
        <f>T76*$B76</f>
        <v>0</v>
      </c>
      <c r="V76" s="428" t="e">
        <f>T76/$C76-1</f>
        <v>#DIV/0!</v>
      </c>
      <c r="W76" s="934">
        <f t="shared" si="181"/>
        <v>0</v>
      </c>
      <c r="X76" s="934">
        <f>W76*$B76</f>
        <v>0</v>
      </c>
      <c r="Y76" s="428" t="e">
        <f>W76/$C76-1</f>
        <v>#DIV/0!</v>
      </c>
      <c r="Z76" s="899">
        <f t="shared" si="182"/>
        <v>0</v>
      </c>
      <c r="AA76" s="899">
        <f>Z76*$B76</f>
        <v>0</v>
      </c>
      <c r="AB76" s="428" t="e">
        <f>Z76/$C76-1</f>
        <v>#DIV/0!</v>
      </c>
      <c r="AC76" s="766">
        <f t="shared" si="183"/>
        <v>0</v>
      </c>
      <c r="AD76" s="435">
        <f>AC76*$B76</f>
        <v>0</v>
      </c>
      <c r="AE76" s="428" t="e">
        <f>AC76/$C76-1</f>
        <v>#DIV/0!</v>
      </c>
      <c r="AF76" s="291"/>
      <c r="AG76" s="291"/>
    </row>
    <row r="77" spans="1:33" s="1" customFormat="1" ht="12" hidden="1" customHeight="1" outlineLevel="1">
      <c r="A77" s="499" t="str">
        <f>'Renewal Rates '!A77</f>
        <v>Class D</v>
      </c>
      <c r="B77" s="551"/>
      <c r="C77" s="435"/>
      <c r="D77" s="435"/>
      <c r="E77" s="766"/>
      <c r="F77" s="435"/>
      <c r="G77" s="564"/>
      <c r="H77" s="435"/>
      <c r="I77" s="435"/>
      <c r="J77" s="564"/>
      <c r="K77" s="435"/>
      <c r="L77" s="435"/>
      <c r="M77" s="564"/>
      <c r="N77" s="766"/>
      <c r="O77" s="435"/>
      <c r="P77" s="564"/>
      <c r="Q77" s="799"/>
      <c r="R77" s="799"/>
      <c r="S77" s="564"/>
      <c r="T77" s="799"/>
      <c r="U77" s="799"/>
      <c r="V77" s="564"/>
      <c r="W77" s="934"/>
      <c r="X77" s="934"/>
      <c r="Y77" s="564"/>
      <c r="Z77" s="899"/>
      <c r="AA77" s="899"/>
      <c r="AB77" s="564"/>
      <c r="AC77" s="766"/>
      <c r="AD77" s="435"/>
      <c r="AE77" s="564"/>
      <c r="AF77" s="291"/>
      <c r="AG77" s="291"/>
    </row>
    <row r="78" spans="1:33" s="1" customFormat="1" ht="12" hidden="1" customHeight="1" outlineLevel="1">
      <c r="A78" s="448" t="s">
        <v>163</v>
      </c>
      <c r="B78" s="551">
        <f>'Renewal Rates '!B78</f>
        <v>0</v>
      </c>
      <c r="C78" s="435">
        <f>'Renewal Rates '!H78</f>
        <v>0</v>
      </c>
      <c r="D78" s="435">
        <f>C78*$B78</f>
        <v>0</v>
      </c>
      <c r="E78" s="766">
        <f t="shared" si="177"/>
        <v>0</v>
      </c>
      <c r="F78" s="435">
        <f>E78*$B78</f>
        <v>0</v>
      </c>
      <c r="G78" s="428" t="e">
        <f>E78/$C78-1</f>
        <v>#DIV/0!</v>
      </c>
      <c r="H78" s="435">
        <v>0</v>
      </c>
      <c r="I78" s="435">
        <f>H78*$B78</f>
        <v>0</v>
      </c>
      <c r="J78" s="428" t="e">
        <f>H78/$C78-1</f>
        <v>#DIV/0!</v>
      </c>
      <c r="K78" s="435">
        <v>0</v>
      </c>
      <c r="L78" s="435">
        <f>K78*$B78</f>
        <v>0</v>
      </c>
      <c r="M78" s="428" t="e">
        <f>K78/$C78-1</f>
        <v>#DIV/0!</v>
      </c>
      <c r="N78" s="766">
        <f t="shared" si="178"/>
        <v>0</v>
      </c>
      <c r="O78" s="435">
        <f>N78*$B78</f>
        <v>0</v>
      </c>
      <c r="P78" s="428" t="e">
        <f>N78/$C78-1</f>
        <v>#DIV/0!</v>
      </c>
      <c r="Q78" s="799">
        <f t="shared" si="179"/>
        <v>0</v>
      </c>
      <c r="R78" s="799">
        <f>Q78*$B78</f>
        <v>0</v>
      </c>
      <c r="S78" s="428" t="e">
        <f>Q78/$C78-1</f>
        <v>#DIV/0!</v>
      </c>
      <c r="T78" s="799">
        <f t="shared" si="180"/>
        <v>0</v>
      </c>
      <c r="U78" s="799">
        <f>T78*$B78</f>
        <v>0</v>
      </c>
      <c r="V78" s="428" t="e">
        <f>T78/$C78-1</f>
        <v>#DIV/0!</v>
      </c>
      <c r="W78" s="934">
        <f t="shared" si="181"/>
        <v>0</v>
      </c>
      <c r="X78" s="934">
        <f>W78*$B78</f>
        <v>0</v>
      </c>
      <c r="Y78" s="428" t="e">
        <f>W78/$C78-1</f>
        <v>#DIV/0!</v>
      </c>
      <c r="Z78" s="899">
        <f t="shared" si="182"/>
        <v>0</v>
      </c>
      <c r="AA78" s="899">
        <f>Z78*$B78</f>
        <v>0</v>
      </c>
      <c r="AB78" s="428" t="e">
        <f>Z78/$C78-1</f>
        <v>#DIV/0!</v>
      </c>
      <c r="AC78" s="766">
        <f t="shared" si="183"/>
        <v>0</v>
      </c>
      <c r="AD78" s="435">
        <f>AC78*$B78</f>
        <v>0</v>
      </c>
      <c r="AE78" s="428" t="e">
        <f>AC78/$C78-1</f>
        <v>#DIV/0!</v>
      </c>
      <c r="AF78" s="291"/>
      <c r="AG78" s="291"/>
    </row>
    <row r="79" spans="1:33" s="1" customFormat="1" ht="12" hidden="1" customHeight="1" outlineLevel="1">
      <c r="A79" s="448" t="s">
        <v>164</v>
      </c>
      <c r="B79" s="551">
        <f>'Renewal Rates '!B79</f>
        <v>0</v>
      </c>
      <c r="C79" s="435">
        <f>'Renewal Rates '!H79</f>
        <v>0</v>
      </c>
      <c r="D79" s="435">
        <f>C79*$B79</f>
        <v>0</v>
      </c>
      <c r="E79" s="766">
        <f t="shared" si="177"/>
        <v>0</v>
      </c>
      <c r="F79" s="435">
        <f>E79*$B79</f>
        <v>0</v>
      </c>
      <c r="G79" s="428" t="e">
        <f>E79/$C79-1</f>
        <v>#DIV/0!</v>
      </c>
      <c r="H79" s="435">
        <v>0</v>
      </c>
      <c r="I79" s="435">
        <f>H79*$B79</f>
        <v>0</v>
      </c>
      <c r="J79" s="428" t="e">
        <f>H79/$C79-1</f>
        <v>#DIV/0!</v>
      </c>
      <c r="K79" s="435">
        <v>0</v>
      </c>
      <c r="L79" s="435">
        <f>K79*$B79</f>
        <v>0</v>
      </c>
      <c r="M79" s="428" t="e">
        <f>K79/$C79-1</f>
        <v>#DIV/0!</v>
      </c>
      <c r="N79" s="766">
        <f t="shared" si="178"/>
        <v>0</v>
      </c>
      <c r="O79" s="435">
        <f>N79*$B79</f>
        <v>0</v>
      </c>
      <c r="P79" s="428" t="e">
        <f>N79/$C79-1</f>
        <v>#DIV/0!</v>
      </c>
      <c r="Q79" s="799">
        <f t="shared" si="179"/>
        <v>0</v>
      </c>
      <c r="R79" s="799">
        <f>Q79*$B79</f>
        <v>0</v>
      </c>
      <c r="S79" s="428" t="e">
        <f>Q79/$C79-1</f>
        <v>#DIV/0!</v>
      </c>
      <c r="T79" s="799">
        <f t="shared" si="180"/>
        <v>0</v>
      </c>
      <c r="U79" s="799">
        <f>T79*$B79</f>
        <v>0</v>
      </c>
      <c r="V79" s="428" t="e">
        <f>T79/$C79-1</f>
        <v>#DIV/0!</v>
      </c>
      <c r="W79" s="934">
        <f t="shared" si="181"/>
        <v>0</v>
      </c>
      <c r="X79" s="934">
        <f>W79*$B79</f>
        <v>0</v>
      </c>
      <c r="Y79" s="428" t="e">
        <f>W79/$C79-1</f>
        <v>#DIV/0!</v>
      </c>
      <c r="Z79" s="899">
        <f t="shared" si="182"/>
        <v>0</v>
      </c>
      <c r="AA79" s="899">
        <f>Z79*$B79</f>
        <v>0</v>
      </c>
      <c r="AB79" s="428" t="e">
        <f>Z79/$C79-1</f>
        <v>#DIV/0!</v>
      </c>
      <c r="AC79" s="766">
        <f t="shared" si="183"/>
        <v>0</v>
      </c>
      <c r="AD79" s="435">
        <f>AC79*$B79</f>
        <v>0</v>
      </c>
      <c r="AE79" s="428" t="e">
        <f>AC79/$C79-1</f>
        <v>#DIV/0!</v>
      </c>
      <c r="AF79" s="291"/>
      <c r="AG79" s="291"/>
    </row>
    <row r="80" spans="1:33" s="1" customFormat="1" ht="12" customHeight="1" collapsed="1">
      <c r="A80" s="499" t="str">
        <f>'Renewal Rates '!A80</f>
        <v>All Employees</v>
      </c>
      <c r="B80" s="551"/>
      <c r="C80" s="435"/>
      <c r="D80" s="435"/>
      <c r="E80" s="766"/>
      <c r="F80" s="435"/>
      <c r="G80" s="564"/>
      <c r="H80" s="435"/>
      <c r="I80" s="435"/>
      <c r="J80" s="564"/>
      <c r="K80" s="435"/>
      <c r="L80" s="435"/>
      <c r="M80" s="564"/>
      <c r="N80" s="766"/>
      <c r="O80" s="435"/>
      <c r="P80" s="564"/>
      <c r="Q80" s="799"/>
      <c r="R80" s="799"/>
      <c r="S80" s="564"/>
      <c r="T80" s="799"/>
      <c r="U80" s="799"/>
      <c r="V80" s="564"/>
      <c r="W80" s="934"/>
      <c r="X80" s="934"/>
      <c r="Y80" s="564"/>
      <c r="Z80" s="899"/>
      <c r="AA80" s="899"/>
      <c r="AB80" s="564"/>
      <c r="AC80" s="766"/>
      <c r="AD80" s="435"/>
      <c r="AE80" s="564"/>
      <c r="AF80" s="291"/>
      <c r="AG80" s="291"/>
    </row>
    <row r="81" spans="1:33" s="1" customFormat="1" ht="12" customHeight="1">
      <c r="A81" s="448" t="s">
        <v>163</v>
      </c>
      <c r="B81" s="551">
        <f>'Renewal Rates '!B81</f>
        <v>0</v>
      </c>
      <c r="C81" s="435">
        <f>'Renewal Rates '!H81</f>
        <v>0</v>
      </c>
      <c r="D81" s="435">
        <f>C81*$B81</f>
        <v>0</v>
      </c>
      <c r="E81" s="766">
        <f t="shared" si="177"/>
        <v>0</v>
      </c>
      <c r="F81" s="435">
        <f>E81*$B81</f>
        <v>0</v>
      </c>
      <c r="G81" s="428" t="e">
        <f>E81/$C81-1</f>
        <v>#DIV/0!</v>
      </c>
      <c r="H81" s="435">
        <v>0</v>
      </c>
      <c r="I81" s="435">
        <f>H81*$B81</f>
        <v>0</v>
      </c>
      <c r="J81" s="428" t="e">
        <f>H81/$C81-1</f>
        <v>#DIV/0!</v>
      </c>
      <c r="K81" s="435">
        <v>0</v>
      </c>
      <c r="L81" s="435">
        <f>K81*$B81</f>
        <v>0</v>
      </c>
      <c r="M81" s="428" t="e">
        <f>K81/$C81-1</f>
        <v>#DIV/0!</v>
      </c>
      <c r="N81" s="766">
        <f t="shared" si="178"/>
        <v>0</v>
      </c>
      <c r="O81" s="435">
        <f>N81*$B81</f>
        <v>0</v>
      </c>
      <c r="P81" s="428" t="e">
        <f>N81/$C81-1</f>
        <v>#DIV/0!</v>
      </c>
      <c r="Q81" s="799">
        <f t="shared" si="179"/>
        <v>0</v>
      </c>
      <c r="R81" s="799">
        <f>Q81*$B81</f>
        <v>0</v>
      </c>
      <c r="S81" s="428" t="e">
        <f>Q81/$C81-1</f>
        <v>#DIV/0!</v>
      </c>
      <c r="T81" s="799">
        <f t="shared" si="180"/>
        <v>0</v>
      </c>
      <c r="U81" s="799">
        <f>T81*$B81</f>
        <v>0</v>
      </c>
      <c r="V81" s="428" t="e">
        <f>T81/$C81-1</f>
        <v>#DIV/0!</v>
      </c>
      <c r="W81" s="934">
        <f t="shared" si="181"/>
        <v>0</v>
      </c>
      <c r="X81" s="934">
        <f>W81*$B81</f>
        <v>0</v>
      </c>
      <c r="Y81" s="428" t="e">
        <f>W81/$C81-1</f>
        <v>#DIV/0!</v>
      </c>
      <c r="Z81" s="899">
        <f t="shared" si="182"/>
        <v>0</v>
      </c>
      <c r="AA81" s="899">
        <f>Z81*$B81</f>
        <v>0</v>
      </c>
      <c r="AB81" s="428" t="e">
        <f>Z81/$C81-1</f>
        <v>#DIV/0!</v>
      </c>
      <c r="AC81" s="766">
        <f t="shared" si="183"/>
        <v>0</v>
      </c>
      <c r="AD81" s="435">
        <f>AC81*$B81</f>
        <v>0</v>
      </c>
      <c r="AE81" s="428" t="e">
        <f>AC81/$C81-1</f>
        <v>#DIV/0!</v>
      </c>
      <c r="AF81" s="291"/>
      <c r="AG81" s="291"/>
    </row>
    <row r="82" spans="1:33" s="1" customFormat="1" ht="12" customHeight="1">
      <c r="A82" s="448" t="s">
        <v>164</v>
      </c>
      <c r="B82" s="551">
        <f>'Renewal Rates '!B82</f>
        <v>0</v>
      </c>
      <c r="C82" s="435">
        <f>'Renewal Rates '!H82</f>
        <v>0</v>
      </c>
      <c r="D82" s="435">
        <f>C82*$B82</f>
        <v>0</v>
      </c>
      <c r="E82" s="766">
        <f t="shared" si="177"/>
        <v>0</v>
      </c>
      <c r="F82" s="435">
        <f>E82*$B82</f>
        <v>0</v>
      </c>
      <c r="G82" s="428" t="e">
        <f>E82/$C82-1</f>
        <v>#DIV/0!</v>
      </c>
      <c r="H82" s="435">
        <v>0</v>
      </c>
      <c r="I82" s="435">
        <f>H82*$B82</f>
        <v>0</v>
      </c>
      <c r="J82" s="428" t="e">
        <f>H82/$C82-1</f>
        <v>#DIV/0!</v>
      </c>
      <c r="K82" s="435">
        <v>0</v>
      </c>
      <c r="L82" s="435">
        <f>K82*$B82</f>
        <v>0</v>
      </c>
      <c r="M82" s="428" t="e">
        <f>K82/$C82-1</f>
        <v>#DIV/0!</v>
      </c>
      <c r="N82" s="766">
        <f t="shared" si="178"/>
        <v>0</v>
      </c>
      <c r="O82" s="435">
        <f>N82*$B82</f>
        <v>0</v>
      </c>
      <c r="P82" s="428" t="e">
        <f>N82/$C82-1</f>
        <v>#DIV/0!</v>
      </c>
      <c r="Q82" s="799">
        <f t="shared" si="179"/>
        <v>0</v>
      </c>
      <c r="R82" s="799">
        <f>Q82*$B82</f>
        <v>0</v>
      </c>
      <c r="S82" s="428" t="e">
        <f>Q82/$C82-1</f>
        <v>#DIV/0!</v>
      </c>
      <c r="T82" s="799">
        <f t="shared" si="180"/>
        <v>0</v>
      </c>
      <c r="U82" s="799">
        <f>T82*$B82</f>
        <v>0</v>
      </c>
      <c r="V82" s="428" t="e">
        <f>T82/$C82-1</f>
        <v>#DIV/0!</v>
      </c>
      <c r="W82" s="934">
        <f t="shared" si="181"/>
        <v>0</v>
      </c>
      <c r="X82" s="934">
        <f>W82*$B82</f>
        <v>0</v>
      </c>
      <c r="Y82" s="428" t="e">
        <f>W82/$C82-1</f>
        <v>#DIV/0!</v>
      </c>
      <c r="Z82" s="899">
        <f t="shared" si="182"/>
        <v>0</v>
      </c>
      <c r="AA82" s="899">
        <f>Z82*$B82</f>
        <v>0</v>
      </c>
      <c r="AB82" s="428" t="e">
        <f>Z82/$C82-1</f>
        <v>#DIV/0!</v>
      </c>
      <c r="AC82" s="766">
        <f t="shared" si="183"/>
        <v>0</v>
      </c>
      <c r="AD82" s="435">
        <f>AC82*$B82</f>
        <v>0</v>
      </c>
      <c r="AE82" s="428" t="e">
        <f>AC82/$C82-1</f>
        <v>#DIV/0!</v>
      </c>
      <c r="AF82" s="291"/>
      <c r="AG82" s="291"/>
    </row>
    <row r="83" spans="1:33" s="1" customFormat="1" ht="12" customHeight="1">
      <c r="A83" s="448" t="s">
        <v>300</v>
      </c>
      <c r="B83" s="541"/>
      <c r="C83" s="542"/>
      <c r="D83" s="542">
        <f>SUM(D69:D82)</f>
        <v>0</v>
      </c>
      <c r="E83" s="542"/>
      <c r="F83" s="542">
        <f>SUM(F69:F82)</f>
        <v>0</v>
      </c>
      <c r="G83" s="448"/>
      <c r="H83" s="542"/>
      <c r="I83" s="542">
        <f>SUM(I69:I82)</f>
        <v>0</v>
      </c>
      <c r="J83" s="448"/>
      <c r="K83" s="542"/>
      <c r="L83" s="542">
        <f>SUM(L69:L82)</f>
        <v>0</v>
      </c>
      <c r="M83" s="448"/>
      <c r="N83" s="542"/>
      <c r="O83" s="542">
        <f>SUM(O69:O82)</f>
        <v>0</v>
      </c>
      <c r="P83" s="448"/>
      <c r="Q83" s="542"/>
      <c r="R83" s="542">
        <f>SUM(R69:R82)</f>
        <v>0</v>
      </c>
      <c r="S83" s="448"/>
      <c r="T83" s="542"/>
      <c r="U83" s="542">
        <f>SUM(U69:U82)</f>
        <v>0</v>
      </c>
      <c r="V83" s="448"/>
      <c r="W83" s="542"/>
      <c r="X83" s="542">
        <f>SUM(X69:X82)</f>
        <v>0</v>
      </c>
      <c r="Y83" s="448"/>
      <c r="Z83" s="542"/>
      <c r="AA83" s="542">
        <f>SUM(AA69:AA82)</f>
        <v>0</v>
      </c>
      <c r="AB83" s="448"/>
      <c r="AC83" s="542"/>
      <c r="AD83" s="542">
        <f>SUM(AD69:AD82)</f>
        <v>0</v>
      </c>
      <c r="AE83" s="448"/>
      <c r="AF83" s="291"/>
      <c r="AG83" s="291"/>
    </row>
    <row r="84" spans="1:33" s="1" customFormat="1" ht="4.5" customHeight="1">
      <c r="A84" s="731"/>
      <c r="B84" s="732"/>
      <c r="C84" s="732"/>
      <c r="D84" s="732"/>
      <c r="E84" s="732"/>
      <c r="F84" s="732"/>
      <c r="G84" s="732"/>
      <c r="H84" s="732"/>
      <c r="I84" s="732"/>
      <c r="J84" s="732"/>
      <c r="K84" s="732"/>
      <c r="L84" s="732"/>
      <c r="M84" s="732"/>
      <c r="N84" s="732"/>
      <c r="O84" s="732"/>
      <c r="P84" s="732"/>
      <c r="Q84" s="732"/>
      <c r="R84" s="732"/>
      <c r="S84" s="732"/>
      <c r="T84" s="732"/>
      <c r="U84" s="732"/>
      <c r="V84" s="732"/>
      <c r="W84" s="732"/>
      <c r="X84" s="732"/>
      <c r="Y84" s="732"/>
      <c r="Z84" s="732"/>
      <c r="AA84" s="732"/>
      <c r="AB84" s="732"/>
      <c r="AC84" s="732"/>
      <c r="AD84" s="732"/>
      <c r="AE84" s="733"/>
      <c r="AF84" s="291"/>
      <c r="AG84" s="291"/>
    </row>
    <row r="85" spans="1:33" s="1" customFormat="1" ht="12" customHeight="1">
      <c r="A85" s="448" t="s">
        <v>43</v>
      </c>
      <c r="B85" s="438"/>
      <c r="C85" s="435"/>
      <c r="D85" s="435"/>
      <c r="E85" s="435"/>
      <c r="F85" s="435"/>
      <c r="G85" s="564"/>
      <c r="H85" s="435"/>
      <c r="I85" s="435"/>
      <c r="J85" s="564"/>
      <c r="K85" s="435"/>
      <c r="L85" s="435"/>
      <c r="M85" s="564"/>
      <c r="N85" s="766"/>
      <c r="O85" s="435"/>
      <c r="P85" s="564"/>
      <c r="Q85" s="799"/>
      <c r="R85" s="799"/>
      <c r="S85" s="564"/>
      <c r="T85" s="799"/>
      <c r="U85" s="799"/>
      <c r="V85" s="564"/>
      <c r="W85" s="934"/>
      <c r="X85" s="934"/>
      <c r="Y85" s="564"/>
      <c r="Z85" s="899"/>
      <c r="AA85" s="899"/>
      <c r="AB85" s="564"/>
      <c r="AC85" s="766"/>
      <c r="AD85" s="435"/>
      <c r="AE85" s="564"/>
      <c r="AF85" s="291"/>
      <c r="AG85" s="291"/>
    </row>
    <row r="86" spans="1:33" s="1" customFormat="1" ht="12" hidden="1" customHeight="1" outlineLevel="1">
      <c r="A86" s="499" t="str">
        <f>'Renewal Rates '!A85</f>
        <v>Class A</v>
      </c>
      <c r="B86" s="438"/>
      <c r="C86" s="435"/>
      <c r="D86" s="435"/>
      <c r="E86" s="435"/>
      <c r="F86" s="435"/>
      <c r="G86" s="564"/>
      <c r="H86" s="435"/>
      <c r="I86" s="435"/>
      <c r="J86" s="564"/>
      <c r="K86" s="435"/>
      <c r="L86" s="435"/>
      <c r="M86" s="564"/>
      <c r="N86" s="766"/>
      <c r="O86" s="435"/>
      <c r="P86" s="564"/>
      <c r="Q86" s="799"/>
      <c r="R86" s="799"/>
      <c r="S86" s="564"/>
      <c r="T86" s="799"/>
      <c r="U86" s="799"/>
      <c r="V86" s="564"/>
      <c r="W86" s="934"/>
      <c r="X86" s="934"/>
      <c r="Y86" s="564"/>
      <c r="Z86" s="899"/>
      <c r="AA86" s="899"/>
      <c r="AB86" s="564"/>
      <c r="AC86" s="766"/>
      <c r="AD86" s="435"/>
      <c r="AE86" s="564"/>
      <c r="AF86" s="291"/>
      <c r="AG86" s="291"/>
    </row>
    <row r="87" spans="1:33" s="1" customFormat="1" ht="12" hidden="1" customHeight="1" outlineLevel="1">
      <c r="A87" s="448" t="s">
        <v>163</v>
      </c>
      <c r="B87" s="551">
        <f>'Renewal Rates '!B86</f>
        <v>0</v>
      </c>
      <c r="C87" s="435">
        <f>'Renewal Rates '!H86</f>
        <v>0</v>
      </c>
      <c r="D87" s="435">
        <f>C87*$B87</f>
        <v>0</v>
      </c>
      <c r="E87" s="766">
        <f>$C87</f>
        <v>0</v>
      </c>
      <c r="F87" s="435">
        <f>E87*$B87</f>
        <v>0</v>
      </c>
      <c r="G87" s="428" t="e">
        <f>E87/$C87-1</f>
        <v>#DIV/0!</v>
      </c>
      <c r="H87" s="435">
        <v>0</v>
      </c>
      <c r="I87" s="435">
        <f>H87*$B87</f>
        <v>0</v>
      </c>
      <c r="J87" s="428" t="e">
        <f>H87/$C87-1</f>
        <v>#DIV/0!</v>
      </c>
      <c r="K87" s="435">
        <v>0</v>
      </c>
      <c r="L87" s="435">
        <f>K87*$B87</f>
        <v>0</v>
      </c>
      <c r="M87" s="428" t="e">
        <f>K87/$C87-1</f>
        <v>#DIV/0!</v>
      </c>
      <c r="N87" s="766">
        <f>$C87</f>
        <v>0</v>
      </c>
      <c r="O87" s="435">
        <f>N87*$B87</f>
        <v>0</v>
      </c>
      <c r="P87" s="428" t="e">
        <f>N87/$C87-1</f>
        <v>#DIV/0!</v>
      </c>
      <c r="Q87" s="799">
        <f>$C87</f>
        <v>0</v>
      </c>
      <c r="R87" s="799">
        <f>Q87*$B87</f>
        <v>0</v>
      </c>
      <c r="S87" s="428" t="e">
        <f>Q87/$C87-1</f>
        <v>#DIV/0!</v>
      </c>
      <c r="T87" s="799">
        <f>$C87</f>
        <v>0</v>
      </c>
      <c r="U87" s="799">
        <f>T87*$B87</f>
        <v>0</v>
      </c>
      <c r="V87" s="428" t="e">
        <f>T87/$C87-1</f>
        <v>#DIV/0!</v>
      </c>
      <c r="W87" s="934">
        <f>$C87</f>
        <v>0</v>
      </c>
      <c r="X87" s="934">
        <f>W87*$B87</f>
        <v>0</v>
      </c>
      <c r="Y87" s="428" t="e">
        <f>W87/$C87-1</f>
        <v>#DIV/0!</v>
      </c>
      <c r="Z87" s="899">
        <f>$C87</f>
        <v>0</v>
      </c>
      <c r="AA87" s="899">
        <f>Z87*$B87</f>
        <v>0</v>
      </c>
      <c r="AB87" s="428" t="e">
        <f>Z87/$C87-1</f>
        <v>#DIV/0!</v>
      </c>
      <c r="AC87" s="766">
        <f>$C87</f>
        <v>0</v>
      </c>
      <c r="AD87" s="435">
        <f>AC87*$B87</f>
        <v>0</v>
      </c>
      <c r="AE87" s="428" t="e">
        <f>AC87/$C87-1</f>
        <v>#DIV/0!</v>
      </c>
      <c r="AF87" s="291"/>
      <c r="AG87" s="291"/>
    </row>
    <row r="88" spans="1:33" s="1" customFormat="1" ht="12" hidden="1" customHeight="1" outlineLevel="1">
      <c r="A88" s="448" t="s">
        <v>164</v>
      </c>
      <c r="B88" s="551">
        <f>'Renewal Rates '!B87</f>
        <v>0</v>
      </c>
      <c r="C88" s="435">
        <f>'Renewal Rates '!H87</f>
        <v>0</v>
      </c>
      <c r="D88" s="435">
        <f>C88*$B88</f>
        <v>0</v>
      </c>
      <c r="E88" s="766">
        <f>$C88</f>
        <v>0</v>
      </c>
      <c r="F88" s="435">
        <f>E88*$B88</f>
        <v>0</v>
      </c>
      <c r="G88" s="428" t="e">
        <f>E88/$C88-1</f>
        <v>#DIV/0!</v>
      </c>
      <c r="H88" s="435">
        <v>0</v>
      </c>
      <c r="I88" s="435">
        <f>H88*$B88</f>
        <v>0</v>
      </c>
      <c r="J88" s="428" t="e">
        <f>H88/$C88-1</f>
        <v>#DIV/0!</v>
      </c>
      <c r="K88" s="435">
        <v>0</v>
      </c>
      <c r="L88" s="435">
        <f>K88*$B88</f>
        <v>0</v>
      </c>
      <c r="M88" s="428" t="e">
        <f>K88/$C88-1</f>
        <v>#DIV/0!</v>
      </c>
      <c r="N88" s="766">
        <f>$C88</f>
        <v>0</v>
      </c>
      <c r="O88" s="435">
        <f>N88*$B88</f>
        <v>0</v>
      </c>
      <c r="P88" s="428" t="e">
        <f>N88/$C88-1</f>
        <v>#DIV/0!</v>
      </c>
      <c r="Q88" s="799">
        <f>$C88</f>
        <v>0</v>
      </c>
      <c r="R88" s="799">
        <f>Q88*$B88</f>
        <v>0</v>
      </c>
      <c r="S88" s="428" t="e">
        <f>Q88/$C88-1</f>
        <v>#DIV/0!</v>
      </c>
      <c r="T88" s="799">
        <f>$C88</f>
        <v>0</v>
      </c>
      <c r="U88" s="799">
        <f>T88*$B88</f>
        <v>0</v>
      </c>
      <c r="V88" s="428" t="e">
        <f>T88/$C88-1</f>
        <v>#DIV/0!</v>
      </c>
      <c r="W88" s="934">
        <f>$C88</f>
        <v>0</v>
      </c>
      <c r="X88" s="934">
        <f>W88*$B88</f>
        <v>0</v>
      </c>
      <c r="Y88" s="428" t="e">
        <f>W88/$C88-1</f>
        <v>#DIV/0!</v>
      </c>
      <c r="Z88" s="899">
        <f>$C88</f>
        <v>0</v>
      </c>
      <c r="AA88" s="899">
        <f>Z88*$B88</f>
        <v>0</v>
      </c>
      <c r="AB88" s="428" t="e">
        <f>Z88/$C88-1</f>
        <v>#DIV/0!</v>
      </c>
      <c r="AC88" s="766">
        <f>$C88</f>
        <v>0</v>
      </c>
      <c r="AD88" s="435">
        <f>AC88*$B88</f>
        <v>0</v>
      </c>
      <c r="AE88" s="428" t="e">
        <f>AC88/$C88-1</f>
        <v>#DIV/0!</v>
      </c>
      <c r="AF88" s="291"/>
      <c r="AG88" s="291"/>
    </row>
    <row r="89" spans="1:33" s="1" customFormat="1" ht="12" hidden="1" customHeight="1" outlineLevel="1">
      <c r="A89" s="499" t="str">
        <f>'Renewal Rates '!A88</f>
        <v>Class B</v>
      </c>
      <c r="B89" s="551"/>
      <c r="C89" s="435"/>
      <c r="D89" s="435"/>
      <c r="E89" s="766"/>
      <c r="F89" s="435"/>
      <c r="G89" s="564"/>
      <c r="H89" s="435"/>
      <c r="I89" s="435"/>
      <c r="J89" s="564"/>
      <c r="K89" s="435"/>
      <c r="L89" s="435"/>
      <c r="M89" s="564"/>
      <c r="N89" s="766"/>
      <c r="O89" s="435"/>
      <c r="P89" s="564"/>
      <c r="Q89" s="799"/>
      <c r="R89" s="799"/>
      <c r="S89" s="564"/>
      <c r="T89" s="799"/>
      <c r="U89" s="799"/>
      <c r="V89" s="564"/>
      <c r="W89" s="934"/>
      <c r="X89" s="934"/>
      <c r="Y89" s="564"/>
      <c r="Z89" s="899"/>
      <c r="AA89" s="899"/>
      <c r="AB89" s="564"/>
      <c r="AC89" s="766"/>
      <c r="AD89" s="435"/>
      <c r="AE89" s="564"/>
      <c r="AF89" s="291"/>
      <c r="AG89" s="291"/>
    </row>
    <row r="90" spans="1:33" s="1" customFormat="1" ht="12" hidden="1" customHeight="1" outlineLevel="1">
      <c r="A90" s="448" t="s">
        <v>163</v>
      </c>
      <c r="B90" s="551">
        <f>'Renewal Rates '!B89</f>
        <v>0</v>
      </c>
      <c r="C90" s="435">
        <f>'Renewal Rates '!H89</f>
        <v>0</v>
      </c>
      <c r="D90" s="435">
        <f>C90*$B90</f>
        <v>0</v>
      </c>
      <c r="E90" s="766">
        <f>$C90</f>
        <v>0</v>
      </c>
      <c r="F90" s="435">
        <f>E90*$B90</f>
        <v>0</v>
      </c>
      <c r="G90" s="428" t="e">
        <f>E90/$C90-1</f>
        <v>#DIV/0!</v>
      </c>
      <c r="H90" s="435">
        <v>0</v>
      </c>
      <c r="I90" s="435">
        <f>H90*$B90</f>
        <v>0</v>
      </c>
      <c r="J90" s="428" t="e">
        <f>H90/$C90-1</f>
        <v>#DIV/0!</v>
      </c>
      <c r="K90" s="435">
        <v>0</v>
      </c>
      <c r="L90" s="435">
        <f>K90*$B90</f>
        <v>0</v>
      </c>
      <c r="M90" s="428" t="e">
        <f>K90/$C90-1</f>
        <v>#DIV/0!</v>
      </c>
      <c r="N90" s="766">
        <f>$C90</f>
        <v>0</v>
      </c>
      <c r="O90" s="435">
        <f>N90*$B90</f>
        <v>0</v>
      </c>
      <c r="P90" s="428" t="e">
        <f>N90/$C90-1</f>
        <v>#DIV/0!</v>
      </c>
      <c r="Q90" s="799">
        <f>$C90</f>
        <v>0</v>
      </c>
      <c r="R90" s="799">
        <f>Q90*$B90</f>
        <v>0</v>
      </c>
      <c r="S90" s="428" t="e">
        <f>Q90/$C90-1</f>
        <v>#DIV/0!</v>
      </c>
      <c r="T90" s="799">
        <f>$C90</f>
        <v>0</v>
      </c>
      <c r="U90" s="799">
        <f>T90*$B90</f>
        <v>0</v>
      </c>
      <c r="V90" s="428" t="e">
        <f>T90/$C90-1</f>
        <v>#DIV/0!</v>
      </c>
      <c r="W90" s="934">
        <f>$C90</f>
        <v>0</v>
      </c>
      <c r="X90" s="934">
        <f>W90*$B90</f>
        <v>0</v>
      </c>
      <c r="Y90" s="428" t="e">
        <f>W90/$C90-1</f>
        <v>#DIV/0!</v>
      </c>
      <c r="Z90" s="899">
        <f>$C90</f>
        <v>0</v>
      </c>
      <c r="AA90" s="899">
        <f>Z90*$B90</f>
        <v>0</v>
      </c>
      <c r="AB90" s="428" t="e">
        <f>Z90/$C90-1</f>
        <v>#DIV/0!</v>
      </c>
      <c r="AC90" s="766">
        <f>$C90</f>
        <v>0</v>
      </c>
      <c r="AD90" s="435">
        <f>AC90*$B90</f>
        <v>0</v>
      </c>
      <c r="AE90" s="428" t="e">
        <f>AC90/$C90-1</f>
        <v>#DIV/0!</v>
      </c>
      <c r="AF90" s="291"/>
      <c r="AG90" s="291"/>
    </row>
    <row r="91" spans="1:33" s="1" customFormat="1" ht="12" hidden="1" customHeight="1" outlineLevel="1">
      <c r="A91" s="448" t="s">
        <v>164</v>
      </c>
      <c r="B91" s="551">
        <f>'Renewal Rates '!B90</f>
        <v>0</v>
      </c>
      <c r="C91" s="435">
        <f>'Renewal Rates '!H90</f>
        <v>0</v>
      </c>
      <c r="D91" s="435">
        <f>C91*$B91</f>
        <v>0</v>
      </c>
      <c r="E91" s="766">
        <f t="shared" ref="E91" si="184">$C91</f>
        <v>0</v>
      </c>
      <c r="F91" s="435">
        <f>E91*$B91</f>
        <v>0</v>
      </c>
      <c r="G91" s="428" t="e">
        <f>E91/$C91-1</f>
        <v>#DIV/0!</v>
      </c>
      <c r="H91" s="435">
        <v>0</v>
      </c>
      <c r="I91" s="435">
        <f>H91*$B91</f>
        <v>0</v>
      </c>
      <c r="J91" s="428" t="e">
        <f>H91/$C91-1</f>
        <v>#DIV/0!</v>
      </c>
      <c r="K91" s="435">
        <v>0</v>
      </c>
      <c r="L91" s="435">
        <f>K91*$B91</f>
        <v>0</v>
      </c>
      <c r="M91" s="428" t="e">
        <f>K91/$C91-1</f>
        <v>#DIV/0!</v>
      </c>
      <c r="N91" s="766">
        <f t="shared" ref="N91" si="185">$C91</f>
        <v>0</v>
      </c>
      <c r="O91" s="435">
        <f>N91*$B91</f>
        <v>0</v>
      </c>
      <c r="P91" s="428" t="e">
        <f>N91/$C91-1</f>
        <v>#DIV/0!</v>
      </c>
      <c r="Q91" s="799">
        <f t="shared" ref="Q91" si="186">$C91</f>
        <v>0</v>
      </c>
      <c r="R91" s="799">
        <f>Q91*$B91</f>
        <v>0</v>
      </c>
      <c r="S91" s="428" t="e">
        <f>Q91/$C91-1</f>
        <v>#DIV/0!</v>
      </c>
      <c r="T91" s="799">
        <f t="shared" ref="T91" si="187">$C91</f>
        <v>0</v>
      </c>
      <c r="U91" s="799">
        <f>T91*$B91</f>
        <v>0</v>
      </c>
      <c r="V91" s="428" t="e">
        <f>T91/$C91-1</f>
        <v>#DIV/0!</v>
      </c>
      <c r="W91" s="934">
        <f t="shared" ref="W91" si="188">$C91</f>
        <v>0</v>
      </c>
      <c r="X91" s="934">
        <f>W91*$B91</f>
        <v>0</v>
      </c>
      <c r="Y91" s="428" t="e">
        <f>W91/$C91-1</f>
        <v>#DIV/0!</v>
      </c>
      <c r="Z91" s="899">
        <f t="shared" ref="Z91" si="189">$C91</f>
        <v>0</v>
      </c>
      <c r="AA91" s="899">
        <f>Z91*$B91</f>
        <v>0</v>
      </c>
      <c r="AB91" s="428" t="e">
        <f>Z91/$C91-1</f>
        <v>#DIV/0!</v>
      </c>
      <c r="AC91" s="766">
        <f t="shared" ref="AC91" si="190">$C91</f>
        <v>0</v>
      </c>
      <c r="AD91" s="435">
        <f>AC91*$B91</f>
        <v>0</v>
      </c>
      <c r="AE91" s="428" t="e">
        <f>AC91/$C91-1</f>
        <v>#DIV/0!</v>
      </c>
      <c r="AF91" s="291"/>
      <c r="AG91" s="291"/>
    </row>
    <row r="92" spans="1:33" s="1" customFormat="1" ht="12" hidden="1" customHeight="1" outlineLevel="1">
      <c r="A92" s="499" t="str">
        <f>'Renewal Rates '!A91</f>
        <v>Class C</v>
      </c>
      <c r="B92" s="551"/>
      <c r="C92" s="435"/>
      <c r="D92" s="435"/>
      <c r="E92" s="766"/>
      <c r="F92" s="435"/>
      <c r="G92" s="564"/>
      <c r="H92" s="435"/>
      <c r="I92" s="435"/>
      <c r="J92" s="564"/>
      <c r="K92" s="435"/>
      <c r="L92" s="435"/>
      <c r="M92" s="564"/>
      <c r="N92" s="766"/>
      <c r="O92" s="435"/>
      <c r="P92" s="564"/>
      <c r="Q92" s="799"/>
      <c r="R92" s="799"/>
      <c r="S92" s="564"/>
      <c r="T92" s="799"/>
      <c r="U92" s="799"/>
      <c r="V92" s="564"/>
      <c r="W92" s="934"/>
      <c r="X92" s="934"/>
      <c r="Y92" s="564"/>
      <c r="Z92" s="899"/>
      <c r="AA92" s="899"/>
      <c r="AB92" s="564"/>
      <c r="AC92" s="766"/>
      <c r="AD92" s="435"/>
      <c r="AE92" s="564"/>
      <c r="AF92" s="291"/>
      <c r="AG92" s="291"/>
    </row>
    <row r="93" spans="1:33" s="1" customFormat="1" ht="12" hidden="1" customHeight="1" outlineLevel="1">
      <c r="A93" s="448" t="s">
        <v>163</v>
      </c>
      <c r="B93" s="551">
        <f>'Renewal Rates '!B92</f>
        <v>0</v>
      </c>
      <c r="C93" s="435">
        <f>'Renewal Rates '!H92</f>
        <v>0</v>
      </c>
      <c r="D93" s="435">
        <f>C93*$B93</f>
        <v>0</v>
      </c>
      <c r="E93" s="766">
        <f t="shared" ref="E93:E100" si="191">$C93</f>
        <v>0</v>
      </c>
      <c r="F93" s="435">
        <f>E93*$B93</f>
        <v>0</v>
      </c>
      <c r="G93" s="428" t="e">
        <f>E93/$C93-1</f>
        <v>#DIV/0!</v>
      </c>
      <c r="H93" s="435">
        <v>0</v>
      </c>
      <c r="I93" s="435">
        <f>H93*$B93</f>
        <v>0</v>
      </c>
      <c r="J93" s="428" t="e">
        <f>H93/$C93-1</f>
        <v>#DIV/0!</v>
      </c>
      <c r="K93" s="435">
        <v>0</v>
      </c>
      <c r="L93" s="435">
        <f>K93*$B93</f>
        <v>0</v>
      </c>
      <c r="M93" s="428" t="e">
        <f>K93/$C93-1</f>
        <v>#DIV/0!</v>
      </c>
      <c r="N93" s="766">
        <f t="shared" ref="N93:N100" si="192">$C93</f>
        <v>0</v>
      </c>
      <c r="O93" s="435">
        <f>N93*$B93</f>
        <v>0</v>
      </c>
      <c r="P93" s="428" t="e">
        <f>N93/$C93-1</f>
        <v>#DIV/0!</v>
      </c>
      <c r="Q93" s="799">
        <f t="shared" ref="Q93:Q100" si="193">$C93</f>
        <v>0</v>
      </c>
      <c r="R93" s="799">
        <f>Q93*$B93</f>
        <v>0</v>
      </c>
      <c r="S93" s="428" t="e">
        <f>Q93/$C93-1</f>
        <v>#DIV/0!</v>
      </c>
      <c r="T93" s="799">
        <f t="shared" ref="T93:T100" si="194">$C93</f>
        <v>0</v>
      </c>
      <c r="U93" s="799">
        <f>T93*$B93</f>
        <v>0</v>
      </c>
      <c r="V93" s="428" t="e">
        <f>T93/$C93-1</f>
        <v>#DIV/0!</v>
      </c>
      <c r="W93" s="934">
        <f t="shared" ref="W93:W100" si="195">$C93</f>
        <v>0</v>
      </c>
      <c r="X93" s="934">
        <f>W93*$B93</f>
        <v>0</v>
      </c>
      <c r="Y93" s="428" t="e">
        <f>W93/$C93-1</f>
        <v>#DIV/0!</v>
      </c>
      <c r="Z93" s="899">
        <f t="shared" ref="Z93:Z100" si="196">$C93</f>
        <v>0</v>
      </c>
      <c r="AA93" s="899">
        <f>Z93*$B93</f>
        <v>0</v>
      </c>
      <c r="AB93" s="428" t="e">
        <f>Z93/$C93-1</f>
        <v>#DIV/0!</v>
      </c>
      <c r="AC93" s="766">
        <f t="shared" ref="AC93:AC100" si="197">$C93</f>
        <v>0</v>
      </c>
      <c r="AD93" s="435">
        <f>AC93*$B93</f>
        <v>0</v>
      </c>
      <c r="AE93" s="428" t="e">
        <f>AC93/$C93-1</f>
        <v>#DIV/0!</v>
      </c>
      <c r="AF93" s="291"/>
      <c r="AG93" s="291"/>
    </row>
    <row r="94" spans="1:33" s="1" customFormat="1" ht="12" hidden="1" customHeight="1" outlineLevel="1">
      <c r="A94" s="448" t="s">
        <v>164</v>
      </c>
      <c r="B94" s="551">
        <f>'Renewal Rates '!B93</f>
        <v>0</v>
      </c>
      <c r="C94" s="435">
        <f>'Renewal Rates '!H93</f>
        <v>0</v>
      </c>
      <c r="D94" s="435">
        <f>C94*$B94</f>
        <v>0</v>
      </c>
      <c r="E94" s="766">
        <f t="shared" si="191"/>
        <v>0</v>
      </c>
      <c r="F94" s="435">
        <f>E94*$B94</f>
        <v>0</v>
      </c>
      <c r="G94" s="428" t="e">
        <f>E94/$C94-1</f>
        <v>#DIV/0!</v>
      </c>
      <c r="H94" s="435">
        <v>0</v>
      </c>
      <c r="I94" s="435">
        <f>H94*$B94</f>
        <v>0</v>
      </c>
      <c r="J94" s="428" t="e">
        <f>H94/$C94-1</f>
        <v>#DIV/0!</v>
      </c>
      <c r="K94" s="435">
        <v>0</v>
      </c>
      <c r="L94" s="435">
        <f>K94*$B94</f>
        <v>0</v>
      </c>
      <c r="M94" s="428" t="e">
        <f>K94/$C94-1</f>
        <v>#DIV/0!</v>
      </c>
      <c r="N94" s="766">
        <f t="shared" si="192"/>
        <v>0</v>
      </c>
      <c r="O94" s="435">
        <f>N94*$B94</f>
        <v>0</v>
      </c>
      <c r="P94" s="428" t="e">
        <f>N94/$C94-1</f>
        <v>#DIV/0!</v>
      </c>
      <c r="Q94" s="799">
        <f t="shared" si="193"/>
        <v>0</v>
      </c>
      <c r="R94" s="799">
        <f>Q94*$B94</f>
        <v>0</v>
      </c>
      <c r="S94" s="428" t="e">
        <f>Q94/$C94-1</f>
        <v>#DIV/0!</v>
      </c>
      <c r="T94" s="799">
        <f t="shared" si="194"/>
        <v>0</v>
      </c>
      <c r="U94" s="799">
        <f>T94*$B94</f>
        <v>0</v>
      </c>
      <c r="V94" s="428" t="e">
        <f>T94/$C94-1</f>
        <v>#DIV/0!</v>
      </c>
      <c r="W94" s="934">
        <f t="shared" si="195"/>
        <v>0</v>
      </c>
      <c r="X94" s="934">
        <f>W94*$B94</f>
        <v>0</v>
      </c>
      <c r="Y94" s="428" t="e">
        <f>W94/$C94-1</f>
        <v>#DIV/0!</v>
      </c>
      <c r="Z94" s="899">
        <f t="shared" si="196"/>
        <v>0</v>
      </c>
      <c r="AA94" s="899">
        <f>Z94*$B94</f>
        <v>0</v>
      </c>
      <c r="AB94" s="428" t="e">
        <f>Z94/$C94-1</f>
        <v>#DIV/0!</v>
      </c>
      <c r="AC94" s="766">
        <f t="shared" si="197"/>
        <v>0</v>
      </c>
      <c r="AD94" s="435">
        <f>AC94*$B94</f>
        <v>0</v>
      </c>
      <c r="AE94" s="428" t="e">
        <f>AC94/$C94-1</f>
        <v>#DIV/0!</v>
      </c>
      <c r="AF94" s="291"/>
      <c r="AG94" s="291"/>
    </row>
    <row r="95" spans="1:33" s="1" customFormat="1" ht="12" hidden="1" customHeight="1" outlineLevel="1">
      <c r="A95" s="499" t="str">
        <f>'Renewal Rates '!A94</f>
        <v>Class D</v>
      </c>
      <c r="B95" s="551"/>
      <c r="C95" s="435"/>
      <c r="D95" s="435"/>
      <c r="E95" s="766"/>
      <c r="F95" s="435"/>
      <c r="G95" s="564"/>
      <c r="H95" s="435"/>
      <c r="I95" s="435"/>
      <c r="J95" s="564"/>
      <c r="K95" s="435"/>
      <c r="L95" s="435"/>
      <c r="M95" s="564"/>
      <c r="N95" s="766"/>
      <c r="O95" s="435"/>
      <c r="P95" s="564"/>
      <c r="Q95" s="799"/>
      <c r="R95" s="799"/>
      <c r="S95" s="564"/>
      <c r="T95" s="799"/>
      <c r="U95" s="799"/>
      <c r="V95" s="564"/>
      <c r="W95" s="934"/>
      <c r="X95" s="934"/>
      <c r="Y95" s="564"/>
      <c r="Z95" s="899"/>
      <c r="AA95" s="899"/>
      <c r="AB95" s="564"/>
      <c r="AC95" s="766"/>
      <c r="AD95" s="435"/>
      <c r="AE95" s="564"/>
      <c r="AF95" s="291"/>
      <c r="AG95" s="291"/>
    </row>
    <row r="96" spans="1:33" s="1" customFormat="1" ht="12" hidden="1" customHeight="1" outlineLevel="1">
      <c r="A96" s="448" t="s">
        <v>163</v>
      </c>
      <c r="B96" s="551">
        <f>'Renewal Rates '!B95</f>
        <v>0</v>
      </c>
      <c r="C96" s="435">
        <f>'Renewal Rates '!H95</f>
        <v>0</v>
      </c>
      <c r="D96" s="435">
        <f>C96*$B96</f>
        <v>0</v>
      </c>
      <c r="E96" s="766">
        <f t="shared" si="191"/>
        <v>0</v>
      </c>
      <c r="F96" s="435">
        <f>E96*$B96</f>
        <v>0</v>
      </c>
      <c r="G96" s="428" t="e">
        <f>E96/$C96-1</f>
        <v>#DIV/0!</v>
      </c>
      <c r="H96" s="435">
        <v>0</v>
      </c>
      <c r="I96" s="435">
        <f>H96*$B96</f>
        <v>0</v>
      </c>
      <c r="J96" s="428" t="e">
        <f>H96/$C96-1</f>
        <v>#DIV/0!</v>
      </c>
      <c r="K96" s="435">
        <v>0</v>
      </c>
      <c r="L96" s="435">
        <f>K96*$B96</f>
        <v>0</v>
      </c>
      <c r="M96" s="428" t="e">
        <f>K96/$C96-1</f>
        <v>#DIV/0!</v>
      </c>
      <c r="N96" s="766">
        <f t="shared" si="192"/>
        <v>0</v>
      </c>
      <c r="O96" s="435">
        <f>N96*$B96</f>
        <v>0</v>
      </c>
      <c r="P96" s="428" t="e">
        <f>N96/$C96-1</f>
        <v>#DIV/0!</v>
      </c>
      <c r="Q96" s="799">
        <f t="shared" si="193"/>
        <v>0</v>
      </c>
      <c r="R96" s="799">
        <f>Q96*$B96</f>
        <v>0</v>
      </c>
      <c r="S96" s="428" t="e">
        <f>Q96/$C96-1</f>
        <v>#DIV/0!</v>
      </c>
      <c r="T96" s="799">
        <f t="shared" si="194"/>
        <v>0</v>
      </c>
      <c r="U96" s="799">
        <f>T96*$B96</f>
        <v>0</v>
      </c>
      <c r="V96" s="428" t="e">
        <f>T96/$C96-1</f>
        <v>#DIV/0!</v>
      </c>
      <c r="W96" s="934">
        <f t="shared" si="195"/>
        <v>0</v>
      </c>
      <c r="X96" s="934">
        <f>W96*$B96</f>
        <v>0</v>
      </c>
      <c r="Y96" s="428" t="e">
        <f>W96/$C96-1</f>
        <v>#DIV/0!</v>
      </c>
      <c r="Z96" s="899">
        <f t="shared" si="196"/>
        <v>0</v>
      </c>
      <c r="AA96" s="899">
        <f>Z96*$B96</f>
        <v>0</v>
      </c>
      <c r="AB96" s="428" t="e">
        <f>Z96/$C96-1</f>
        <v>#DIV/0!</v>
      </c>
      <c r="AC96" s="766">
        <f t="shared" si="197"/>
        <v>0</v>
      </c>
      <c r="AD96" s="435">
        <f>AC96*$B96</f>
        <v>0</v>
      </c>
      <c r="AE96" s="428" t="e">
        <f>AC96/$C96-1</f>
        <v>#DIV/0!</v>
      </c>
      <c r="AF96" s="291"/>
      <c r="AG96" s="291"/>
    </row>
    <row r="97" spans="1:33" s="1" customFormat="1" ht="12" hidden="1" customHeight="1" outlineLevel="1">
      <c r="A97" s="448" t="s">
        <v>164</v>
      </c>
      <c r="B97" s="551">
        <f>'Renewal Rates '!B96</f>
        <v>0</v>
      </c>
      <c r="C97" s="435">
        <f>'Renewal Rates '!H96</f>
        <v>0</v>
      </c>
      <c r="D97" s="435">
        <f>C97*$B97</f>
        <v>0</v>
      </c>
      <c r="E97" s="766">
        <f t="shared" si="191"/>
        <v>0</v>
      </c>
      <c r="F97" s="435">
        <f>E97*$B97</f>
        <v>0</v>
      </c>
      <c r="G97" s="428" t="e">
        <f>E97/$C97-1</f>
        <v>#DIV/0!</v>
      </c>
      <c r="H97" s="435">
        <v>0</v>
      </c>
      <c r="I97" s="435">
        <f>H97*$B97</f>
        <v>0</v>
      </c>
      <c r="J97" s="428" t="e">
        <f>H97/$C97-1</f>
        <v>#DIV/0!</v>
      </c>
      <c r="K97" s="435">
        <v>0</v>
      </c>
      <c r="L97" s="435">
        <f>K97*$B97</f>
        <v>0</v>
      </c>
      <c r="M97" s="428" t="e">
        <f>K97/$C97-1</f>
        <v>#DIV/0!</v>
      </c>
      <c r="N97" s="766">
        <f t="shared" si="192"/>
        <v>0</v>
      </c>
      <c r="O97" s="435">
        <f>N97*$B97</f>
        <v>0</v>
      </c>
      <c r="P97" s="428" t="e">
        <f>N97/$C97-1</f>
        <v>#DIV/0!</v>
      </c>
      <c r="Q97" s="799">
        <f t="shared" si="193"/>
        <v>0</v>
      </c>
      <c r="R97" s="799">
        <f>Q97*$B97</f>
        <v>0</v>
      </c>
      <c r="S97" s="428" t="e">
        <f>Q97/$C97-1</f>
        <v>#DIV/0!</v>
      </c>
      <c r="T97" s="799">
        <f t="shared" si="194"/>
        <v>0</v>
      </c>
      <c r="U97" s="799">
        <f>T97*$B97</f>
        <v>0</v>
      </c>
      <c r="V97" s="428" t="e">
        <f>T97/$C97-1</f>
        <v>#DIV/0!</v>
      </c>
      <c r="W97" s="934">
        <f t="shared" si="195"/>
        <v>0</v>
      </c>
      <c r="X97" s="934">
        <f>W97*$B97</f>
        <v>0</v>
      </c>
      <c r="Y97" s="428" t="e">
        <f>W97/$C97-1</f>
        <v>#DIV/0!</v>
      </c>
      <c r="Z97" s="899">
        <f t="shared" si="196"/>
        <v>0</v>
      </c>
      <c r="AA97" s="899">
        <f>Z97*$B97</f>
        <v>0</v>
      </c>
      <c r="AB97" s="428" t="e">
        <f>Z97/$C97-1</f>
        <v>#DIV/0!</v>
      </c>
      <c r="AC97" s="766">
        <f t="shared" si="197"/>
        <v>0</v>
      </c>
      <c r="AD97" s="435">
        <f>AC97*$B97</f>
        <v>0</v>
      </c>
      <c r="AE97" s="428" t="e">
        <f>AC97/$C97-1</f>
        <v>#DIV/0!</v>
      </c>
      <c r="AF97" s="291"/>
      <c r="AG97" s="291"/>
    </row>
    <row r="98" spans="1:33" s="1" customFormat="1" ht="12" customHeight="1" collapsed="1">
      <c r="A98" s="499" t="str">
        <f>'Renewal Rates '!A97</f>
        <v>All Employees</v>
      </c>
      <c r="B98" s="551"/>
      <c r="C98" s="435"/>
      <c r="D98" s="435"/>
      <c r="E98" s="766"/>
      <c r="F98" s="435"/>
      <c r="G98" s="564"/>
      <c r="H98" s="435"/>
      <c r="I98" s="435"/>
      <c r="J98" s="564"/>
      <c r="K98" s="435"/>
      <c r="L98" s="435"/>
      <c r="M98" s="564"/>
      <c r="N98" s="766"/>
      <c r="O98" s="435"/>
      <c r="P98" s="564"/>
      <c r="Q98" s="799"/>
      <c r="R98" s="799"/>
      <c r="S98" s="564"/>
      <c r="T98" s="799"/>
      <c r="U98" s="799"/>
      <c r="V98" s="564"/>
      <c r="W98" s="934"/>
      <c r="X98" s="934"/>
      <c r="Y98" s="564"/>
      <c r="Z98" s="899"/>
      <c r="AA98" s="899"/>
      <c r="AB98" s="564"/>
      <c r="AC98" s="766"/>
      <c r="AD98" s="435"/>
      <c r="AE98" s="564"/>
      <c r="AF98" s="291"/>
      <c r="AG98" s="291"/>
    </row>
    <row r="99" spans="1:33" s="1" customFormat="1" ht="12" customHeight="1">
      <c r="A99" s="448" t="s">
        <v>163</v>
      </c>
      <c r="B99" s="551">
        <f>'Renewal Rates '!B98</f>
        <v>0</v>
      </c>
      <c r="C99" s="435">
        <f>'Renewal Rates '!H98</f>
        <v>0</v>
      </c>
      <c r="D99" s="435">
        <f>C99*$B99</f>
        <v>0</v>
      </c>
      <c r="E99" s="766">
        <f t="shared" si="191"/>
        <v>0</v>
      </c>
      <c r="F99" s="435">
        <f>E99*$B99</f>
        <v>0</v>
      </c>
      <c r="G99" s="428" t="e">
        <f>E99/$C99-1</f>
        <v>#DIV/0!</v>
      </c>
      <c r="H99" s="435">
        <v>0</v>
      </c>
      <c r="I99" s="435">
        <f>H99*$B99</f>
        <v>0</v>
      </c>
      <c r="J99" s="428" t="e">
        <f>H99/$C99-1</f>
        <v>#DIV/0!</v>
      </c>
      <c r="K99" s="435">
        <v>0</v>
      </c>
      <c r="L99" s="435">
        <f>K99*$B99</f>
        <v>0</v>
      </c>
      <c r="M99" s="428" t="e">
        <f>K99/$C99-1</f>
        <v>#DIV/0!</v>
      </c>
      <c r="N99" s="766">
        <f t="shared" si="192"/>
        <v>0</v>
      </c>
      <c r="O99" s="435">
        <f>N99*$B99</f>
        <v>0</v>
      </c>
      <c r="P99" s="428" t="e">
        <f>N99/$C99-1</f>
        <v>#DIV/0!</v>
      </c>
      <c r="Q99" s="799">
        <f t="shared" si="193"/>
        <v>0</v>
      </c>
      <c r="R99" s="799">
        <f>Q99*$B99</f>
        <v>0</v>
      </c>
      <c r="S99" s="428" t="e">
        <f>Q99/$C99-1</f>
        <v>#DIV/0!</v>
      </c>
      <c r="T99" s="799">
        <f t="shared" si="194"/>
        <v>0</v>
      </c>
      <c r="U99" s="799">
        <f>T99*$B99</f>
        <v>0</v>
      </c>
      <c r="V99" s="428" t="e">
        <f>T99/$C99-1</f>
        <v>#DIV/0!</v>
      </c>
      <c r="W99" s="934">
        <f t="shared" si="195"/>
        <v>0</v>
      </c>
      <c r="X99" s="934">
        <f>W99*$B99</f>
        <v>0</v>
      </c>
      <c r="Y99" s="428" t="e">
        <f>W99/$C99-1</f>
        <v>#DIV/0!</v>
      </c>
      <c r="Z99" s="899">
        <f t="shared" si="196"/>
        <v>0</v>
      </c>
      <c r="AA99" s="899">
        <f>Z99*$B99</f>
        <v>0</v>
      </c>
      <c r="AB99" s="428" t="e">
        <f>Z99/$C99-1</f>
        <v>#DIV/0!</v>
      </c>
      <c r="AC99" s="766">
        <f t="shared" si="197"/>
        <v>0</v>
      </c>
      <c r="AD99" s="435">
        <f>AC99*$B99</f>
        <v>0</v>
      </c>
      <c r="AE99" s="428" t="e">
        <f>AC99/$C99-1</f>
        <v>#DIV/0!</v>
      </c>
      <c r="AF99" s="291"/>
      <c r="AG99" s="291"/>
    </row>
    <row r="100" spans="1:33" s="1" customFormat="1" ht="12" customHeight="1">
      <c r="A100" s="448" t="s">
        <v>164</v>
      </c>
      <c r="B100" s="551">
        <f>'Renewal Rates '!B99</f>
        <v>0</v>
      </c>
      <c r="C100" s="435">
        <f>'Renewal Rates '!H99</f>
        <v>0</v>
      </c>
      <c r="D100" s="435">
        <f>C100*$B100</f>
        <v>0</v>
      </c>
      <c r="E100" s="766">
        <f t="shared" si="191"/>
        <v>0</v>
      </c>
      <c r="F100" s="435">
        <f>E100*$B100</f>
        <v>0</v>
      </c>
      <c r="G100" s="428" t="e">
        <f>E100/$C100-1</f>
        <v>#DIV/0!</v>
      </c>
      <c r="H100" s="435">
        <v>0</v>
      </c>
      <c r="I100" s="435">
        <f>H100*$B100</f>
        <v>0</v>
      </c>
      <c r="J100" s="428" t="e">
        <f>H100/$C100-1</f>
        <v>#DIV/0!</v>
      </c>
      <c r="K100" s="435">
        <v>0</v>
      </c>
      <c r="L100" s="435">
        <f>K100*$B100</f>
        <v>0</v>
      </c>
      <c r="M100" s="428" t="e">
        <f>K100/$C100-1</f>
        <v>#DIV/0!</v>
      </c>
      <c r="N100" s="766">
        <f t="shared" si="192"/>
        <v>0</v>
      </c>
      <c r="O100" s="435">
        <f>N100*$B100</f>
        <v>0</v>
      </c>
      <c r="P100" s="428" t="e">
        <f>N100/$C100-1</f>
        <v>#DIV/0!</v>
      </c>
      <c r="Q100" s="799">
        <f t="shared" si="193"/>
        <v>0</v>
      </c>
      <c r="R100" s="799">
        <f>Q100*$B100</f>
        <v>0</v>
      </c>
      <c r="S100" s="428" t="e">
        <f>Q100/$C100-1</f>
        <v>#DIV/0!</v>
      </c>
      <c r="T100" s="799">
        <f t="shared" si="194"/>
        <v>0</v>
      </c>
      <c r="U100" s="799">
        <f>T100*$B100</f>
        <v>0</v>
      </c>
      <c r="V100" s="428" t="e">
        <f>T100/$C100-1</f>
        <v>#DIV/0!</v>
      </c>
      <c r="W100" s="934">
        <f t="shared" si="195"/>
        <v>0</v>
      </c>
      <c r="X100" s="934">
        <f>W100*$B100</f>
        <v>0</v>
      </c>
      <c r="Y100" s="428" t="e">
        <f>W100/$C100-1</f>
        <v>#DIV/0!</v>
      </c>
      <c r="Z100" s="899">
        <f t="shared" si="196"/>
        <v>0</v>
      </c>
      <c r="AA100" s="899">
        <f>Z100*$B100</f>
        <v>0</v>
      </c>
      <c r="AB100" s="428" t="e">
        <f>Z100/$C100-1</f>
        <v>#DIV/0!</v>
      </c>
      <c r="AC100" s="766">
        <f t="shared" si="197"/>
        <v>0</v>
      </c>
      <c r="AD100" s="435">
        <f>AC100*$B100</f>
        <v>0</v>
      </c>
      <c r="AE100" s="428" t="e">
        <f>AC100/$C100-1</f>
        <v>#DIV/0!</v>
      </c>
      <c r="AF100" s="291"/>
      <c r="AG100" s="291"/>
    </row>
    <row r="101" spans="1:33" s="1" customFormat="1" ht="12" customHeight="1">
      <c r="A101" s="448" t="s">
        <v>684</v>
      </c>
      <c r="B101" s="541"/>
      <c r="C101" s="542"/>
      <c r="D101" s="542">
        <f>SUM(D87:D100)</f>
        <v>0</v>
      </c>
      <c r="E101" s="542"/>
      <c r="F101" s="542">
        <f>SUM(F87:F100)</f>
        <v>0</v>
      </c>
      <c r="G101" s="448"/>
      <c r="H101" s="542"/>
      <c r="I101" s="542">
        <f>SUM(I87:I100)</f>
        <v>0</v>
      </c>
      <c r="J101" s="448"/>
      <c r="K101" s="542"/>
      <c r="L101" s="542">
        <f>SUM(L87:L100)</f>
        <v>0</v>
      </c>
      <c r="M101" s="448"/>
      <c r="N101" s="542"/>
      <c r="O101" s="542">
        <f>SUM(O87:O100)</f>
        <v>0</v>
      </c>
      <c r="P101" s="448"/>
      <c r="Q101" s="542"/>
      <c r="R101" s="542">
        <f>SUM(R87:R100)</f>
        <v>0</v>
      </c>
      <c r="S101" s="448"/>
      <c r="T101" s="542"/>
      <c r="U101" s="542">
        <f>SUM(U87:U100)</f>
        <v>0</v>
      </c>
      <c r="V101" s="448"/>
      <c r="W101" s="542"/>
      <c r="X101" s="542">
        <f>SUM(X87:X100)</f>
        <v>0</v>
      </c>
      <c r="Y101" s="448"/>
      <c r="Z101" s="542"/>
      <c r="AA101" s="542">
        <f>SUM(AA87:AA100)</f>
        <v>0</v>
      </c>
      <c r="AB101" s="448"/>
      <c r="AC101" s="542"/>
      <c r="AD101" s="542">
        <f>SUM(AD87:AD100)</f>
        <v>0</v>
      </c>
      <c r="AE101" s="448"/>
      <c r="AF101" s="291"/>
      <c r="AG101" s="291"/>
    </row>
    <row r="102" spans="1:33" s="1" customFormat="1" ht="4.5" customHeight="1">
      <c r="A102" s="731"/>
      <c r="B102" s="732"/>
      <c r="C102" s="732"/>
      <c r="D102" s="732"/>
      <c r="E102" s="732"/>
      <c r="F102" s="732"/>
      <c r="G102" s="732"/>
      <c r="H102" s="732"/>
      <c r="I102" s="732"/>
      <c r="J102" s="732"/>
      <c r="K102" s="732"/>
      <c r="L102" s="732"/>
      <c r="M102" s="732"/>
      <c r="N102" s="732"/>
      <c r="O102" s="732"/>
      <c r="P102" s="732"/>
      <c r="Q102" s="732"/>
      <c r="R102" s="732"/>
      <c r="S102" s="732"/>
      <c r="T102" s="732"/>
      <c r="U102" s="732"/>
      <c r="V102" s="732"/>
      <c r="W102" s="732"/>
      <c r="X102" s="732"/>
      <c r="Y102" s="732"/>
      <c r="Z102" s="732"/>
      <c r="AA102" s="732"/>
      <c r="AB102" s="732"/>
      <c r="AC102" s="732"/>
      <c r="AD102" s="732"/>
      <c r="AE102" s="733"/>
      <c r="AF102" s="291"/>
      <c r="AG102" s="291"/>
    </row>
    <row r="103" spans="1:33" s="1" customFormat="1" ht="12" customHeight="1">
      <c r="A103" s="448" t="s">
        <v>432</v>
      </c>
      <c r="B103" s="438"/>
      <c r="C103" s="435"/>
      <c r="D103" s="435"/>
      <c r="E103" s="435"/>
      <c r="F103" s="435"/>
      <c r="G103" s="564"/>
      <c r="H103" s="435"/>
      <c r="I103" s="435"/>
      <c r="J103" s="564"/>
      <c r="K103" s="435"/>
      <c r="L103" s="435"/>
      <c r="M103" s="564"/>
      <c r="N103" s="766"/>
      <c r="O103" s="435"/>
      <c r="P103" s="564"/>
      <c r="Q103" s="799"/>
      <c r="R103" s="799"/>
      <c r="S103" s="564"/>
      <c r="T103" s="799"/>
      <c r="U103" s="799"/>
      <c r="V103" s="564"/>
      <c r="W103" s="934"/>
      <c r="X103" s="934"/>
      <c r="Y103" s="564"/>
      <c r="Z103" s="899"/>
      <c r="AA103" s="899"/>
      <c r="AB103" s="564"/>
      <c r="AC103" s="766"/>
      <c r="AD103" s="435"/>
      <c r="AE103" s="564"/>
      <c r="AF103" s="291"/>
      <c r="AG103" s="291"/>
    </row>
    <row r="104" spans="1:33" s="1" customFormat="1" ht="12" hidden="1" customHeight="1" outlineLevel="1">
      <c r="A104" s="499" t="str">
        <f>'Renewal Rates '!A102</f>
        <v>Class A</v>
      </c>
      <c r="B104" s="438"/>
      <c r="C104" s="435"/>
      <c r="D104" s="435"/>
      <c r="E104" s="435"/>
      <c r="F104" s="435"/>
      <c r="G104" s="564"/>
      <c r="H104" s="435"/>
      <c r="I104" s="435"/>
      <c r="J104" s="564"/>
      <c r="K104" s="435"/>
      <c r="L104" s="435"/>
      <c r="M104" s="564"/>
      <c r="N104" s="766"/>
      <c r="O104" s="435"/>
      <c r="P104" s="564"/>
      <c r="Q104" s="799"/>
      <c r="R104" s="799"/>
      <c r="S104" s="564"/>
      <c r="T104" s="799"/>
      <c r="U104" s="799"/>
      <c r="V104" s="564"/>
      <c r="W104" s="934"/>
      <c r="X104" s="934"/>
      <c r="Y104" s="564"/>
      <c r="Z104" s="899"/>
      <c r="AA104" s="899"/>
      <c r="AB104" s="564"/>
      <c r="AC104" s="766"/>
      <c r="AD104" s="435"/>
      <c r="AE104" s="564"/>
      <c r="AF104" s="291"/>
      <c r="AG104" s="291"/>
    </row>
    <row r="105" spans="1:33" s="1" customFormat="1" ht="12" hidden="1" customHeight="1" outlineLevel="1">
      <c r="A105" s="448" t="s">
        <v>163</v>
      </c>
      <c r="B105" s="551">
        <f>'Renewal Rates '!B103</f>
        <v>0</v>
      </c>
      <c r="C105" s="435">
        <f>'Renewal Rates '!H103</f>
        <v>0</v>
      </c>
      <c r="D105" s="435">
        <f>C105*$B105</f>
        <v>0</v>
      </c>
      <c r="E105" s="766">
        <f>$C105</f>
        <v>0</v>
      </c>
      <c r="F105" s="435">
        <f>E105*$B105</f>
        <v>0</v>
      </c>
      <c r="G105" s="428" t="e">
        <f>E105/$C105-1</f>
        <v>#DIV/0!</v>
      </c>
      <c r="H105" s="435">
        <v>0</v>
      </c>
      <c r="I105" s="435">
        <f>H105*$B105</f>
        <v>0</v>
      </c>
      <c r="J105" s="428" t="e">
        <f>H105/$C105-1</f>
        <v>#DIV/0!</v>
      </c>
      <c r="K105" s="435">
        <v>0</v>
      </c>
      <c r="L105" s="435">
        <f>K105*$B105</f>
        <v>0</v>
      </c>
      <c r="M105" s="428" t="e">
        <f>K105/$C105-1</f>
        <v>#DIV/0!</v>
      </c>
      <c r="N105" s="766">
        <f>$C105</f>
        <v>0</v>
      </c>
      <c r="O105" s="435">
        <f>N105*$B105</f>
        <v>0</v>
      </c>
      <c r="P105" s="428" t="e">
        <f>N105/$C105-1</f>
        <v>#DIV/0!</v>
      </c>
      <c r="Q105" s="799">
        <f>$C105</f>
        <v>0</v>
      </c>
      <c r="R105" s="799">
        <f>Q105*$B105</f>
        <v>0</v>
      </c>
      <c r="S105" s="428" t="e">
        <f>Q105/$C105-1</f>
        <v>#DIV/0!</v>
      </c>
      <c r="T105" s="799">
        <f>$C105</f>
        <v>0</v>
      </c>
      <c r="U105" s="799">
        <f>T105*$B105</f>
        <v>0</v>
      </c>
      <c r="V105" s="428" t="e">
        <f>T105/$C105-1</f>
        <v>#DIV/0!</v>
      </c>
      <c r="W105" s="934">
        <f>$C105</f>
        <v>0</v>
      </c>
      <c r="X105" s="934">
        <f>W105*$B105</f>
        <v>0</v>
      </c>
      <c r="Y105" s="428" t="e">
        <f>W105/$C105-1</f>
        <v>#DIV/0!</v>
      </c>
      <c r="Z105" s="899">
        <f>$C105</f>
        <v>0</v>
      </c>
      <c r="AA105" s="899">
        <f>Z105*$B105</f>
        <v>0</v>
      </c>
      <c r="AB105" s="428" t="e">
        <f>Z105/$C105-1</f>
        <v>#DIV/0!</v>
      </c>
      <c r="AC105" s="766">
        <f>$C105</f>
        <v>0</v>
      </c>
      <c r="AD105" s="435">
        <f>AC105*$B105</f>
        <v>0</v>
      </c>
      <c r="AE105" s="428" t="e">
        <f>AC105/$C105-1</f>
        <v>#DIV/0!</v>
      </c>
      <c r="AF105" s="291"/>
      <c r="AG105" s="291"/>
    </row>
    <row r="106" spans="1:33" s="1" customFormat="1" ht="12" hidden="1" customHeight="1" outlineLevel="1">
      <c r="A106" s="448" t="s">
        <v>164</v>
      </c>
      <c r="B106" s="551">
        <f>'Renewal Rates '!B104</f>
        <v>0</v>
      </c>
      <c r="C106" s="435">
        <f>'Renewal Rates '!H104</f>
        <v>0</v>
      </c>
      <c r="D106" s="435">
        <f>C106*$B106</f>
        <v>0</v>
      </c>
      <c r="E106" s="766">
        <f>$C106</f>
        <v>0</v>
      </c>
      <c r="F106" s="435">
        <f>E106*$B106</f>
        <v>0</v>
      </c>
      <c r="G106" s="428" t="e">
        <f>E106/$C106-1</f>
        <v>#DIV/0!</v>
      </c>
      <c r="H106" s="435">
        <v>0</v>
      </c>
      <c r="I106" s="435">
        <f>H106*$B106</f>
        <v>0</v>
      </c>
      <c r="J106" s="428" t="e">
        <f>H106/$C106-1</f>
        <v>#DIV/0!</v>
      </c>
      <c r="K106" s="435">
        <v>0</v>
      </c>
      <c r="L106" s="435">
        <f>K106*$B106</f>
        <v>0</v>
      </c>
      <c r="M106" s="428" t="e">
        <f>K106/$C106-1</f>
        <v>#DIV/0!</v>
      </c>
      <c r="N106" s="766">
        <f>$C106</f>
        <v>0</v>
      </c>
      <c r="O106" s="435">
        <f>N106*$B106</f>
        <v>0</v>
      </c>
      <c r="P106" s="428" t="e">
        <f>N106/$C106-1</f>
        <v>#DIV/0!</v>
      </c>
      <c r="Q106" s="799">
        <f>$C106</f>
        <v>0</v>
      </c>
      <c r="R106" s="799">
        <f>Q106*$B106</f>
        <v>0</v>
      </c>
      <c r="S106" s="428" t="e">
        <f>Q106/$C106-1</f>
        <v>#DIV/0!</v>
      </c>
      <c r="T106" s="799">
        <f>$C106</f>
        <v>0</v>
      </c>
      <c r="U106" s="799">
        <f>T106*$B106</f>
        <v>0</v>
      </c>
      <c r="V106" s="428" t="e">
        <f>T106/$C106-1</f>
        <v>#DIV/0!</v>
      </c>
      <c r="W106" s="934">
        <f>$C106</f>
        <v>0</v>
      </c>
      <c r="X106" s="934">
        <f>W106*$B106</f>
        <v>0</v>
      </c>
      <c r="Y106" s="428" t="e">
        <f>W106/$C106-1</f>
        <v>#DIV/0!</v>
      </c>
      <c r="Z106" s="899">
        <f>$C106</f>
        <v>0</v>
      </c>
      <c r="AA106" s="899">
        <f>Z106*$B106</f>
        <v>0</v>
      </c>
      <c r="AB106" s="428" t="e">
        <f>Z106/$C106-1</f>
        <v>#DIV/0!</v>
      </c>
      <c r="AC106" s="766">
        <f>$C106</f>
        <v>0</v>
      </c>
      <c r="AD106" s="435">
        <f>AC106*$B106</f>
        <v>0</v>
      </c>
      <c r="AE106" s="428" t="e">
        <f>AC106/$C106-1</f>
        <v>#DIV/0!</v>
      </c>
      <c r="AF106" s="291"/>
      <c r="AG106" s="291"/>
    </row>
    <row r="107" spans="1:33" s="1" customFormat="1" ht="12" hidden="1" customHeight="1" outlineLevel="1">
      <c r="A107" s="499" t="str">
        <f>'Renewal Rates '!A105</f>
        <v>Class B</v>
      </c>
      <c r="B107" s="551"/>
      <c r="C107" s="435"/>
      <c r="D107" s="435"/>
      <c r="E107" s="766"/>
      <c r="F107" s="435"/>
      <c r="G107" s="564"/>
      <c r="H107" s="435"/>
      <c r="I107" s="435"/>
      <c r="J107" s="564"/>
      <c r="K107" s="435"/>
      <c r="L107" s="435"/>
      <c r="M107" s="564"/>
      <c r="N107" s="766"/>
      <c r="O107" s="435"/>
      <c r="P107" s="564"/>
      <c r="Q107" s="799"/>
      <c r="R107" s="799"/>
      <c r="S107" s="564"/>
      <c r="T107" s="799"/>
      <c r="U107" s="799"/>
      <c r="V107" s="564"/>
      <c r="W107" s="934"/>
      <c r="X107" s="934"/>
      <c r="Y107" s="564"/>
      <c r="Z107" s="899"/>
      <c r="AA107" s="899"/>
      <c r="AB107" s="564"/>
      <c r="AC107" s="766"/>
      <c r="AD107" s="435"/>
      <c r="AE107" s="564"/>
      <c r="AF107" s="291"/>
      <c r="AG107" s="291"/>
    </row>
    <row r="108" spans="1:33" s="1" customFormat="1" ht="12" hidden="1" customHeight="1" outlineLevel="1">
      <c r="A108" s="448" t="s">
        <v>163</v>
      </c>
      <c r="B108" s="551">
        <f>'Renewal Rates '!B106</f>
        <v>0</v>
      </c>
      <c r="C108" s="435">
        <f>'Renewal Rates '!H106</f>
        <v>0</v>
      </c>
      <c r="D108" s="435">
        <f>C108*$B108</f>
        <v>0</v>
      </c>
      <c r="E108" s="766">
        <f>$C108</f>
        <v>0</v>
      </c>
      <c r="F108" s="435">
        <f>E108*$B108</f>
        <v>0</v>
      </c>
      <c r="G108" s="428" t="e">
        <f>E108/$C108-1</f>
        <v>#DIV/0!</v>
      </c>
      <c r="H108" s="435">
        <v>0</v>
      </c>
      <c r="I108" s="435">
        <f>H108*$B108</f>
        <v>0</v>
      </c>
      <c r="J108" s="428" t="e">
        <f>H108/$C108-1</f>
        <v>#DIV/0!</v>
      </c>
      <c r="K108" s="435">
        <v>0</v>
      </c>
      <c r="L108" s="435">
        <f>K108*$B108</f>
        <v>0</v>
      </c>
      <c r="M108" s="428" t="e">
        <f>K108/$C108-1</f>
        <v>#DIV/0!</v>
      </c>
      <c r="N108" s="766">
        <f>$C108</f>
        <v>0</v>
      </c>
      <c r="O108" s="435">
        <f>N108*$B108</f>
        <v>0</v>
      </c>
      <c r="P108" s="428" t="e">
        <f>N108/$C108-1</f>
        <v>#DIV/0!</v>
      </c>
      <c r="Q108" s="799">
        <f>$C108</f>
        <v>0</v>
      </c>
      <c r="R108" s="799">
        <f>Q108*$B108</f>
        <v>0</v>
      </c>
      <c r="S108" s="428" t="e">
        <f>Q108/$C108-1</f>
        <v>#DIV/0!</v>
      </c>
      <c r="T108" s="799">
        <f>$C108</f>
        <v>0</v>
      </c>
      <c r="U108" s="799">
        <f>T108*$B108</f>
        <v>0</v>
      </c>
      <c r="V108" s="428" t="e">
        <f>T108/$C108-1</f>
        <v>#DIV/0!</v>
      </c>
      <c r="W108" s="934">
        <f>$C108</f>
        <v>0</v>
      </c>
      <c r="X108" s="934">
        <f>W108*$B108</f>
        <v>0</v>
      </c>
      <c r="Y108" s="428" t="e">
        <f>W108/$C108-1</f>
        <v>#DIV/0!</v>
      </c>
      <c r="Z108" s="899">
        <f>$C108</f>
        <v>0</v>
      </c>
      <c r="AA108" s="899">
        <f>Z108*$B108</f>
        <v>0</v>
      </c>
      <c r="AB108" s="428" t="e">
        <f>Z108/$C108-1</f>
        <v>#DIV/0!</v>
      </c>
      <c r="AC108" s="766">
        <f>$C108</f>
        <v>0</v>
      </c>
      <c r="AD108" s="435">
        <f>AC108*$B108</f>
        <v>0</v>
      </c>
      <c r="AE108" s="428" t="e">
        <f>AC108/$C108-1</f>
        <v>#DIV/0!</v>
      </c>
      <c r="AF108" s="291"/>
      <c r="AG108" s="291"/>
    </row>
    <row r="109" spans="1:33" s="1" customFormat="1" ht="12" hidden="1" customHeight="1" outlineLevel="1">
      <c r="A109" s="448" t="s">
        <v>164</v>
      </c>
      <c r="B109" s="551">
        <f>'Renewal Rates '!B107</f>
        <v>0</v>
      </c>
      <c r="C109" s="435">
        <f>'Renewal Rates '!H107</f>
        <v>0</v>
      </c>
      <c r="D109" s="435">
        <f>C109*$B109</f>
        <v>0</v>
      </c>
      <c r="E109" s="766">
        <f t="shared" ref="E109" si="198">$C109</f>
        <v>0</v>
      </c>
      <c r="F109" s="435">
        <f>E109*$B109</f>
        <v>0</v>
      </c>
      <c r="G109" s="428" t="e">
        <f>E109/$C109-1</f>
        <v>#DIV/0!</v>
      </c>
      <c r="H109" s="435">
        <v>0</v>
      </c>
      <c r="I109" s="435">
        <f>H109*$B109</f>
        <v>0</v>
      </c>
      <c r="J109" s="428" t="e">
        <f>H109/$C109-1</f>
        <v>#DIV/0!</v>
      </c>
      <c r="K109" s="435">
        <v>0</v>
      </c>
      <c r="L109" s="435">
        <f>K109*$B109</f>
        <v>0</v>
      </c>
      <c r="M109" s="428" t="e">
        <f>K109/$C109-1</f>
        <v>#DIV/0!</v>
      </c>
      <c r="N109" s="766">
        <f t="shared" ref="N109" si="199">$C109</f>
        <v>0</v>
      </c>
      <c r="O109" s="435">
        <f>N109*$B109</f>
        <v>0</v>
      </c>
      <c r="P109" s="428" t="e">
        <f>N109/$C109-1</f>
        <v>#DIV/0!</v>
      </c>
      <c r="Q109" s="799">
        <f t="shared" ref="Q109" si="200">$C109</f>
        <v>0</v>
      </c>
      <c r="R109" s="799">
        <f>Q109*$B109</f>
        <v>0</v>
      </c>
      <c r="S109" s="428" t="e">
        <f>Q109/$C109-1</f>
        <v>#DIV/0!</v>
      </c>
      <c r="T109" s="799">
        <f t="shared" ref="T109" si="201">$C109</f>
        <v>0</v>
      </c>
      <c r="U109" s="799">
        <f>T109*$B109</f>
        <v>0</v>
      </c>
      <c r="V109" s="428" t="e">
        <f>T109/$C109-1</f>
        <v>#DIV/0!</v>
      </c>
      <c r="W109" s="934">
        <f t="shared" ref="W109" si="202">$C109</f>
        <v>0</v>
      </c>
      <c r="X109" s="934">
        <f>W109*$B109</f>
        <v>0</v>
      </c>
      <c r="Y109" s="428" t="e">
        <f>W109/$C109-1</f>
        <v>#DIV/0!</v>
      </c>
      <c r="Z109" s="899">
        <f t="shared" ref="Z109" si="203">$C109</f>
        <v>0</v>
      </c>
      <c r="AA109" s="899">
        <f>Z109*$B109</f>
        <v>0</v>
      </c>
      <c r="AB109" s="428" t="e">
        <f>Z109/$C109-1</f>
        <v>#DIV/0!</v>
      </c>
      <c r="AC109" s="766">
        <f t="shared" ref="AC109" si="204">$C109</f>
        <v>0</v>
      </c>
      <c r="AD109" s="435">
        <f>AC109*$B109</f>
        <v>0</v>
      </c>
      <c r="AE109" s="428" t="e">
        <f>AC109/$C109-1</f>
        <v>#DIV/0!</v>
      </c>
      <c r="AF109" s="291"/>
      <c r="AG109" s="291"/>
    </row>
    <row r="110" spans="1:33" s="1" customFormat="1" ht="12" hidden="1" customHeight="1" outlineLevel="1">
      <c r="A110" s="499" t="str">
        <f>'Renewal Rates '!A108</f>
        <v>Class C</v>
      </c>
      <c r="B110" s="551"/>
      <c r="C110" s="435"/>
      <c r="D110" s="435"/>
      <c r="E110" s="766"/>
      <c r="F110" s="435"/>
      <c r="G110" s="564"/>
      <c r="H110" s="435"/>
      <c r="I110" s="435"/>
      <c r="J110" s="564"/>
      <c r="K110" s="435"/>
      <c r="L110" s="435"/>
      <c r="M110" s="564"/>
      <c r="N110" s="766"/>
      <c r="O110" s="435"/>
      <c r="P110" s="564"/>
      <c r="Q110" s="799"/>
      <c r="R110" s="799"/>
      <c r="S110" s="564"/>
      <c r="T110" s="799"/>
      <c r="U110" s="799"/>
      <c r="V110" s="564"/>
      <c r="W110" s="934"/>
      <c r="X110" s="934"/>
      <c r="Y110" s="564"/>
      <c r="Z110" s="899"/>
      <c r="AA110" s="899"/>
      <c r="AB110" s="564"/>
      <c r="AC110" s="766"/>
      <c r="AD110" s="435"/>
      <c r="AE110" s="564"/>
      <c r="AF110" s="291"/>
      <c r="AG110" s="291"/>
    </row>
    <row r="111" spans="1:33" s="1" customFormat="1" ht="12" hidden="1" customHeight="1" outlineLevel="1">
      <c r="A111" s="448" t="s">
        <v>163</v>
      </c>
      <c r="B111" s="551">
        <f>'Renewal Rates '!B109</f>
        <v>0</v>
      </c>
      <c r="C111" s="435">
        <f>'Renewal Rates '!H109</f>
        <v>0</v>
      </c>
      <c r="D111" s="435">
        <f>C111*$B111</f>
        <v>0</v>
      </c>
      <c r="E111" s="766">
        <f t="shared" ref="E111:E118" si="205">$C111</f>
        <v>0</v>
      </c>
      <c r="F111" s="435">
        <f>E111*$B111</f>
        <v>0</v>
      </c>
      <c r="G111" s="428" t="e">
        <f>E111/$C111-1</f>
        <v>#DIV/0!</v>
      </c>
      <c r="H111" s="435">
        <v>0</v>
      </c>
      <c r="I111" s="435">
        <f>H111*$B111</f>
        <v>0</v>
      </c>
      <c r="J111" s="428" t="e">
        <f>H111/$C111-1</f>
        <v>#DIV/0!</v>
      </c>
      <c r="K111" s="435">
        <v>0</v>
      </c>
      <c r="L111" s="435">
        <f>K111*$B111</f>
        <v>0</v>
      </c>
      <c r="M111" s="428" t="e">
        <f>K111/$C111-1</f>
        <v>#DIV/0!</v>
      </c>
      <c r="N111" s="766">
        <f t="shared" ref="N111:N118" si="206">$C111</f>
        <v>0</v>
      </c>
      <c r="O111" s="435">
        <f>N111*$B111</f>
        <v>0</v>
      </c>
      <c r="P111" s="428" t="e">
        <f>N111/$C111-1</f>
        <v>#DIV/0!</v>
      </c>
      <c r="Q111" s="799">
        <f t="shared" ref="Q111:Q118" si="207">$C111</f>
        <v>0</v>
      </c>
      <c r="R111" s="799">
        <f>Q111*$B111</f>
        <v>0</v>
      </c>
      <c r="S111" s="428" t="e">
        <f>Q111/$C111-1</f>
        <v>#DIV/0!</v>
      </c>
      <c r="T111" s="799">
        <f t="shared" ref="T111:T118" si="208">$C111</f>
        <v>0</v>
      </c>
      <c r="U111" s="799">
        <f>T111*$B111</f>
        <v>0</v>
      </c>
      <c r="V111" s="428" t="e">
        <f>T111/$C111-1</f>
        <v>#DIV/0!</v>
      </c>
      <c r="W111" s="934">
        <f t="shared" ref="W111:W118" si="209">$C111</f>
        <v>0</v>
      </c>
      <c r="X111" s="934">
        <f>W111*$B111</f>
        <v>0</v>
      </c>
      <c r="Y111" s="428" t="e">
        <f>W111/$C111-1</f>
        <v>#DIV/0!</v>
      </c>
      <c r="Z111" s="899">
        <f t="shared" ref="Z111:Z118" si="210">$C111</f>
        <v>0</v>
      </c>
      <c r="AA111" s="899">
        <f>Z111*$B111</f>
        <v>0</v>
      </c>
      <c r="AB111" s="428" t="e">
        <f>Z111/$C111-1</f>
        <v>#DIV/0!</v>
      </c>
      <c r="AC111" s="766">
        <f t="shared" ref="AC111:AC118" si="211">$C111</f>
        <v>0</v>
      </c>
      <c r="AD111" s="435">
        <f>AC111*$B111</f>
        <v>0</v>
      </c>
      <c r="AE111" s="428" t="e">
        <f>AC111/$C111-1</f>
        <v>#DIV/0!</v>
      </c>
      <c r="AF111" s="291"/>
      <c r="AG111" s="291"/>
    </row>
    <row r="112" spans="1:33" s="1" customFormat="1" ht="12" hidden="1" customHeight="1" outlineLevel="1">
      <c r="A112" s="448" t="s">
        <v>164</v>
      </c>
      <c r="B112" s="551">
        <f>'Renewal Rates '!B110</f>
        <v>0</v>
      </c>
      <c r="C112" s="435">
        <f>'Renewal Rates '!H110</f>
        <v>0</v>
      </c>
      <c r="D112" s="435">
        <f>C112*$B112</f>
        <v>0</v>
      </c>
      <c r="E112" s="766">
        <f t="shared" si="205"/>
        <v>0</v>
      </c>
      <c r="F112" s="435">
        <f>E112*$B112</f>
        <v>0</v>
      </c>
      <c r="G112" s="428" t="e">
        <f>E112/$C112-1</f>
        <v>#DIV/0!</v>
      </c>
      <c r="H112" s="435">
        <v>0</v>
      </c>
      <c r="I112" s="435">
        <f>H112*$B112</f>
        <v>0</v>
      </c>
      <c r="J112" s="428" t="e">
        <f>H112/$C112-1</f>
        <v>#DIV/0!</v>
      </c>
      <c r="K112" s="435">
        <v>0</v>
      </c>
      <c r="L112" s="435">
        <f>K112*$B112</f>
        <v>0</v>
      </c>
      <c r="M112" s="428" t="e">
        <f>K112/$C112-1</f>
        <v>#DIV/0!</v>
      </c>
      <c r="N112" s="766">
        <f t="shared" si="206"/>
        <v>0</v>
      </c>
      <c r="O112" s="435">
        <f>N112*$B112</f>
        <v>0</v>
      </c>
      <c r="P112" s="428" t="e">
        <f>N112/$C112-1</f>
        <v>#DIV/0!</v>
      </c>
      <c r="Q112" s="799">
        <f t="shared" si="207"/>
        <v>0</v>
      </c>
      <c r="R112" s="799">
        <f>Q112*$B112</f>
        <v>0</v>
      </c>
      <c r="S112" s="428" t="e">
        <f>Q112/$C112-1</f>
        <v>#DIV/0!</v>
      </c>
      <c r="T112" s="799">
        <f t="shared" si="208"/>
        <v>0</v>
      </c>
      <c r="U112" s="799">
        <f>T112*$B112</f>
        <v>0</v>
      </c>
      <c r="V112" s="428" t="e">
        <f>T112/$C112-1</f>
        <v>#DIV/0!</v>
      </c>
      <c r="W112" s="934">
        <f t="shared" si="209"/>
        <v>0</v>
      </c>
      <c r="X112" s="934">
        <f>W112*$B112</f>
        <v>0</v>
      </c>
      <c r="Y112" s="428" t="e">
        <f>W112/$C112-1</f>
        <v>#DIV/0!</v>
      </c>
      <c r="Z112" s="899">
        <f t="shared" si="210"/>
        <v>0</v>
      </c>
      <c r="AA112" s="899">
        <f>Z112*$B112</f>
        <v>0</v>
      </c>
      <c r="AB112" s="428" t="e">
        <f>Z112/$C112-1</f>
        <v>#DIV/0!</v>
      </c>
      <c r="AC112" s="766">
        <f t="shared" si="211"/>
        <v>0</v>
      </c>
      <c r="AD112" s="435">
        <f>AC112*$B112</f>
        <v>0</v>
      </c>
      <c r="AE112" s="428" t="e">
        <f>AC112/$C112-1</f>
        <v>#DIV/0!</v>
      </c>
      <c r="AF112" s="291"/>
      <c r="AG112" s="291"/>
    </row>
    <row r="113" spans="1:33" s="1" customFormat="1" ht="12" hidden="1" customHeight="1" outlineLevel="1">
      <c r="A113" s="499" t="str">
        <f>'Renewal Rates '!A111</f>
        <v>Class D</v>
      </c>
      <c r="B113" s="551"/>
      <c r="C113" s="435"/>
      <c r="D113" s="435"/>
      <c r="E113" s="766"/>
      <c r="F113" s="435"/>
      <c r="G113" s="564"/>
      <c r="H113" s="435"/>
      <c r="I113" s="435"/>
      <c r="J113" s="564"/>
      <c r="K113" s="435"/>
      <c r="L113" s="435"/>
      <c r="M113" s="564"/>
      <c r="N113" s="766"/>
      <c r="O113" s="435"/>
      <c r="P113" s="564"/>
      <c r="Q113" s="799"/>
      <c r="R113" s="799"/>
      <c r="S113" s="564"/>
      <c r="T113" s="799"/>
      <c r="U113" s="799"/>
      <c r="V113" s="564"/>
      <c r="W113" s="934"/>
      <c r="X113" s="934"/>
      <c r="Y113" s="564"/>
      <c r="Z113" s="899"/>
      <c r="AA113" s="899"/>
      <c r="AB113" s="564"/>
      <c r="AC113" s="766"/>
      <c r="AD113" s="435"/>
      <c r="AE113" s="564"/>
      <c r="AF113" s="291"/>
      <c r="AG113" s="291"/>
    </row>
    <row r="114" spans="1:33" s="1" customFormat="1" ht="12" hidden="1" customHeight="1" outlineLevel="1">
      <c r="A114" s="448" t="s">
        <v>163</v>
      </c>
      <c r="B114" s="551">
        <f>'Renewal Rates '!B112</f>
        <v>0</v>
      </c>
      <c r="C114" s="435">
        <f>'Renewal Rates '!H112</f>
        <v>0</v>
      </c>
      <c r="D114" s="435">
        <f>C114*$B114</f>
        <v>0</v>
      </c>
      <c r="E114" s="766">
        <f t="shared" si="205"/>
        <v>0</v>
      </c>
      <c r="F114" s="435">
        <f>E114*$B114</f>
        <v>0</v>
      </c>
      <c r="G114" s="428" t="e">
        <f>E114/$C114-1</f>
        <v>#DIV/0!</v>
      </c>
      <c r="H114" s="435">
        <v>0</v>
      </c>
      <c r="I114" s="435">
        <f>H114*$B114</f>
        <v>0</v>
      </c>
      <c r="J114" s="428" t="e">
        <f>H114/$C114-1</f>
        <v>#DIV/0!</v>
      </c>
      <c r="K114" s="435">
        <v>0</v>
      </c>
      <c r="L114" s="435">
        <f>K114*$B114</f>
        <v>0</v>
      </c>
      <c r="M114" s="428" t="e">
        <f>K114/$C114-1</f>
        <v>#DIV/0!</v>
      </c>
      <c r="N114" s="766">
        <f t="shared" si="206"/>
        <v>0</v>
      </c>
      <c r="O114" s="435">
        <f>N114*$B114</f>
        <v>0</v>
      </c>
      <c r="P114" s="428" t="e">
        <f>N114/$C114-1</f>
        <v>#DIV/0!</v>
      </c>
      <c r="Q114" s="799">
        <f t="shared" si="207"/>
        <v>0</v>
      </c>
      <c r="R114" s="799">
        <f>Q114*$B114</f>
        <v>0</v>
      </c>
      <c r="S114" s="428" t="e">
        <f>Q114/$C114-1</f>
        <v>#DIV/0!</v>
      </c>
      <c r="T114" s="799">
        <f t="shared" si="208"/>
        <v>0</v>
      </c>
      <c r="U114" s="799">
        <f>T114*$B114</f>
        <v>0</v>
      </c>
      <c r="V114" s="428" t="e">
        <f>T114/$C114-1</f>
        <v>#DIV/0!</v>
      </c>
      <c r="W114" s="934">
        <f t="shared" si="209"/>
        <v>0</v>
      </c>
      <c r="X114" s="934">
        <f>W114*$B114</f>
        <v>0</v>
      </c>
      <c r="Y114" s="428" t="e">
        <f>W114/$C114-1</f>
        <v>#DIV/0!</v>
      </c>
      <c r="Z114" s="899">
        <f t="shared" si="210"/>
        <v>0</v>
      </c>
      <c r="AA114" s="899">
        <f>Z114*$B114</f>
        <v>0</v>
      </c>
      <c r="AB114" s="428" t="e">
        <f>Z114/$C114-1</f>
        <v>#DIV/0!</v>
      </c>
      <c r="AC114" s="766">
        <f t="shared" si="211"/>
        <v>0</v>
      </c>
      <c r="AD114" s="435">
        <f>AC114*$B114</f>
        <v>0</v>
      </c>
      <c r="AE114" s="428" t="e">
        <f>AC114/$C114-1</f>
        <v>#DIV/0!</v>
      </c>
      <c r="AF114" s="291"/>
      <c r="AG114" s="291"/>
    </row>
    <row r="115" spans="1:33" s="1" customFormat="1" ht="12" hidden="1" customHeight="1" outlineLevel="1">
      <c r="A115" s="448" t="s">
        <v>164</v>
      </c>
      <c r="B115" s="551">
        <f>'Renewal Rates '!B113</f>
        <v>0</v>
      </c>
      <c r="C115" s="435">
        <f>'Renewal Rates '!H113</f>
        <v>0</v>
      </c>
      <c r="D115" s="435">
        <f>C115*$B115</f>
        <v>0</v>
      </c>
      <c r="E115" s="766">
        <f t="shared" si="205"/>
        <v>0</v>
      </c>
      <c r="F115" s="435">
        <f>E115*$B115</f>
        <v>0</v>
      </c>
      <c r="G115" s="428" t="e">
        <f>E115/$C115-1</f>
        <v>#DIV/0!</v>
      </c>
      <c r="H115" s="435">
        <v>0</v>
      </c>
      <c r="I115" s="435">
        <f>H115*$B115</f>
        <v>0</v>
      </c>
      <c r="J115" s="428" t="e">
        <f>H115/$C115-1</f>
        <v>#DIV/0!</v>
      </c>
      <c r="K115" s="435">
        <v>0</v>
      </c>
      <c r="L115" s="435">
        <f>K115*$B115</f>
        <v>0</v>
      </c>
      <c r="M115" s="428" t="e">
        <f>K115/$C115-1</f>
        <v>#DIV/0!</v>
      </c>
      <c r="N115" s="766">
        <f t="shared" si="206"/>
        <v>0</v>
      </c>
      <c r="O115" s="435">
        <f>N115*$B115</f>
        <v>0</v>
      </c>
      <c r="P115" s="428" t="e">
        <f>N115/$C115-1</f>
        <v>#DIV/0!</v>
      </c>
      <c r="Q115" s="799">
        <f t="shared" si="207"/>
        <v>0</v>
      </c>
      <c r="R115" s="799">
        <f>Q115*$B115</f>
        <v>0</v>
      </c>
      <c r="S115" s="428" t="e">
        <f>Q115/$C115-1</f>
        <v>#DIV/0!</v>
      </c>
      <c r="T115" s="799">
        <f t="shared" si="208"/>
        <v>0</v>
      </c>
      <c r="U115" s="799">
        <f>T115*$B115</f>
        <v>0</v>
      </c>
      <c r="V115" s="428" t="e">
        <f>T115/$C115-1</f>
        <v>#DIV/0!</v>
      </c>
      <c r="W115" s="934">
        <f t="shared" si="209"/>
        <v>0</v>
      </c>
      <c r="X115" s="934">
        <f>W115*$B115</f>
        <v>0</v>
      </c>
      <c r="Y115" s="428" t="e">
        <f>W115/$C115-1</f>
        <v>#DIV/0!</v>
      </c>
      <c r="Z115" s="899">
        <f t="shared" si="210"/>
        <v>0</v>
      </c>
      <c r="AA115" s="899">
        <f>Z115*$B115</f>
        <v>0</v>
      </c>
      <c r="AB115" s="428" t="e">
        <f>Z115/$C115-1</f>
        <v>#DIV/0!</v>
      </c>
      <c r="AC115" s="766">
        <f t="shared" si="211"/>
        <v>0</v>
      </c>
      <c r="AD115" s="435">
        <f>AC115*$B115</f>
        <v>0</v>
      </c>
      <c r="AE115" s="428" t="e">
        <f>AC115/$C115-1</f>
        <v>#DIV/0!</v>
      </c>
      <c r="AF115" s="291"/>
      <c r="AG115" s="291"/>
    </row>
    <row r="116" spans="1:33" s="1" customFormat="1" ht="12" customHeight="1" collapsed="1">
      <c r="A116" s="499" t="str">
        <f>'Renewal Rates '!A114</f>
        <v>All Employees</v>
      </c>
      <c r="B116" s="551"/>
      <c r="C116" s="435"/>
      <c r="D116" s="435"/>
      <c r="E116" s="766"/>
      <c r="F116" s="435"/>
      <c r="G116" s="564"/>
      <c r="H116" s="435"/>
      <c r="I116" s="435"/>
      <c r="J116" s="564"/>
      <c r="K116" s="435"/>
      <c r="L116" s="435"/>
      <c r="M116" s="564"/>
      <c r="N116" s="766"/>
      <c r="O116" s="435"/>
      <c r="P116" s="564"/>
      <c r="Q116" s="799"/>
      <c r="R116" s="799"/>
      <c r="S116" s="564"/>
      <c r="T116" s="799"/>
      <c r="U116" s="799"/>
      <c r="V116" s="564"/>
      <c r="W116" s="934"/>
      <c r="X116" s="934"/>
      <c r="Y116" s="564"/>
      <c r="Z116" s="899"/>
      <c r="AA116" s="899"/>
      <c r="AB116" s="564"/>
      <c r="AC116" s="766"/>
      <c r="AD116" s="435"/>
      <c r="AE116" s="564"/>
      <c r="AF116" s="291"/>
      <c r="AG116" s="291"/>
    </row>
    <row r="117" spans="1:33" s="1" customFormat="1" ht="12" customHeight="1">
      <c r="A117" s="448" t="s">
        <v>163</v>
      </c>
      <c r="B117" s="551">
        <f>'Renewal Rates '!B115</f>
        <v>0</v>
      </c>
      <c r="C117" s="435">
        <f>'Renewal Rates '!H115</f>
        <v>0</v>
      </c>
      <c r="D117" s="435">
        <f>C117*$B117</f>
        <v>0</v>
      </c>
      <c r="E117" s="766">
        <f t="shared" si="205"/>
        <v>0</v>
      </c>
      <c r="F117" s="435">
        <f>E117*$B117</f>
        <v>0</v>
      </c>
      <c r="G117" s="428" t="e">
        <f>E117/$C117-1</f>
        <v>#DIV/0!</v>
      </c>
      <c r="H117" s="435">
        <v>0</v>
      </c>
      <c r="I117" s="435">
        <f>H117*$B117</f>
        <v>0</v>
      </c>
      <c r="J117" s="428" t="e">
        <f>H117/$C117-1</f>
        <v>#DIV/0!</v>
      </c>
      <c r="K117" s="435">
        <v>0</v>
      </c>
      <c r="L117" s="435">
        <f>K117*$B117</f>
        <v>0</v>
      </c>
      <c r="M117" s="428" t="e">
        <f>K117/$C117-1</f>
        <v>#DIV/0!</v>
      </c>
      <c r="N117" s="766">
        <f t="shared" si="206"/>
        <v>0</v>
      </c>
      <c r="O117" s="435">
        <f>N117*$B117</f>
        <v>0</v>
      </c>
      <c r="P117" s="428" t="e">
        <f>N117/$C117-1</f>
        <v>#DIV/0!</v>
      </c>
      <c r="Q117" s="799">
        <f t="shared" si="207"/>
        <v>0</v>
      </c>
      <c r="R117" s="799">
        <f>Q117*$B117</f>
        <v>0</v>
      </c>
      <c r="S117" s="428" t="e">
        <f>Q117/$C117-1</f>
        <v>#DIV/0!</v>
      </c>
      <c r="T117" s="799">
        <f t="shared" si="208"/>
        <v>0</v>
      </c>
      <c r="U117" s="799">
        <f>T117*$B117</f>
        <v>0</v>
      </c>
      <c r="V117" s="428" t="e">
        <f>T117/$C117-1</f>
        <v>#DIV/0!</v>
      </c>
      <c r="W117" s="934">
        <f t="shared" si="209"/>
        <v>0</v>
      </c>
      <c r="X117" s="934">
        <f>W117*$B117</f>
        <v>0</v>
      </c>
      <c r="Y117" s="428" t="e">
        <f>W117/$C117-1</f>
        <v>#DIV/0!</v>
      </c>
      <c r="Z117" s="899">
        <f t="shared" si="210"/>
        <v>0</v>
      </c>
      <c r="AA117" s="899">
        <f>Z117*$B117</f>
        <v>0</v>
      </c>
      <c r="AB117" s="428" t="e">
        <f>Z117/$C117-1</f>
        <v>#DIV/0!</v>
      </c>
      <c r="AC117" s="766">
        <f t="shared" si="211"/>
        <v>0</v>
      </c>
      <c r="AD117" s="435">
        <f>AC117*$B117</f>
        <v>0</v>
      </c>
      <c r="AE117" s="428" t="e">
        <f>AC117/$C117-1</f>
        <v>#DIV/0!</v>
      </c>
      <c r="AF117" s="291"/>
      <c r="AG117" s="291"/>
    </row>
    <row r="118" spans="1:33" s="1" customFormat="1" ht="12" customHeight="1">
      <c r="A118" s="448" t="s">
        <v>164</v>
      </c>
      <c r="B118" s="551">
        <f>'Renewal Rates '!B116</f>
        <v>0</v>
      </c>
      <c r="C118" s="435">
        <f>'Renewal Rates '!H116</f>
        <v>0</v>
      </c>
      <c r="D118" s="435">
        <f>C118*$B118</f>
        <v>0</v>
      </c>
      <c r="E118" s="766">
        <f t="shared" si="205"/>
        <v>0</v>
      </c>
      <c r="F118" s="435">
        <f>E118*$B118</f>
        <v>0</v>
      </c>
      <c r="G118" s="428" t="e">
        <f>E118/$C118-1</f>
        <v>#DIV/0!</v>
      </c>
      <c r="H118" s="435">
        <v>0</v>
      </c>
      <c r="I118" s="435">
        <f>H118*$B118</f>
        <v>0</v>
      </c>
      <c r="J118" s="428" t="e">
        <f>H118/$C118-1</f>
        <v>#DIV/0!</v>
      </c>
      <c r="K118" s="435">
        <v>0</v>
      </c>
      <c r="L118" s="435">
        <f>K118*$B118</f>
        <v>0</v>
      </c>
      <c r="M118" s="428" t="e">
        <f>K118/$C118-1</f>
        <v>#DIV/0!</v>
      </c>
      <c r="N118" s="766">
        <f t="shared" si="206"/>
        <v>0</v>
      </c>
      <c r="O118" s="435">
        <f>N118*$B118</f>
        <v>0</v>
      </c>
      <c r="P118" s="428" t="e">
        <f>N118/$C118-1</f>
        <v>#DIV/0!</v>
      </c>
      <c r="Q118" s="799">
        <f t="shared" si="207"/>
        <v>0</v>
      </c>
      <c r="R118" s="799">
        <f>Q118*$B118</f>
        <v>0</v>
      </c>
      <c r="S118" s="428" t="e">
        <f>Q118/$C118-1</f>
        <v>#DIV/0!</v>
      </c>
      <c r="T118" s="799">
        <f t="shared" si="208"/>
        <v>0</v>
      </c>
      <c r="U118" s="799">
        <f>T118*$B118</f>
        <v>0</v>
      </c>
      <c r="V118" s="428" t="e">
        <f>T118/$C118-1</f>
        <v>#DIV/0!</v>
      </c>
      <c r="W118" s="934">
        <f t="shared" si="209"/>
        <v>0</v>
      </c>
      <c r="X118" s="934">
        <f>W118*$B118</f>
        <v>0</v>
      </c>
      <c r="Y118" s="428" t="e">
        <f>W118/$C118-1</f>
        <v>#DIV/0!</v>
      </c>
      <c r="Z118" s="899">
        <f t="shared" si="210"/>
        <v>0</v>
      </c>
      <c r="AA118" s="899">
        <f>Z118*$B118</f>
        <v>0</v>
      </c>
      <c r="AB118" s="428" t="e">
        <f>Z118/$C118-1</f>
        <v>#DIV/0!</v>
      </c>
      <c r="AC118" s="766">
        <f t="shared" si="211"/>
        <v>0</v>
      </c>
      <c r="AD118" s="435">
        <f>AC118*$B118</f>
        <v>0</v>
      </c>
      <c r="AE118" s="428" t="e">
        <f>AC118/$C118-1</f>
        <v>#DIV/0!</v>
      </c>
      <c r="AF118" s="291"/>
      <c r="AG118" s="291"/>
    </row>
    <row r="119" spans="1:33" s="1" customFormat="1" ht="12" customHeight="1">
      <c r="A119" s="448" t="s">
        <v>542</v>
      </c>
      <c r="B119" s="541"/>
      <c r="C119" s="542"/>
      <c r="D119" s="542">
        <f>SUM(D105:D118)</f>
        <v>0</v>
      </c>
      <c r="E119" s="542"/>
      <c r="F119" s="542">
        <f>SUM(F105:F118)</f>
        <v>0</v>
      </c>
      <c r="G119" s="448"/>
      <c r="H119" s="542"/>
      <c r="I119" s="542">
        <f>SUM(I105:I118)</f>
        <v>0</v>
      </c>
      <c r="J119" s="448"/>
      <c r="K119" s="542"/>
      <c r="L119" s="542">
        <f>SUM(L105:L118)</f>
        <v>0</v>
      </c>
      <c r="M119" s="448"/>
      <c r="N119" s="542"/>
      <c r="O119" s="542">
        <f>SUM(O105:O118)</f>
        <v>0</v>
      </c>
      <c r="P119" s="448"/>
      <c r="Q119" s="542"/>
      <c r="R119" s="542">
        <f>SUM(R105:R118)</f>
        <v>0</v>
      </c>
      <c r="S119" s="448"/>
      <c r="T119" s="542"/>
      <c r="U119" s="542">
        <f>SUM(U105:U118)</f>
        <v>0</v>
      </c>
      <c r="V119" s="448"/>
      <c r="W119" s="542"/>
      <c r="X119" s="542">
        <f>SUM(X105:X118)</f>
        <v>0</v>
      </c>
      <c r="Y119" s="448"/>
      <c r="Z119" s="542"/>
      <c r="AA119" s="542">
        <f>SUM(AA105:AA118)</f>
        <v>0</v>
      </c>
      <c r="AB119" s="448"/>
      <c r="AC119" s="542"/>
      <c r="AD119" s="542">
        <f>SUM(AD105:AD118)</f>
        <v>0</v>
      </c>
      <c r="AE119" s="448"/>
      <c r="AF119" s="291"/>
      <c r="AG119" s="291"/>
    </row>
    <row r="120" spans="1:33" s="1" customFormat="1" ht="4.5" customHeight="1">
      <c r="A120" s="731"/>
      <c r="B120" s="732"/>
      <c r="C120" s="732"/>
      <c r="D120" s="732"/>
      <c r="E120" s="732"/>
      <c r="F120" s="732"/>
      <c r="G120" s="732"/>
      <c r="H120" s="732"/>
      <c r="I120" s="732"/>
      <c r="J120" s="732"/>
      <c r="K120" s="732"/>
      <c r="L120" s="732"/>
      <c r="M120" s="732"/>
      <c r="N120" s="732"/>
      <c r="O120" s="732"/>
      <c r="P120" s="732"/>
      <c r="Q120" s="732"/>
      <c r="R120" s="732"/>
      <c r="S120" s="732"/>
      <c r="T120" s="732"/>
      <c r="U120" s="732"/>
      <c r="V120" s="732"/>
      <c r="W120" s="732"/>
      <c r="X120" s="732"/>
      <c r="Y120" s="732"/>
      <c r="Z120" s="732"/>
      <c r="AA120" s="732"/>
      <c r="AB120" s="732"/>
      <c r="AC120" s="732"/>
      <c r="AD120" s="732"/>
      <c r="AE120" s="733"/>
      <c r="AF120" s="24"/>
      <c r="AG120" s="24"/>
    </row>
    <row r="121" spans="1:33" s="1" customFormat="1" ht="10.5" customHeight="1">
      <c r="A121" s="448" t="s">
        <v>16</v>
      </c>
      <c r="B121" s="438"/>
      <c r="C121" s="435"/>
      <c r="D121" s="435"/>
      <c r="E121" s="435"/>
      <c r="F121" s="435"/>
      <c r="G121" s="564"/>
      <c r="H121" s="435"/>
      <c r="I121" s="435"/>
      <c r="J121" s="564"/>
      <c r="K121" s="435"/>
      <c r="L121" s="435"/>
      <c r="M121" s="564"/>
      <c r="N121" s="766"/>
      <c r="O121" s="435"/>
      <c r="P121" s="564"/>
      <c r="Q121" s="799"/>
      <c r="R121" s="799"/>
      <c r="S121" s="564"/>
      <c r="T121" s="799"/>
      <c r="U121" s="799"/>
      <c r="V121" s="564"/>
      <c r="W121" s="934"/>
      <c r="X121" s="934"/>
      <c r="Y121" s="564"/>
      <c r="Z121" s="899"/>
      <c r="AA121" s="899"/>
      <c r="AB121" s="564"/>
      <c r="AC121" s="766"/>
      <c r="AD121" s="435"/>
      <c r="AE121" s="564"/>
      <c r="AF121" s="24"/>
      <c r="AG121" s="24"/>
    </row>
    <row r="122" spans="1:33" s="1" customFormat="1" ht="10.5" hidden="1" customHeight="1" outlineLevel="1">
      <c r="A122" s="499" t="str">
        <f>'Renewal Rates '!A119</f>
        <v>Class A</v>
      </c>
      <c r="B122" s="438"/>
      <c r="C122" s="435"/>
      <c r="D122" s="435"/>
      <c r="E122" s="435"/>
      <c r="F122" s="435"/>
      <c r="G122" s="564"/>
      <c r="H122" s="435"/>
      <c r="I122" s="435"/>
      <c r="J122" s="564"/>
      <c r="K122" s="435"/>
      <c r="L122" s="435"/>
      <c r="M122" s="564"/>
      <c r="N122" s="766"/>
      <c r="O122" s="435"/>
      <c r="P122" s="564"/>
      <c r="Q122" s="799"/>
      <c r="R122" s="799"/>
      <c r="S122" s="564"/>
      <c r="T122" s="799"/>
      <c r="U122" s="799"/>
      <c r="V122" s="564"/>
      <c r="W122" s="934"/>
      <c r="X122" s="934"/>
      <c r="Y122" s="564"/>
      <c r="Z122" s="899"/>
      <c r="AA122" s="899"/>
      <c r="AB122" s="564"/>
      <c r="AC122" s="766"/>
      <c r="AD122" s="435"/>
      <c r="AE122" s="564"/>
      <c r="AF122" s="291"/>
      <c r="AG122" s="291"/>
    </row>
    <row r="123" spans="1:33" s="1" customFormat="1" ht="12" hidden="1" customHeight="1" outlineLevel="1">
      <c r="A123" s="448" t="s">
        <v>163</v>
      </c>
      <c r="B123" s="551">
        <f>'Renewal Rates '!B120</f>
        <v>0</v>
      </c>
      <c r="C123" s="435">
        <f>'Renewal Rates '!H120</f>
        <v>0</v>
      </c>
      <c r="D123" s="435">
        <f>C123*$B123</f>
        <v>0</v>
      </c>
      <c r="E123" s="766">
        <f>$C123</f>
        <v>0</v>
      </c>
      <c r="F123" s="435">
        <f>E123*$B123</f>
        <v>0</v>
      </c>
      <c r="G123" s="428" t="e">
        <f>E123/$C123-1</f>
        <v>#DIV/0!</v>
      </c>
      <c r="H123" s="435">
        <v>0</v>
      </c>
      <c r="I123" s="435">
        <f>H123*$B123</f>
        <v>0</v>
      </c>
      <c r="J123" s="428" t="e">
        <f>H123/$C123-1</f>
        <v>#DIV/0!</v>
      </c>
      <c r="K123" s="435">
        <v>0</v>
      </c>
      <c r="L123" s="435">
        <f>K123*$B123</f>
        <v>0</v>
      </c>
      <c r="M123" s="428" t="e">
        <f>K123/$C123-1</f>
        <v>#DIV/0!</v>
      </c>
      <c r="N123" s="766">
        <f>$C123</f>
        <v>0</v>
      </c>
      <c r="O123" s="435">
        <f>N123*$B123</f>
        <v>0</v>
      </c>
      <c r="P123" s="428" t="e">
        <f>N123/$C123-1</f>
        <v>#DIV/0!</v>
      </c>
      <c r="Q123" s="799">
        <f>$C123</f>
        <v>0</v>
      </c>
      <c r="R123" s="799">
        <f>Q123*$B123</f>
        <v>0</v>
      </c>
      <c r="S123" s="428" t="e">
        <f>Q123/$C123-1</f>
        <v>#DIV/0!</v>
      </c>
      <c r="T123" s="799">
        <f>$C123</f>
        <v>0</v>
      </c>
      <c r="U123" s="799">
        <f>T123*$B123</f>
        <v>0</v>
      </c>
      <c r="V123" s="428" t="e">
        <f>T123/$C123-1</f>
        <v>#DIV/0!</v>
      </c>
      <c r="W123" s="934">
        <f>$C123</f>
        <v>0</v>
      </c>
      <c r="X123" s="934">
        <f>W123*$B123</f>
        <v>0</v>
      </c>
      <c r="Y123" s="428" t="e">
        <f>W123/$C123-1</f>
        <v>#DIV/0!</v>
      </c>
      <c r="Z123" s="899">
        <f>$C123</f>
        <v>0</v>
      </c>
      <c r="AA123" s="899">
        <f>Z123*$B123</f>
        <v>0</v>
      </c>
      <c r="AB123" s="428" t="e">
        <f>Z123/$C123-1</f>
        <v>#DIV/0!</v>
      </c>
      <c r="AC123" s="766">
        <f>$C123</f>
        <v>0</v>
      </c>
      <c r="AD123" s="435">
        <f>AC123*$B123</f>
        <v>0</v>
      </c>
      <c r="AE123" s="428" t="e">
        <f>AC123/$C123-1</f>
        <v>#DIV/0!</v>
      </c>
      <c r="AF123" s="24"/>
      <c r="AG123" s="24"/>
    </row>
    <row r="124" spans="1:33" s="1" customFormat="1" ht="12" hidden="1" customHeight="1" outlineLevel="1">
      <c r="A124" s="448" t="s">
        <v>164</v>
      </c>
      <c r="B124" s="551">
        <f>'Renewal Rates '!B121</f>
        <v>0</v>
      </c>
      <c r="C124" s="435">
        <f>'Renewal Rates '!H121</f>
        <v>0</v>
      </c>
      <c r="D124" s="435">
        <f>C124*$B124</f>
        <v>0</v>
      </c>
      <c r="E124" s="766">
        <f>$C124</f>
        <v>0</v>
      </c>
      <c r="F124" s="435">
        <f>E124*$B124</f>
        <v>0</v>
      </c>
      <c r="G124" s="428" t="e">
        <f>E124/$C124-1</f>
        <v>#DIV/0!</v>
      </c>
      <c r="H124" s="435">
        <v>0</v>
      </c>
      <c r="I124" s="435">
        <f>H124*$B124</f>
        <v>0</v>
      </c>
      <c r="J124" s="428" t="e">
        <f>H124/$C124-1</f>
        <v>#DIV/0!</v>
      </c>
      <c r="K124" s="435">
        <v>0</v>
      </c>
      <c r="L124" s="435">
        <f>K124*$B124</f>
        <v>0</v>
      </c>
      <c r="M124" s="428" t="e">
        <f>K124/$C124-1</f>
        <v>#DIV/0!</v>
      </c>
      <c r="N124" s="766">
        <f>$C124</f>
        <v>0</v>
      </c>
      <c r="O124" s="435">
        <f>N124*$B124</f>
        <v>0</v>
      </c>
      <c r="P124" s="428" t="e">
        <f>N124/$C124-1</f>
        <v>#DIV/0!</v>
      </c>
      <c r="Q124" s="799">
        <f>$C124</f>
        <v>0</v>
      </c>
      <c r="R124" s="799">
        <f>Q124*$B124</f>
        <v>0</v>
      </c>
      <c r="S124" s="428" t="e">
        <f>Q124/$C124-1</f>
        <v>#DIV/0!</v>
      </c>
      <c r="T124" s="799">
        <f>$C124</f>
        <v>0</v>
      </c>
      <c r="U124" s="799">
        <f>T124*$B124</f>
        <v>0</v>
      </c>
      <c r="V124" s="428" t="e">
        <f>T124/$C124-1</f>
        <v>#DIV/0!</v>
      </c>
      <c r="W124" s="934">
        <f>$C124</f>
        <v>0</v>
      </c>
      <c r="X124" s="934">
        <f>W124*$B124</f>
        <v>0</v>
      </c>
      <c r="Y124" s="428" t="e">
        <f>W124/$C124-1</f>
        <v>#DIV/0!</v>
      </c>
      <c r="Z124" s="899">
        <f>$C124</f>
        <v>0</v>
      </c>
      <c r="AA124" s="899">
        <f>Z124*$B124</f>
        <v>0</v>
      </c>
      <c r="AB124" s="428" t="e">
        <f>Z124/$C124-1</f>
        <v>#DIV/0!</v>
      </c>
      <c r="AC124" s="766">
        <f>$C124</f>
        <v>0</v>
      </c>
      <c r="AD124" s="435">
        <f>AC124*$B124</f>
        <v>0</v>
      </c>
      <c r="AE124" s="428" t="e">
        <f>AC124/$C124-1</f>
        <v>#DIV/0!</v>
      </c>
      <c r="AF124" s="24"/>
      <c r="AG124" s="24"/>
    </row>
    <row r="125" spans="1:33" s="1" customFormat="1" ht="10.5" hidden="1" customHeight="1" outlineLevel="1">
      <c r="A125" s="499" t="str">
        <f>'Renewal Rates '!A122</f>
        <v>Class B</v>
      </c>
      <c r="B125" s="551"/>
      <c r="C125" s="435"/>
      <c r="D125" s="435"/>
      <c r="E125" s="766"/>
      <c r="F125" s="435"/>
      <c r="G125" s="564"/>
      <c r="H125" s="435"/>
      <c r="I125" s="435"/>
      <c r="J125" s="564"/>
      <c r="K125" s="435"/>
      <c r="L125" s="435"/>
      <c r="M125" s="564"/>
      <c r="N125" s="766"/>
      <c r="O125" s="435"/>
      <c r="P125" s="564"/>
      <c r="Q125" s="799"/>
      <c r="R125" s="799"/>
      <c r="S125" s="564"/>
      <c r="T125" s="799"/>
      <c r="U125" s="799"/>
      <c r="V125" s="564"/>
      <c r="W125" s="934"/>
      <c r="X125" s="934"/>
      <c r="Y125" s="564"/>
      <c r="Z125" s="899"/>
      <c r="AA125" s="899"/>
      <c r="AB125" s="564"/>
      <c r="AC125" s="766"/>
      <c r="AD125" s="435"/>
      <c r="AE125" s="564"/>
      <c r="AF125" s="291"/>
      <c r="AG125" s="291"/>
    </row>
    <row r="126" spans="1:33" s="1" customFormat="1" ht="12" hidden="1" customHeight="1" outlineLevel="1">
      <c r="A126" s="448" t="s">
        <v>163</v>
      </c>
      <c r="B126" s="551">
        <f>'Renewal Rates '!B123</f>
        <v>0</v>
      </c>
      <c r="C126" s="435">
        <f>'Renewal Rates '!H123</f>
        <v>0</v>
      </c>
      <c r="D126" s="435">
        <f>C126*$B126</f>
        <v>0</v>
      </c>
      <c r="E126" s="766">
        <f>$C126</f>
        <v>0</v>
      </c>
      <c r="F126" s="435">
        <f>E126*$B126</f>
        <v>0</v>
      </c>
      <c r="G126" s="428" t="e">
        <f>E126/$C126-1</f>
        <v>#DIV/0!</v>
      </c>
      <c r="H126" s="435">
        <v>0</v>
      </c>
      <c r="I126" s="435">
        <f>H126*$B126</f>
        <v>0</v>
      </c>
      <c r="J126" s="428" t="e">
        <f>H126/$C126-1</f>
        <v>#DIV/0!</v>
      </c>
      <c r="K126" s="435">
        <v>0</v>
      </c>
      <c r="L126" s="435">
        <f>K126*$B126</f>
        <v>0</v>
      </c>
      <c r="M126" s="428" t="e">
        <f>K126/$C126-1</f>
        <v>#DIV/0!</v>
      </c>
      <c r="N126" s="766">
        <f>$C126</f>
        <v>0</v>
      </c>
      <c r="O126" s="435">
        <f>N126*$B126</f>
        <v>0</v>
      </c>
      <c r="P126" s="428" t="e">
        <f>N126/$C126-1</f>
        <v>#DIV/0!</v>
      </c>
      <c r="Q126" s="799">
        <f>$C126</f>
        <v>0</v>
      </c>
      <c r="R126" s="799">
        <f>Q126*$B126</f>
        <v>0</v>
      </c>
      <c r="S126" s="428" t="e">
        <f>Q126/$C126-1</f>
        <v>#DIV/0!</v>
      </c>
      <c r="T126" s="799">
        <f>$C126</f>
        <v>0</v>
      </c>
      <c r="U126" s="799">
        <f>T126*$B126</f>
        <v>0</v>
      </c>
      <c r="V126" s="428" t="e">
        <f>T126/$C126-1</f>
        <v>#DIV/0!</v>
      </c>
      <c r="W126" s="934">
        <f>$C126</f>
        <v>0</v>
      </c>
      <c r="X126" s="934">
        <f>W126*$B126</f>
        <v>0</v>
      </c>
      <c r="Y126" s="428" t="e">
        <f>W126/$C126-1</f>
        <v>#DIV/0!</v>
      </c>
      <c r="Z126" s="899">
        <f>$C126</f>
        <v>0</v>
      </c>
      <c r="AA126" s="899">
        <f>Z126*$B126</f>
        <v>0</v>
      </c>
      <c r="AB126" s="428" t="e">
        <f>Z126/$C126-1</f>
        <v>#DIV/0!</v>
      </c>
      <c r="AC126" s="766">
        <f>$C126</f>
        <v>0</v>
      </c>
      <c r="AD126" s="435">
        <f>AC126*$B126</f>
        <v>0</v>
      </c>
      <c r="AE126" s="428" t="e">
        <f>AC126/$C126-1</f>
        <v>#DIV/0!</v>
      </c>
      <c r="AF126" s="291"/>
      <c r="AG126" s="291"/>
    </row>
    <row r="127" spans="1:33" s="1" customFormat="1" ht="12" hidden="1" customHeight="1" outlineLevel="1">
      <c r="A127" s="448" t="s">
        <v>164</v>
      </c>
      <c r="B127" s="551">
        <f>'Renewal Rates '!B124</f>
        <v>0</v>
      </c>
      <c r="C127" s="435">
        <f>'Renewal Rates '!H124</f>
        <v>0</v>
      </c>
      <c r="D127" s="435">
        <f>C127*$B127</f>
        <v>0</v>
      </c>
      <c r="E127" s="766">
        <f t="shared" ref="E127" si="212">$C127</f>
        <v>0</v>
      </c>
      <c r="F127" s="435">
        <f>E127*$B127</f>
        <v>0</v>
      </c>
      <c r="G127" s="428" t="e">
        <f>E127/$C127-1</f>
        <v>#DIV/0!</v>
      </c>
      <c r="H127" s="435">
        <v>0</v>
      </c>
      <c r="I127" s="435">
        <f>H127*$B127</f>
        <v>0</v>
      </c>
      <c r="J127" s="428" t="e">
        <f>H127/$C127-1</f>
        <v>#DIV/0!</v>
      </c>
      <c r="K127" s="435">
        <v>0</v>
      </c>
      <c r="L127" s="435">
        <f>K127*$B127</f>
        <v>0</v>
      </c>
      <c r="M127" s="428" t="e">
        <f>K127/$C127-1</f>
        <v>#DIV/0!</v>
      </c>
      <c r="N127" s="766">
        <f t="shared" ref="N127" si="213">$C127</f>
        <v>0</v>
      </c>
      <c r="O127" s="435">
        <f>N127*$B127</f>
        <v>0</v>
      </c>
      <c r="P127" s="428" t="e">
        <f>N127/$C127-1</f>
        <v>#DIV/0!</v>
      </c>
      <c r="Q127" s="799">
        <f t="shared" ref="Q127" si="214">$C127</f>
        <v>0</v>
      </c>
      <c r="R127" s="799">
        <f>Q127*$B127</f>
        <v>0</v>
      </c>
      <c r="S127" s="428" t="e">
        <f>Q127/$C127-1</f>
        <v>#DIV/0!</v>
      </c>
      <c r="T127" s="799">
        <f t="shared" ref="T127" si="215">$C127</f>
        <v>0</v>
      </c>
      <c r="U127" s="799">
        <f>T127*$B127</f>
        <v>0</v>
      </c>
      <c r="V127" s="428" t="e">
        <f>T127/$C127-1</f>
        <v>#DIV/0!</v>
      </c>
      <c r="W127" s="934">
        <f t="shared" ref="W127" si="216">$C127</f>
        <v>0</v>
      </c>
      <c r="X127" s="934">
        <f>W127*$B127</f>
        <v>0</v>
      </c>
      <c r="Y127" s="428" t="e">
        <f>W127/$C127-1</f>
        <v>#DIV/0!</v>
      </c>
      <c r="Z127" s="899">
        <f t="shared" ref="Z127" si="217">$C127</f>
        <v>0</v>
      </c>
      <c r="AA127" s="899">
        <f>Z127*$B127</f>
        <v>0</v>
      </c>
      <c r="AB127" s="428" t="e">
        <f>Z127/$C127-1</f>
        <v>#DIV/0!</v>
      </c>
      <c r="AC127" s="766">
        <f t="shared" ref="AC127" si="218">$C127</f>
        <v>0</v>
      </c>
      <c r="AD127" s="435">
        <f>AC127*$B127</f>
        <v>0</v>
      </c>
      <c r="AE127" s="428" t="e">
        <f>AC127/$C127-1</f>
        <v>#DIV/0!</v>
      </c>
      <c r="AF127" s="291"/>
      <c r="AG127" s="291"/>
    </row>
    <row r="128" spans="1:33" s="1" customFormat="1" ht="10.5" hidden="1" customHeight="1" outlineLevel="1">
      <c r="A128" s="499" t="str">
        <f>'Renewal Rates '!A125</f>
        <v>Class C</v>
      </c>
      <c r="B128" s="551"/>
      <c r="C128" s="435"/>
      <c r="D128" s="435"/>
      <c r="E128" s="766"/>
      <c r="F128" s="435"/>
      <c r="G128" s="564"/>
      <c r="H128" s="435"/>
      <c r="I128" s="435"/>
      <c r="J128" s="564"/>
      <c r="K128" s="435"/>
      <c r="L128" s="435"/>
      <c r="M128" s="564"/>
      <c r="N128" s="766"/>
      <c r="O128" s="435"/>
      <c r="P128" s="564"/>
      <c r="Q128" s="799"/>
      <c r="R128" s="799"/>
      <c r="S128" s="564"/>
      <c r="T128" s="799"/>
      <c r="U128" s="799"/>
      <c r="V128" s="564"/>
      <c r="W128" s="934"/>
      <c r="X128" s="934"/>
      <c r="Y128" s="564"/>
      <c r="Z128" s="899"/>
      <c r="AA128" s="899"/>
      <c r="AB128" s="564"/>
      <c r="AC128" s="766"/>
      <c r="AD128" s="435"/>
      <c r="AE128" s="564"/>
      <c r="AF128" s="291"/>
      <c r="AG128" s="291"/>
    </row>
    <row r="129" spans="1:33" s="1" customFormat="1" ht="12" hidden="1" customHeight="1" outlineLevel="1">
      <c r="A129" s="448" t="s">
        <v>163</v>
      </c>
      <c r="B129" s="551">
        <f>'Renewal Rates '!B126</f>
        <v>0</v>
      </c>
      <c r="C129" s="435">
        <f>'Renewal Rates '!H126</f>
        <v>0</v>
      </c>
      <c r="D129" s="435">
        <f>C129*$B129</f>
        <v>0</v>
      </c>
      <c r="E129" s="766">
        <f t="shared" ref="E129:E136" si="219">$C129</f>
        <v>0</v>
      </c>
      <c r="F129" s="435">
        <f>E129*$B129</f>
        <v>0</v>
      </c>
      <c r="G129" s="428" t="e">
        <f>E129/$C129-1</f>
        <v>#DIV/0!</v>
      </c>
      <c r="H129" s="435">
        <v>0</v>
      </c>
      <c r="I129" s="435">
        <f>H129*$B129</f>
        <v>0</v>
      </c>
      <c r="J129" s="428" t="e">
        <f>H129/$C129-1</f>
        <v>#DIV/0!</v>
      </c>
      <c r="K129" s="435">
        <v>0</v>
      </c>
      <c r="L129" s="435">
        <f>K129*$B129</f>
        <v>0</v>
      </c>
      <c r="M129" s="428" t="e">
        <f>K129/$C129-1</f>
        <v>#DIV/0!</v>
      </c>
      <c r="N129" s="766">
        <f t="shared" ref="N129:N136" si="220">$C129</f>
        <v>0</v>
      </c>
      <c r="O129" s="435">
        <f>N129*$B129</f>
        <v>0</v>
      </c>
      <c r="P129" s="428" t="e">
        <f>N129/$C129-1</f>
        <v>#DIV/0!</v>
      </c>
      <c r="Q129" s="799">
        <f t="shared" ref="Q129:Q136" si="221">$C129</f>
        <v>0</v>
      </c>
      <c r="R129" s="799">
        <f>Q129*$B129</f>
        <v>0</v>
      </c>
      <c r="S129" s="428" t="e">
        <f>Q129/$C129-1</f>
        <v>#DIV/0!</v>
      </c>
      <c r="T129" s="799">
        <f t="shared" ref="T129:T136" si="222">$C129</f>
        <v>0</v>
      </c>
      <c r="U129" s="799">
        <f>T129*$B129</f>
        <v>0</v>
      </c>
      <c r="V129" s="428" t="e">
        <f>T129/$C129-1</f>
        <v>#DIV/0!</v>
      </c>
      <c r="W129" s="934">
        <f t="shared" ref="W129:W136" si="223">$C129</f>
        <v>0</v>
      </c>
      <c r="X129" s="934">
        <f>W129*$B129</f>
        <v>0</v>
      </c>
      <c r="Y129" s="428" t="e">
        <f>W129/$C129-1</f>
        <v>#DIV/0!</v>
      </c>
      <c r="Z129" s="899">
        <f t="shared" ref="Z129:Z136" si="224">$C129</f>
        <v>0</v>
      </c>
      <c r="AA129" s="899">
        <f>Z129*$B129</f>
        <v>0</v>
      </c>
      <c r="AB129" s="428" t="e">
        <f>Z129/$C129-1</f>
        <v>#DIV/0!</v>
      </c>
      <c r="AC129" s="766">
        <f t="shared" ref="AC129:AC136" si="225">$C129</f>
        <v>0</v>
      </c>
      <c r="AD129" s="435">
        <f>AC129*$B129</f>
        <v>0</v>
      </c>
      <c r="AE129" s="428" t="e">
        <f>AC129/$C129-1</f>
        <v>#DIV/0!</v>
      </c>
      <c r="AF129" s="291"/>
      <c r="AG129" s="291"/>
    </row>
    <row r="130" spans="1:33" s="1" customFormat="1" ht="12" hidden="1" customHeight="1" outlineLevel="1">
      <c r="A130" s="448" t="s">
        <v>164</v>
      </c>
      <c r="B130" s="551">
        <f>'Renewal Rates '!B127</f>
        <v>0</v>
      </c>
      <c r="C130" s="435">
        <f>'Renewal Rates '!H127</f>
        <v>0</v>
      </c>
      <c r="D130" s="435">
        <f>C130*$B130</f>
        <v>0</v>
      </c>
      <c r="E130" s="766">
        <f t="shared" si="219"/>
        <v>0</v>
      </c>
      <c r="F130" s="435">
        <f>E130*$B130</f>
        <v>0</v>
      </c>
      <c r="G130" s="428" t="e">
        <f>E130/$C130-1</f>
        <v>#DIV/0!</v>
      </c>
      <c r="H130" s="435">
        <v>0</v>
      </c>
      <c r="I130" s="435">
        <f>H130*$B130</f>
        <v>0</v>
      </c>
      <c r="J130" s="428" t="e">
        <f>H130/$C130-1</f>
        <v>#DIV/0!</v>
      </c>
      <c r="K130" s="435">
        <v>0</v>
      </c>
      <c r="L130" s="435">
        <f>K130*$B130</f>
        <v>0</v>
      </c>
      <c r="M130" s="428" t="e">
        <f>K130/$C130-1</f>
        <v>#DIV/0!</v>
      </c>
      <c r="N130" s="766">
        <f t="shared" si="220"/>
        <v>0</v>
      </c>
      <c r="O130" s="435">
        <f>N130*$B130</f>
        <v>0</v>
      </c>
      <c r="P130" s="428" t="e">
        <f>N130/$C130-1</f>
        <v>#DIV/0!</v>
      </c>
      <c r="Q130" s="799">
        <f t="shared" si="221"/>
        <v>0</v>
      </c>
      <c r="R130" s="799">
        <f>Q130*$B130</f>
        <v>0</v>
      </c>
      <c r="S130" s="428" t="e">
        <f>Q130/$C130-1</f>
        <v>#DIV/0!</v>
      </c>
      <c r="T130" s="799">
        <f t="shared" si="222"/>
        <v>0</v>
      </c>
      <c r="U130" s="799">
        <f>T130*$B130</f>
        <v>0</v>
      </c>
      <c r="V130" s="428" t="e">
        <f>T130/$C130-1</f>
        <v>#DIV/0!</v>
      </c>
      <c r="W130" s="934">
        <f t="shared" si="223"/>
        <v>0</v>
      </c>
      <c r="X130" s="934">
        <f>W130*$B130</f>
        <v>0</v>
      </c>
      <c r="Y130" s="428" t="e">
        <f>W130/$C130-1</f>
        <v>#DIV/0!</v>
      </c>
      <c r="Z130" s="899">
        <f t="shared" si="224"/>
        <v>0</v>
      </c>
      <c r="AA130" s="899">
        <f>Z130*$B130</f>
        <v>0</v>
      </c>
      <c r="AB130" s="428" t="e">
        <f>Z130/$C130-1</f>
        <v>#DIV/0!</v>
      </c>
      <c r="AC130" s="766">
        <f t="shared" si="225"/>
        <v>0</v>
      </c>
      <c r="AD130" s="435">
        <f>AC130*$B130</f>
        <v>0</v>
      </c>
      <c r="AE130" s="428" t="e">
        <f>AC130/$C130-1</f>
        <v>#DIV/0!</v>
      </c>
      <c r="AF130" s="291"/>
      <c r="AG130" s="291"/>
    </row>
    <row r="131" spans="1:33" s="1" customFormat="1" ht="10.5" hidden="1" customHeight="1" outlineLevel="1">
      <c r="A131" s="499" t="str">
        <f>'Renewal Rates '!A128</f>
        <v>Class D</v>
      </c>
      <c r="B131" s="551"/>
      <c r="C131" s="435"/>
      <c r="D131" s="435"/>
      <c r="E131" s="766"/>
      <c r="F131" s="435"/>
      <c r="G131" s="564"/>
      <c r="H131" s="435"/>
      <c r="I131" s="435"/>
      <c r="J131" s="564"/>
      <c r="K131" s="435"/>
      <c r="L131" s="435"/>
      <c r="M131" s="564"/>
      <c r="N131" s="766"/>
      <c r="O131" s="435"/>
      <c r="P131" s="564"/>
      <c r="Q131" s="799"/>
      <c r="R131" s="799"/>
      <c r="S131" s="564"/>
      <c r="T131" s="799"/>
      <c r="U131" s="799"/>
      <c r="V131" s="564"/>
      <c r="W131" s="934"/>
      <c r="X131" s="934"/>
      <c r="Y131" s="564"/>
      <c r="Z131" s="899"/>
      <c r="AA131" s="899"/>
      <c r="AB131" s="564"/>
      <c r="AC131" s="766"/>
      <c r="AD131" s="435"/>
      <c r="AE131" s="564"/>
      <c r="AF131" s="291"/>
      <c r="AG131" s="291"/>
    </row>
    <row r="132" spans="1:33" s="1" customFormat="1" ht="12" hidden="1" customHeight="1" outlineLevel="1">
      <c r="A132" s="448" t="s">
        <v>163</v>
      </c>
      <c r="B132" s="551">
        <f>'Renewal Rates '!B129</f>
        <v>0</v>
      </c>
      <c r="C132" s="435">
        <f>'Renewal Rates '!H129</f>
        <v>0</v>
      </c>
      <c r="D132" s="435">
        <f>C132*$B132</f>
        <v>0</v>
      </c>
      <c r="E132" s="766">
        <f t="shared" si="219"/>
        <v>0</v>
      </c>
      <c r="F132" s="435">
        <f>E132*$B132</f>
        <v>0</v>
      </c>
      <c r="G132" s="428" t="e">
        <f>E132/$C132-1</f>
        <v>#DIV/0!</v>
      </c>
      <c r="H132" s="435">
        <v>0</v>
      </c>
      <c r="I132" s="435">
        <f>H132*$B132</f>
        <v>0</v>
      </c>
      <c r="J132" s="428" t="e">
        <f>H132/$C132-1</f>
        <v>#DIV/0!</v>
      </c>
      <c r="K132" s="435">
        <v>0</v>
      </c>
      <c r="L132" s="435">
        <f>K132*$B132</f>
        <v>0</v>
      </c>
      <c r="M132" s="428" t="e">
        <f>K132/$C132-1</f>
        <v>#DIV/0!</v>
      </c>
      <c r="N132" s="766">
        <f t="shared" si="220"/>
        <v>0</v>
      </c>
      <c r="O132" s="435">
        <f>N132*$B132</f>
        <v>0</v>
      </c>
      <c r="P132" s="428" t="e">
        <f>N132/$C132-1</f>
        <v>#DIV/0!</v>
      </c>
      <c r="Q132" s="799">
        <f t="shared" si="221"/>
        <v>0</v>
      </c>
      <c r="R132" s="799">
        <f>Q132*$B132</f>
        <v>0</v>
      </c>
      <c r="S132" s="428" t="e">
        <f>Q132/$C132-1</f>
        <v>#DIV/0!</v>
      </c>
      <c r="T132" s="799">
        <f t="shared" si="222"/>
        <v>0</v>
      </c>
      <c r="U132" s="799">
        <f>T132*$B132</f>
        <v>0</v>
      </c>
      <c r="V132" s="428" t="e">
        <f>T132/$C132-1</f>
        <v>#DIV/0!</v>
      </c>
      <c r="W132" s="934">
        <f t="shared" si="223"/>
        <v>0</v>
      </c>
      <c r="X132" s="934">
        <f>W132*$B132</f>
        <v>0</v>
      </c>
      <c r="Y132" s="428" t="e">
        <f>W132/$C132-1</f>
        <v>#DIV/0!</v>
      </c>
      <c r="Z132" s="899">
        <f t="shared" si="224"/>
        <v>0</v>
      </c>
      <c r="AA132" s="899">
        <f>Z132*$B132</f>
        <v>0</v>
      </c>
      <c r="AB132" s="428" t="e">
        <f>Z132/$C132-1</f>
        <v>#DIV/0!</v>
      </c>
      <c r="AC132" s="766">
        <f t="shared" si="225"/>
        <v>0</v>
      </c>
      <c r="AD132" s="435">
        <f>AC132*$B132</f>
        <v>0</v>
      </c>
      <c r="AE132" s="428" t="e">
        <f>AC132/$C132-1</f>
        <v>#DIV/0!</v>
      </c>
      <c r="AF132" s="291"/>
      <c r="AG132" s="291"/>
    </row>
    <row r="133" spans="1:33" s="1" customFormat="1" ht="12" hidden="1" customHeight="1" outlineLevel="1">
      <c r="A133" s="448" t="s">
        <v>164</v>
      </c>
      <c r="B133" s="551">
        <f>'Renewal Rates '!B130</f>
        <v>0</v>
      </c>
      <c r="C133" s="435">
        <f>'Renewal Rates '!H130</f>
        <v>0</v>
      </c>
      <c r="D133" s="435">
        <f>C133*$B133</f>
        <v>0</v>
      </c>
      <c r="E133" s="766">
        <f t="shared" si="219"/>
        <v>0</v>
      </c>
      <c r="F133" s="435">
        <f>E133*$B133</f>
        <v>0</v>
      </c>
      <c r="G133" s="428" t="e">
        <f>E133/$C133-1</f>
        <v>#DIV/0!</v>
      </c>
      <c r="H133" s="435">
        <v>0</v>
      </c>
      <c r="I133" s="435">
        <f>H133*$B133</f>
        <v>0</v>
      </c>
      <c r="J133" s="428" t="e">
        <f>H133/$C133-1</f>
        <v>#DIV/0!</v>
      </c>
      <c r="K133" s="435">
        <v>0</v>
      </c>
      <c r="L133" s="435">
        <f>K133*$B133</f>
        <v>0</v>
      </c>
      <c r="M133" s="428" t="e">
        <f>K133/$C133-1</f>
        <v>#DIV/0!</v>
      </c>
      <c r="N133" s="766">
        <f t="shared" si="220"/>
        <v>0</v>
      </c>
      <c r="O133" s="435">
        <f>N133*$B133</f>
        <v>0</v>
      </c>
      <c r="P133" s="428" t="e">
        <f>N133/$C133-1</f>
        <v>#DIV/0!</v>
      </c>
      <c r="Q133" s="799">
        <f t="shared" si="221"/>
        <v>0</v>
      </c>
      <c r="R133" s="799">
        <f>Q133*$B133</f>
        <v>0</v>
      </c>
      <c r="S133" s="428" t="e">
        <f>Q133/$C133-1</f>
        <v>#DIV/0!</v>
      </c>
      <c r="T133" s="799">
        <f t="shared" si="222"/>
        <v>0</v>
      </c>
      <c r="U133" s="799">
        <f>T133*$B133</f>
        <v>0</v>
      </c>
      <c r="V133" s="428" t="e">
        <f>T133/$C133-1</f>
        <v>#DIV/0!</v>
      </c>
      <c r="W133" s="934">
        <f t="shared" si="223"/>
        <v>0</v>
      </c>
      <c r="X133" s="934">
        <f>W133*$B133</f>
        <v>0</v>
      </c>
      <c r="Y133" s="428" t="e">
        <f>W133/$C133-1</f>
        <v>#DIV/0!</v>
      </c>
      <c r="Z133" s="899">
        <f t="shared" si="224"/>
        <v>0</v>
      </c>
      <c r="AA133" s="899">
        <f>Z133*$B133</f>
        <v>0</v>
      </c>
      <c r="AB133" s="428" t="e">
        <f>Z133/$C133-1</f>
        <v>#DIV/0!</v>
      </c>
      <c r="AC133" s="766">
        <f t="shared" si="225"/>
        <v>0</v>
      </c>
      <c r="AD133" s="435">
        <f>AC133*$B133</f>
        <v>0</v>
      </c>
      <c r="AE133" s="428" t="e">
        <f>AC133/$C133-1</f>
        <v>#DIV/0!</v>
      </c>
      <c r="AF133" s="291"/>
      <c r="AG133" s="291"/>
    </row>
    <row r="134" spans="1:33" s="1" customFormat="1" ht="10.5" customHeight="1" collapsed="1">
      <c r="A134" s="499" t="str">
        <f>'Renewal Rates '!A131</f>
        <v>All Employees</v>
      </c>
      <c r="B134" s="551"/>
      <c r="C134" s="435"/>
      <c r="D134" s="435"/>
      <c r="E134" s="766"/>
      <c r="F134" s="435"/>
      <c r="G134" s="564"/>
      <c r="H134" s="435"/>
      <c r="I134" s="435"/>
      <c r="J134" s="564"/>
      <c r="K134" s="435"/>
      <c r="L134" s="435"/>
      <c r="M134" s="564"/>
      <c r="N134" s="766"/>
      <c r="O134" s="435"/>
      <c r="P134" s="564"/>
      <c r="Q134" s="799"/>
      <c r="R134" s="799"/>
      <c r="S134" s="564"/>
      <c r="T134" s="799"/>
      <c r="U134" s="799"/>
      <c r="V134" s="564"/>
      <c r="W134" s="934"/>
      <c r="X134" s="934"/>
      <c r="Y134" s="564"/>
      <c r="Z134" s="899"/>
      <c r="AA134" s="899"/>
      <c r="AB134" s="564"/>
      <c r="AC134" s="766"/>
      <c r="AD134" s="435"/>
      <c r="AE134" s="564"/>
      <c r="AF134" s="291"/>
      <c r="AG134" s="291"/>
    </row>
    <row r="135" spans="1:33" s="1" customFormat="1" ht="12" customHeight="1">
      <c r="A135" s="448" t="s">
        <v>163</v>
      </c>
      <c r="B135" s="551">
        <f>'Renewal Rates '!B132</f>
        <v>0</v>
      </c>
      <c r="C135" s="435">
        <f>'Renewal Rates '!H132</f>
        <v>0</v>
      </c>
      <c r="D135" s="435">
        <f>C135*$B135</f>
        <v>0</v>
      </c>
      <c r="E135" s="766">
        <f t="shared" si="219"/>
        <v>0</v>
      </c>
      <c r="F135" s="435">
        <f>E135*$B135</f>
        <v>0</v>
      </c>
      <c r="G135" s="428" t="e">
        <f>E135/$C135-1</f>
        <v>#DIV/0!</v>
      </c>
      <c r="H135" s="435">
        <v>0</v>
      </c>
      <c r="I135" s="435">
        <f>H135*$B135</f>
        <v>0</v>
      </c>
      <c r="J135" s="428" t="e">
        <f>H135/$C135-1</f>
        <v>#DIV/0!</v>
      </c>
      <c r="K135" s="435">
        <v>0</v>
      </c>
      <c r="L135" s="435">
        <f>K135*$B135</f>
        <v>0</v>
      </c>
      <c r="M135" s="428" t="e">
        <f>K135/$C135-1</f>
        <v>#DIV/0!</v>
      </c>
      <c r="N135" s="766">
        <f t="shared" si="220"/>
        <v>0</v>
      </c>
      <c r="O135" s="435">
        <f>N135*$B135</f>
        <v>0</v>
      </c>
      <c r="P135" s="428" t="e">
        <f>N135/$C135-1</f>
        <v>#DIV/0!</v>
      </c>
      <c r="Q135" s="799">
        <f t="shared" si="221"/>
        <v>0</v>
      </c>
      <c r="R135" s="799">
        <f>Q135*$B135</f>
        <v>0</v>
      </c>
      <c r="S135" s="428" t="e">
        <f>Q135/$C135-1</f>
        <v>#DIV/0!</v>
      </c>
      <c r="T135" s="799">
        <f t="shared" si="222"/>
        <v>0</v>
      </c>
      <c r="U135" s="799">
        <f>T135*$B135</f>
        <v>0</v>
      </c>
      <c r="V135" s="428" t="e">
        <f>T135/$C135-1</f>
        <v>#DIV/0!</v>
      </c>
      <c r="W135" s="934">
        <f t="shared" si="223"/>
        <v>0</v>
      </c>
      <c r="X135" s="934">
        <f>W135*$B135</f>
        <v>0</v>
      </c>
      <c r="Y135" s="428" t="e">
        <f>W135/$C135-1</f>
        <v>#DIV/0!</v>
      </c>
      <c r="Z135" s="899">
        <f t="shared" si="224"/>
        <v>0</v>
      </c>
      <c r="AA135" s="899">
        <f>Z135*$B135</f>
        <v>0</v>
      </c>
      <c r="AB135" s="428" t="e">
        <f>Z135/$C135-1</f>
        <v>#DIV/0!</v>
      </c>
      <c r="AC135" s="766">
        <f t="shared" si="225"/>
        <v>0</v>
      </c>
      <c r="AD135" s="435">
        <f>AC135*$B135</f>
        <v>0</v>
      </c>
      <c r="AE135" s="428" t="e">
        <f>AC135/$C135-1</f>
        <v>#DIV/0!</v>
      </c>
      <c r="AF135" s="291"/>
      <c r="AG135" s="291"/>
    </row>
    <row r="136" spans="1:33" s="1" customFormat="1" ht="12" customHeight="1">
      <c r="A136" s="448" t="s">
        <v>164</v>
      </c>
      <c r="B136" s="551">
        <f>'Renewal Rates '!B133</f>
        <v>0</v>
      </c>
      <c r="C136" s="435">
        <f>'Renewal Rates '!H133</f>
        <v>0</v>
      </c>
      <c r="D136" s="435">
        <f>C136*$B136</f>
        <v>0</v>
      </c>
      <c r="E136" s="766">
        <f t="shared" si="219"/>
        <v>0</v>
      </c>
      <c r="F136" s="435">
        <f>E136*$B136</f>
        <v>0</v>
      </c>
      <c r="G136" s="428" t="e">
        <f>E136/$C136-1</f>
        <v>#DIV/0!</v>
      </c>
      <c r="H136" s="435">
        <v>0</v>
      </c>
      <c r="I136" s="435">
        <f>H136*$B136</f>
        <v>0</v>
      </c>
      <c r="J136" s="428" t="e">
        <f>H136/$C136-1</f>
        <v>#DIV/0!</v>
      </c>
      <c r="K136" s="435">
        <v>0</v>
      </c>
      <c r="L136" s="435">
        <f>K136*$B136</f>
        <v>0</v>
      </c>
      <c r="M136" s="428" t="e">
        <f>K136/$C136-1</f>
        <v>#DIV/0!</v>
      </c>
      <c r="N136" s="766">
        <f t="shared" si="220"/>
        <v>0</v>
      </c>
      <c r="O136" s="435">
        <f>N136*$B136</f>
        <v>0</v>
      </c>
      <c r="P136" s="428" t="e">
        <f>N136/$C136-1</f>
        <v>#DIV/0!</v>
      </c>
      <c r="Q136" s="799">
        <f t="shared" si="221"/>
        <v>0</v>
      </c>
      <c r="R136" s="799">
        <f>Q136*$B136</f>
        <v>0</v>
      </c>
      <c r="S136" s="428" t="e">
        <f>Q136/$C136-1</f>
        <v>#DIV/0!</v>
      </c>
      <c r="T136" s="799">
        <f t="shared" si="222"/>
        <v>0</v>
      </c>
      <c r="U136" s="799">
        <f>T136*$B136</f>
        <v>0</v>
      </c>
      <c r="V136" s="428" t="e">
        <f>T136/$C136-1</f>
        <v>#DIV/0!</v>
      </c>
      <c r="W136" s="934">
        <f t="shared" si="223"/>
        <v>0</v>
      </c>
      <c r="X136" s="934">
        <f>W136*$B136</f>
        <v>0</v>
      </c>
      <c r="Y136" s="428" t="e">
        <f>W136/$C136-1</f>
        <v>#DIV/0!</v>
      </c>
      <c r="Z136" s="899">
        <f t="shared" si="224"/>
        <v>0</v>
      </c>
      <c r="AA136" s="899">
        <f>Z136*$B136</f>
        <v>0</v>
      </c>
      <c r="AB136" s="428" t="e">
        <f>Z136/$C136-1</f>
        <v>#DIV/0!</v>
      </c>
      <c r="AC136" s="766">
        <f t="shared" si="225"/>
        <v>0</v>
      </c>
      <c r="AD136" s="435">
        <f>AC136*$B136</f>
        <v>0</v>
      </c>
      <c r="AE136" s="428" t="e">
        <f>AC136/$C136-1</f>
        <v>#DIV/0!</v>
      </c>
      <c r="AF136" s="291"/>
      <c r="AG136" s="291"/>
    </row>
    <row r="137" spans="1:33" s="1" customFormat="1" ht="12" customHeight="1">
      <c r="A137" s="448" t="s">
        <v>166</v>
      </c>
      <c r="B137" s="541"/>
      <c r="C137" s="542"/>
      <c r="D137" s="542">
        <f>SUM(D123:D136)</f>
        <v>0</v>
      </c>
      <c r="E137" s="542"/>
      <c r="F137" s="542">
        <f>SUM(F123:F136)</f>
        <v>0</v>
      </c>
      <c r="G137" s="448"/>
      <c r="H137" s="542"/>
      <c r="I137" s="542">
        <f>SUM(I123:I136)</f>
        <v>0</v>
      </c>
      <c r="J137" s="448"/>
      <c r="K137" s="542"/>
      <c r="L137" s="542">
        <f>SUM(L123:L136)</f>
        <v>0</v>
      </c>
      <c r="M137" s="448"/>
      <c r="N137" s="542"/>
      <c r="O137" s="542">
        <f>SUM(O123:O136)</f>
        <v>0</v>
      </c>
      <c r="P137" s="448"/>
      <c r="Q137" s="542"/>
      <c r="R137" s="542">
        <f>SUM(R123:R136)</f>
        <v>0</v>
      </c>
      <c r="S137" s="448"/>
      <c r="T137" s="542"/>
      <c r="U137" s="542">
        <f>SUM(U123:U136)</f>
        <v>0</v>
      </c>
      <c r="V137" s="448"/>
      <c r="W137" s="542"/>
      <c r="X137" s="542">
        <f>SUM(X123:X136)</f>
        <v>0</v>
      </c>
      <c r="Y137" s="448"/>
      <c r="Z137" s="542"/>
      <c r="AA137" s="542">
        <f>SUM(AA123:AA136)</f>
        <v>0</v>
      </c>
      <c r="AB137" s="448"/>
      <c r="AC137" s="542"/>
      <c r="AD137" s="542">
        <f>SUM(AD123:AD136)</f>
        <v>0</v>
      </c>
      <c r="AE137" s="448"/>
      <c r="AF137" s="24"/>
      <c r="AG137" s="24"/>
    </row>
    <row r="138" spans="1:33" s="1" customFormat="1" ht="4.5" customHeight="1">
      <c r="A138" s="731"/>
      <c r="B138" s="732"/>
      <c r="C138" s="732"/>
      <c r="D138" s="732"/>
      <c r="E138" s="732"/>
      <c r="F138" s="732"/>
      <c r="G138" s="732"/>
      <c r="H138" s="732"/>
      <c r="I138" s="732"/>
      <c r="J138" s="732"/>
      <c r="K138" s="732"/>
      <c r="L138" s="732"/>
      <c r="M138" s="732"/>
      <c r="N138" s="732"/>
      <c r="O138" s="732"/>
      <c r="P138" s="732"/>
      <c r="Q138" s="732"/>
      <c r="R138" s="732"/>
      <c r="S138" s="732"/>
      <c r="T138" s="732"/>
      <c r="U138" s="732"/>
      <c r="V138" s="732"/>
      <c r="W138" s="732"/>
      <c r="X138" s="732"/>
      <c r="Y138" s="732"/>
      <c r="Z138" s="732"/>
      <c r="AA138" s="732"/>
      <c r="AB138" s="732"/>
      <c r="AC138" s="732"/>
      <c r="AD138" s="732"/>
      <c r="AE138" s="733"/>
      <c r="AF138" s="291"/>
      <c r="AG138" s="291"/>
    </row>
    <row r="139" spans="1:33" s="1" customFormat="1" ht="10.5" customHeight="1">
      <c r="A139" s="448" t="s">
        <v>685</v>
      </c>
      <c r="B139" s="438"/>
      <c r="C139" s="435"/>
      <c r="D139" s="435"/>
      <c r="E139" s="435"/>
      <c r="F139" s="435"/>
      <c r="G139" s="564"/>
      <c r="H139" s="435"/>
      <c r="I139" s="435"/>
      <c r="J139" s="564"/>
      <c r="K139" s="435"/>
      <c r="L139" s="435"/>
      <c r="M139" s="564"/>
      <c r="N139" s="766"/>
      <c r="O139" s="435"/>
      <c r="P139" s="564"/>
      <c r="Q139" s="799"/>
      <c r="R139" s="799"/>
      <c r="S139" s="564"/>
      <c r="T139" s="799"/>
      <c r="U139" s="799"/>
      <c r="V139" s="564"/>
      <c r="W139" s="934"/>
      <c r="X139" s="934"/>
      <c r="Y139" s="564"/>
      <c r="Z139" s="899"/>
      <c r="AA139" s="899"/>
      <c r="AB139" s="564"/>
      <c r="AC139" s="766"/>
      <c r="AD139" s="435"/>
      <c r="AE139" s="564"/>
      <c r="AF139" s="291"/>
      <c r="AG139" s="291"/>
    </row>
    <row r="140" spans="1:33" s="1" customFormat="1" ht="10.5" hidden="1" customHeight="1" outlineLevel="1">
      <c r="A140" s="499" t="str">
        <f>'Renewal Rates '!A136</f>
        <v>Class A</v>
      </c>
      <c r="B140" s="438"/>
      <c r="C140" s="435"/>
      <c r="D140" s="435"/>
      <c r="E140" s="435"/>
      <c r="F140" s="435"/>
      <c r="G140" s="564"/>
      <c r="H140" s="435"/>
      <c r="I140" s="435"/>
      <c r="J140" s="564"/>
      <c r="K140" s="435"/>
      <c r="L140" s="435"/>
      <c r="M140" s="564"/>
      <c r="N140" s="766"/>
      <c r="O140" s="435"/>
      <c r="P140" s="564"/>
      <c r="Q140" s="799"/>
      <c r="R140" s="799"/>
      <c r="S140" s="564"/>
      <c r="T140" s="799"/>
      <c r="U140" s="799"/>
      <c r="V140" s="564"/>
      <c r="W140" s="934"/>
      <c r="X140" s="934"/>
      <c r="Y140" s="564"/>
      <c r="Z140" s="899"/>
      <c r="AA140" s="899"/>
      <c r="AB140" s="564"/>
      <c r="AC140" s="766"/>
      <c r="AD140" s="435"/>
      <c r="AE140" s="564"/>
      <c r="AF140" s="291"/>
      <c r="AG140" s="291"/>
    </row>
    <row r="141" spans="1:33" s="1" customFormat="1" ht="12" hidden="1" customHeight="1" outlineLevel="1">
      <c r="A141" s="448" t="s">
        <v>163</v>
      </c>
      <c r="B141" s="551">
        <f>'Renewal Rates '!B137</f>
        <v>0</v>
      </c>
      <c r="C141" s="435">
        <f>'Renewal Rates '!H137</f>
        <v>0</v>
      </c>
      <c r="D141" s="435">
        <f>C141*$B141</f>
        <v>0</v>
      </c>
      <c r="E141" s="766">
        <f>$C141</f>
        <v>0</v>
      </c>
      <c r="F141" s="435">
        <f>E141*$B141</f>
        <v>0</v>
      </c>
      <c r="G141" s="428" t="e">
        <f>E141/$C141-1</f>
        <v>#DIV/0!</v>
      </c>
      <c r="H141" s="435">
        <v>0</v>
      </c>
      <c r="I141" s="435">
        <f>H141*$B141</f>
        <v>0</v>
      </c>
      <c r="J141" s="428" t="e">
        <f>H141/$C141-1</f>
        <v>#DIV/0!</v>
      </c>
      <c r="K141" s="435">
        <v>0</v>
      </c>
      <c r="L141" s="435">
        <f>K141*$B141</f>
        <v>0</v>
      </c>
      <c r="M141" s="428" t="e">
        <f>K141/$C141-1</f>
        <v>#DIV/0!</v>
      </c>
      <c r="N141" s="766">
        <f>$C141</f>
        <v>0</v>
      </c>
      <c r="O141" s="435">
        <f>N141*$B141</f>
        <v>0</v>
      </c>
      <c r="P141" s="428" t="e">
        <f>N141/$C141-1</f>
        <v>#DIV/0!</v>
      </c>
      <c r="Q141" s="799">
        <f>$C141</f>
        <v>0</v>
      </c>
      <c r="R141" s="799">
        <f>Q141*$B141</f>
        <v>0</v>
      </c>
      <c r="S141" s="428" t="e">
        <f>Q141/$C141-1</f>
        <v>#DIV/0!</v>
      </c>
      <c r="T141" s="799">
        <f>$C141</f>
        <v>0</v>
      </c>
      <c r="U141" s="799">
        <f>T141*$B141</f>
        <v>0</v>
      </c>
      <c r="V141" s="428" t="e">
        <f>T141/$C141-1</f>
        <v>#DIV/0!</v>
      </c>
      <c r="W141" s="934">
        <f>$C141</f>
        <v>0</v>
      </c>
      <c r="X141" s="934">
        <f>W141*$B141</f>
        <v>0</v>
      </c>
      <c r="Y141" s="428" t="e">
        <f>W141/$C141-1</f>
        <v>#DIV/0!</v>
      </c>
      <c r="Z141" s="899">
        <f>$C141</f>
        <v>0</v>
      </c>
      <c r="AA141" s="899">
        <f>Z141*$B141</f>
        <v>0</v>
      </c>
      <c r="AB141" s="428" t="e">
        <f>Z141/$C141-1</f>
        <v>#DIV/0!</v>
      </c>
      <c r="AC141" s="766">
        <f>$C141</f>
        <v>0</v>
      </c>
      <c r="AD141" s="435">
        <f>AC141*$B141</f>
        <v>0</v>
      </c>
      <c r="AE141" s="428" t="e">
        <f>AC141/$C141-1</f>
        <v>#DIV/0!</v>
      </c>
      <c r="AF141" s="291"/>
      <c r="AG141" s="291"/>
    </row>
    <row r="142" spans="1:33" s="1" customFormat="1" ht="12" hidden="1" customHeight="1" outlineLevel="1">
      <c r="A142" s="448" t="s">
        <v>164</v>
      </c>
      <c r="B142" s="551">
        <f>'Renewal Rates '!B138</f>
        <v>0</v>
      </c>
      <c r="C142" s="435">
        <f>'Renewal Rates '!H138</f>
        <v>0</v>
      </c>
      <c r="D142" s="435">
        <f>C142*$B142</f>
        <v>0</v>
      </c>
      <c r="E142" s="766">
        <f>$C142</f>
        <v>0</v>
      </c>
      <c r="F142" s="435">
        <f>E142*$B142</f>
        <v>0</v>
      </c>
      <c r="G142" s="428" t="e">
        <f>E142/$C142-1</f>
        <v>#DIV/0!</v>
      </c>
      <c r="H142" s="435">
        <v>0</v>
      </c>
      <c r="I142" s="435">
        <f>H142*$B142</f>
        <v>0</v>
      </c>
      <c r="J142" s="428" t="e">
        <f>H142/$C142-1</f>
        <v>#DIV/0!</v>
      </c>
      <c r="K142" s="435">
        <v>0</v>
      </c>
      <c r="L142" s="435">
        <f>K142*$B142</f>
        <v>0</v>
      </c>
      <c r="M142" s="428" t="e">
        <f>K142/$C142-1</f>
        <v>#DIV/0!</v>
      </c>
      <c r="N142" s="766">
        <f>$C142</f>
        <v>0</v>
      </c>
      <c r="O142" s="435">
        <f>N142*$B142</f>
        <v>0</v>
      </c>
      <c r="P142" s="428" t="e">
        <f>N142/$C142-1</f>
        <v>#DIV/0!</v>
      </c>
      <c r="Q142" s="799">
        <f>$C142</f>
        <v>0</v>
      </c>
      <c r="R142" s="799">
        <f>Q142*$B142</f>
        <v>0</v>
      </c>
      <c r="S142" s="428" t="e">
        <f>Q142/$C142-1</f>
        <v>#DIV/0!</v>
      </c>
      <c r="T142" s="799">
        <f>$C142</f>
        <v>0</v>
      </c>
      <c r="U142" s="799">
        <f>T142*$B142</f>
        <v>0</v>
      </c>
      <c r="V142" s="428" t="e">
        <f>T142/$C142-1</f>
        <v>#DIV/0!</v>
      </c>
      <c r="W142" s="934">
        <f>$C142</f>
        <v>0</v>
      </c>
      <c r="X142" s="934">
        <f>W142*$B142</f>
        <v>0</v>
      </c>
      <c r="Y142" s="428" t="e">
        <f>W142/$C142-1</f>
        <v>#DIV/0!</v>
      </c>
      <c r="Z142" s="899">
        <f>$C142</f>
        <v>0</v>
      </c>
      <c r="AA142" s="899">
        <f>Z142*$B142</f>
        <v>0</v>
      </c>
      <c r="AB142" s="428" t="e">
        <f>Z142/$C142-1</f>
        <v>#DIV/0!</v>
      </c>
      <c r="AC142" s="766">
        <f>$C142</f>
        <v>0</v>
      </c>
      <c r="AD142" s="435">
        <f>AC142*$B142</f>
        <v>0</v>
      </c>
      <c r="AE142" s="428" t="e">
        <f>AC142/$C142-1</f>
        <v>#DIV/0!</v>
      </c>
      <c r="AF142" s="291"/>
      <c r="AG142" s="291"/>
    </row>
    <row r="143" spans="1:33" s="1" customFormat="1" ht="10.5" hidden="1" customHeight="1" outlineLevel="1">
      <c r="A143" s="499" t="str">
        <f>'Renewal Rates '!A139</f>
        <v>Class B</v>
      </c>
      <c r="B143" s="551"/>
      <c r="C143" s="435"/>
      <c r="D143" s="435"/>
      <c r="E143" s="766"/>
      <c r="F143" s="435"/>
      <c r="G143" s="564"/>
      <c r="H143" s="435"/>
      <c r="I143" s="435"/>
      <c r="J143" s="564"/>
      <c r="K143" s="435"/>
      <c r="L143" s="435"/>
      <c r="M143" s="564"/>
      <c r="N143" s="766"/>
      <c r="O143" s="435"/>
      <c r="P143" s="564"/>
      <c r="Q143" s="799"/>
      <c r="R143" s="799"/>
      <c r="S143" s="564"/>
      <c r="T143" s="799"/>
      <c r="U143" s="799"/>
      <c r="V143" s="564"/>
      <c r="W143" s="934"/>
      <c r="X143" s="934"/>
      <c r="Y143" s="564"/>
      <c r="Z143" s="899"/>
      <c r="AA143" s="899"/>
      <c r="AB143" s="564"/>
      <c r="AC143" s="766"/>
      <c r="AD143" s="435"/>
      <c r="AE143" s="564"/>
      <c r="AF143" s="291"/>
      <c r="AG143" s="291"/>
    </row>
    <row r="144" spans="1:33" s="1" customFormat="1" ht="12" hidden="1" customHeight="1" outlineLevel="1">
      <c r="A144" s="448" t="s">
        <v>163</v>
      </c>
      <c r="B144" s="551">
        <f>'Renewal Rates '!B140</f>
        <v>0</v>
      </c>
      <c r="C144" s="435">
        <f>'Renewal Rates '!H140</f>
        <v>0</v>
      </c>
      <c r="D144" s="435">
        <f>C144*$B144</f>
        <v>0</v>
      </c>
      <c r="E144" s="766">
        <f>$C144</f>
        <v>0</v>
      </c>
      <c r="F144" s="435">
        <f>E144*$B144</f>
        <v>0</v>
      </c>
      <c r="G144" s="428" t="e">
        <f>E144/$C144-1</f>
        <v>#DIV/0!</v>
      </c>
      <c r="H144" s="435">
        <v>0</v>
      </c>
      <c r="I144" s="435">
        <f>H144*$B144</f>
        <v>0</v>
      </c>
      <c r="J144" s="428" t="e">
        <f>H144/$C144-1</f>
        <v>#DIV/0!</v>
      </c>
      <c r="K144" s="435">
        <v>0</v>
      </c>
      <c r="L144" s="435">
        <f>K144*$B144</f>
        <v>0</v>
      </c>
      <c r="M144" s="428" t="e">
        <f>K144/$C144-1</f>
        <v>#DIV/0!</v>
      </c>
      <c r="N144" s="766">
        <f>$C144</f>
        <v>0</v>
      </c>
      <c r="O144" s="435">
        <f>N144*$B144</f>
        <v>0</v>
      </c>
      <c r="P144" s="428" t="e">
        <f>N144/$C144-1</f>
        <v>#DIV/0!</v>
      </c>
      <c r="Q144" s="799">
        <f>$C144</f>
        <v>0</v>
      </c>
      <c r="R144" s="799">
        <f>Q144*$B144</f>
        <v>0</v>
      </c>
      <c r="S144" s="428" t="e">
        <f>Q144/$C144-1</f>
        <v>#DIV/0!</v>
      </c>
      <c r="T144" s="799">
        <f>$C144</f>
        <v>0</v>
      </c>
      <c r="U144" s="799">
        <f>T144*$B144</f>
        <v>0</v>
      </c>
      <c r="V144" s="428" t="e">
        <f>T144/$C144-1</f>
        <v>#DIV/0!</v>
      </c>
      <c r="W144" s="934">
        <f>$C144</f>
        <v>0</v>
      </c>
      <c r="X144" s="934">
        <f>W144*$B144</f>
        <v>0</v>
      </c>
      <c r="Y144" s="428" t="e">
        <f>W144/$C144-1</f>
        <v>#DIV/0!</v>
      </c>
      <c r="Z144" s="899">
        <f>$C144</f>
        <v>0</v>
      </c>
      <c r="AA144" s="899">
        <f>Z144*$B144</f>
        <v>0</v>
      </c>
      <c r="AB144" s="428" t="e">
        <f>Z144/$C144-1</f>
        <v>#DIV/0!</v>
      </c>
      <c r="AC144" s="766">
        <f>$C144</f>
        <v>0</v>
      </c>
      <c r="AD144" s="435">
        <f>AC144*$B144</f>
        <v>0</v>
      </c>
      <c r="AE144" s="428" t="e">
        <f>AC144/$C144-1</f>
        <v>#DIV/0!</v>
      </c>
      <c r="AF144" s="291"/>
      <c r="AG144" s="291"/>
    </row>
    <row r="145" spans="1:33" s="1" customFormat="1" ht="12" hidden="1" customHeight="1" outlineLevel="1">
      <c r="A145" s="448" t="s">
        <v>164</v>
      </c>
      <c r="B145" s="551">
        <f>'Renewal Rates '!B141</f>
        <v>0</v>
      </c>
      <c r="C145" s="435">
        <f>'Renewal Rates '!H141</f>
        <v>0</v>
      </c>
      <c r="D145" s="435">
        <f>C145*$B145</f>
        <v>0</v>
      </c>
      <c r="E145" s="766">
        <f t="shared" ref="E145" si="226">$C145</f>
        <v>0</v>
      </c>
      <c r="F145" s="435">
        <f>E145*$B145</f>
        <v>0</v>
      </c>
      <c r="G145" s="428" t="e">
        <f>E145/$C145-1</f>
        <v>#DIV/0!</v>
      </c>
      <c r="H145" s="435">
        <v>0</v>
      </c>
      <c r="I145" s="435">
        <f>H145*$B145</f>
        <v>0</v>
      </c>
      <c r="J145" s="428" t="e">
        <f>H145/$C145-1</f>
        <v>#DIV/0!</v>
      </c>
      <c r="K145" s="435">
        <v>0</v>
      </c>
      <c r="L145" s="435">
        <f>K145*$B145</f>
        <v>0</v>
      </c>
      <c r="M145" s="428" t="e">
        <f>K145/$C145-1</f>
        <v>#DIV/0!</v>
      </c>
      <c r="N145" s="766">
        <f t="shared" ref="N145" si="227">$C145</f>
        <v>0</v>
      </c>
      <c r="O145" s="435">
        <f>N145*$B145</f>
        <v>0</v>
      </c>
      <c r="P145" s="428" t="e">
        <f>N145/$C145-1</f>
        <v>#DIV/0!</v>
      </c>
      <c r="Q145" s="799">
        <f t="shared" ref="Q145" si="228">$C145</f>
        <v>0</v>
      </c>
      <c r="R145" s="799">
        <f>Q145*$B145</f>
        <v>0</v>
      </c>
      <c r="S145" s="428" t="e">
        <f>Q145/$C145-1</f>
        <v>#DIV/0!</v>
      </c>
      <c r="T145" s="799">
        <f t="shared" ref="T145" si="229">$C145</f>
        <v>0</v>
      </c>
      <c r="U145" s="799">
        <f>T145*$B145</f>
        <v>0</v>
      </c>
      <c r="V145" s="428" t="e">
        <f>T145/$C145-1</f>
        <v>#DIV/0!</v>
      </c>
      <c r="W145" s="934">
        <f t="shared" ref="W145" si="230">$C145</f>
        <v>0</v>
      </c>
      <c r="X145" s="934">
        <f>W145*$B145</f>
        <v>0</v>
      </c>
      <c r="Y145" s="428" t="e">
        <f>W145/$C145-1</f>
        <v>#DIV/0!</v>
      </c>
      <c r="Z145" s="899">
        <f t="shared" ref="Z145" si="231">$C145</f>
        <v>0</v>
      </c>
      <c r="AA145" s="899">
        <f>Z145*$B145</f>
        <v>0</v>
      </c>
      <c r="AB145" s="428" t="e">
        <f>Z145/$C145-1</f>
        <v>#DIV/0!</v>
      </c>
      <c r="AC145" s="766">
        <f t="shared" ref="AC145" si="232">$C145</f>
        <v>0</v>
      </c>
      <c r="AD145" s="435">
        <f>AC145*$B145</f>
        <v>0</v>
      </c>
      <c r="AE145" s="428" t="e">
        <f>AC145/$C145-1</f>
        <v>#DIV/0!</v>
      </c>
      <c r="AF145" s="291"/>
      <c r="AG145" s="291"/>
    </row>
    <row r="146" spans="1:33" s="1" customFormat="1" ht="10.5" hidden="1" customHeight="1" outlineLevel="1">
      <c r="A146" s="499" t="str">
        <f>'Renewal Rates '!A142</f>
        <v>Class C</v>
      </c>
      <c r="B146" s="551"/>
      <c r="C146" s="435"/>
      <c r="D146" s="435"/>
      <c r="E146" s="766"/>
      <c r="F146" s="435"/>
      <c r="G146" s="564"/>
      <c r="H146" s="435"/>
      <c r="I146" s="435"/>
      <c r="J146" s="564"/>
      <c r="K146" s="435"/>
      <c r="L146" s="435"/>
      <c r="M146" s="564"/>
      <c r="N146" s="766"/>
      <c r="O146" s="435"/>
      <c r="P146" s="564"/>
      <c r="Q146" s="799"/>
      <c r="R146" s="799"/>
      <c r="S146" s="564"/>
      <c r="T146" s="799"/>
      <c r="U146" s="799"/>
      <c r="V146" s="564"/>
      <c r="W146" s="934"/>
      <c r="X146" s="934"/>
      <c r="Y146" s="564"/>
      <c r="Z146" s="899"/>
      <c r="AA146" s="899"/>
      <c r="AB146" s="564"/>
      <c r="AC146" s="766"/>
      <c r="AD146" s="435"/>
      <c r="AE146" s="564"/>
      <c r="AF146" s="291"/>
      <c r="AG146" s="291"/>
    </row>
    <row r="147" spans="1:33" s="1" customFormat="1" ht="12" hidden="1" customHeight="1" outlineLevel="1">
      <c r="A147" s="448" t="s">
        <v>163</v>
      </c>
      <c r="B147" s="551">
        <f>'Renewal Rates '!B143</f>
        <v>0</v>
      </c>
      <c r="C147" s="435">
        <f>'Renewal Rates '!H143</f>
        <v>0</v>
      </c>
      <c r="D147" s="435">
        <f>C147*$B147</f>
        <v>0</v>
      </c>
      <c r="E147" s="766">
        <f t="shared" ref="E147:E154" si="233">$C147</f>
        <v>0</v>
      </c>
      <c r="F147" s="435">
        <f>E147*$B147</f>
        <v>0</v>
      </c>
      <c r="G147" s="428" t="e">
        <f>E147/$C147-1</f>
        <v>#DIV/0!</v>
      </c>
      <c r="H147" s="435">
        <v>0</v>
      </c>
      <c r="I147" s="435">
        <f>H147*$B147</f>
        <v>0</v>
      </c>
      <c r="J147" s="428" t="e">
        <f>H147/$C147-1</f>
        <v>#DIV/0!</v>
      </c>
      <c r="K147" s="435">
        <v>0</v>
      </c>
      <c r="L147" s="435">
        <f>K147*$B147</f>
        <v>0</v>
      </c>
      <c r="M147" s="428" t="e">
        <f>K147/$C147-1</f>
        <v>#DIV/0!</v>
      </c>
      <c r="N147" s="766">
        <f t="shared" ref="N147:N154" si="234">$C147</f>
        <v>0</v>
      </c>
      <c r="O147" s="435">
        <f>N147*$B147</f>
        <v>0</v>
      </c>
      <c r="P147" s="428" t="e">
        <f>N147/$C147-1</f>
        <v>#DIV/0!</v>
      </c>
      <c r="Q147" s="799">
        <f t="shared" ref="Q147:Q154" si="235">$C147</f>
        <v>0</v>
      </c>
      <c r="R147" s="799">
        <f>Q147*$B147</f>
        <v>0</v>
      </c>
      <c r="S147" s="428" t="e">
        <f>Q147/$C147-1</f>
        <v>#DIV/0!</v>
      </c>
      <c r="T147" s="799">
        <f t="shared" ref="T147:T154" si="236">$C147</f>
        <v>0</v>
      </c>
      <c r="U147" s="799">
        <f>T147*$B147</f>
        <v>0</v>
      </c>
      <c r="V147" s="428" t="e">
        <f>T147/$C147-1</f>
        <v>#DIV/0!</v>
      </c>
      <c r="W147" s="934">
        <f t="shared" ref="W147:W154" si="237">$C147</f>
        <v>0</v>
      </c>
      <c r="X147" s="934">
        <f>W147*$B147</f>
        <v>0</v>
      </c>
      <c r="Y147" s="428" t="e">
        <f>W147/$C147-1</f>
        <v>#DIV/0!</v>
      </c>
      <c r="Z147" s="899">
        <f t="shared" ref="Z147:Z154" si="238">$C147</f>
        <v>0</v>
      </c>
      <c r="AA147" s="899">
        <f>Z147*$B147</f>
        <v>0</v>
      </c>
      <c r="AB147" s="428" t="e">
        <f>Z147/$C147-1</f>
        <v>#DIV/0!</v>
      </c>
      <c r="AC147" s="766">
        <f t="shared" ref="AC147:AC154" si="239">$C147</f>
        <v>0</v>
      </c>
      <c r="AD147" s="435">
        <f>AC147*$B147</f>
        <v>0</v>
      </c>
      <c r="AE147" s="428" t="e">
        <f>AC147/$C147-1</f>
        <v>#DIV/0!</v>
      </c>
      <c r="AF147" s="291"/>
      <c r="AG147" s="291"/>
    </row>
    <row r="148" spans="1:33" s="1" customFormat="1" ht="12" hidden="1" customHeight="1" outlineLevel="1">
      <c r="A148" s="448" t="s">
        <v>164</v>
      </c>
      <c r="B148" s="551">
        <f>'Renewal Rates '!B144</f>
        <v>0</v>
      </c>
      <c r="C148" s="435">
        <f>'Renewal Rates '!H144</f>
        <v>0</v>
      </c>
      <c r="D148" s="435">
        <f>C148*$B148</f>
        <v>0</v>
      </c>
      <c r="E148" s="766">
        <f t="shared" si="233"/>
        <v>0</v>
      </c>
      <c r="F148" s="435">
        <f>E148*$B148</f>
        <v>0</v>
      </c>
      <c r="G148" s="428" t="e">
        <f>E148/$C148-1</f>
        <v>#DIV/0!</v>
      </c>
      <c r="H148" s="435">
        <v>0</v>
      </c>
      <c r="I148" s="435">
        <f>H148*$B148</f>
        <v>0</v>
      </c>
      <c r="J148" s="428" t="e">
        <f>H148/$C148-1</f>
        <v>#DIV/0!</v>
      </c>
      <c r="K148" s="435">
        <v>0</v>
      </c>
      <c r="L148" s="435">
        <f>K148*$B148</f>
        <v>0</v>
      </c>
      <c r="M148" s="428" t="e">
        <f>K148/$C148-1</f>
        <v>#DIV/0!</v>
      </c>
      <c r="N148" s="766">
        <f t="shared" si="234"/>
        <v>0</v>
      </c>
      <c r="O148" s="435">
        <f>N148*$B148</f>
        <v>0</v>
      </c>
      <c r="P148" s="428" t="e">
        <f>N148/$C148-1</f>
        <v>#DIV/0!</v>
      </c>
      <c r="Q148" s="799">
        <f t="shared" si="235"/>
        <v>0</v>
      </c>
      <c r="R148" s="799">
        <f>Q148*$B148</f>
        <v>0</v>
      </c>
      <c r="S148" s="428" t="e">
        <f>Q148/$C148-1</f>
        <v>#DIV/0!</v>
      </c>
      <c r="T148" s="799">
        <f t="shared" si="236"/>
        <v>0</v>
      </c>
      <c r="U148" s="799">
        <f>T148*$B148</f>
        <v>0</v>
      </c>
      <c r="V148" s="428" t="e">
        <f>T148/$C148-1</f>
        <v>#DIV/0!</v>
      </c>
      <c r="W148" s="934">
        <f t="shared" si="237"/>
        <v>0</v>
      </c>
      <c r="X148" s="934">
        <f>W148*$B148</f>
        <v>0</v>
      </c>
      <c r="Y148" s="428" t="e">
        <f>W148/$C148-1</f>
        <v>#DIV/0!</v>
      </c>
      <c r="Z148" s="899">
        <f t="shared" si="238"/>
        <v>0</v>
      </c>
      <c r="AA148" s="899">
        <f>Z148*$B148</f>
        <v>0</v>
      </c>
      <c r="AB148" s="428" t="e">
        <f>Z148/$C148-1</f>
        <v>#DIV/0!</v>
      </c>
      <c r="AC148" s="766">
        <f t="shared" si="239"/>
        <v>0</v>
      </c>
      <c r="AD148" s="435">
        <f>AC148*$B148</f>
        <v>0</v>
      </c>
      <c r="AE148" s="428" t="e">
        <f>AC148/$C148-1</f>
        <v>#DIV/0!</v>
      </c>
      <c r="AF148" s="291"/>
      <c r="AG148" s="291"/>
    </row>
    <row r="149" spans="1:33" s="1" customFormat="1" ht="10.5" hidden="1" customHeight="1" outlineLevel="1">
      <c r="A149" s="499" t="str">
        <f>'Renewal Rates '!A145</f>
        <v>Class D</v>
      </c>
      <c r="B149" s="551"/>
      <c r="C149" s="435"/>
      <c r="D149" s="435"/>
      <c r="E149" s="766"/>
      <c r="F149" s="435"/>
      <c r="G149" s="564"/>
      <c r="H149" s="435"/>
      <c r="I149" s="435"/>
      <c r="J149" s="564"/>
      <c r="K149" s="435"/>
      <c r="L149" s="435"/>
      <c r="M149" s="564"/>
      <c r="N149" s="766"/>
      <c r="O149" s="435"/>
      <c r="P149" s="564"/>
      <c r="Q149" s="799"/>
      <c r="R149" s="799"/>
      <c r="S149" s="564"/>
      <c r="T149" s="799"/>
      <c r="U149" s="799"/>
      <c r="V149" s="564"/>
      <c r="W149" s="934"/>
      <c r="X149" s="934"/>
      <c r="Y149" s="564"/>
      <c r="Z149" s="899"/>
      <c r="AA149" s="899"/>
      <c r="AB149" s="564"/>
      <c r="AC149" s="766"/>
      <c r="AD149" s="435"/>
      <c r="AE149" s="564"/>
      <c r="AF149" s="291"/>
      <c r="AG149" s="291"/>
    </row>
    <row r="150" spans="1:33" s="1" customFormat="1" ht="12" hidden="1" customHeight="1" outlineLevel="1">
      <c r="A150" s="448" t="s">
        <v>163</v>
      </c>
      <c r="B150" s="551">
        <f>'Renewal Rates '!B146</f>
        <v>0</v>
      </c>
      <c r="C150" s="435">
        <f>'Renewal Rates '!H146</f>
        <v>0</v>
      </c>
      <c r="D150" s="435">
        <f>C150*$B150</f>
        <v>0</v>
      </c>
      <c r="E150" s="766">
        <f t="shared" si="233"/>
        <v>0</v>
      </c>
      <c r="F150" s="435">
        <f>E150*$B150</f>
        <v>0</v>
      </c>
      <c r="G150" s="428" t="e">
        <f>E150/$C150-1</f>
        <v>#DIV/0!</v>
      </c>
      <c r="H150" s="435">
        <v>0</v>
      </c>
      <c r="I150" s="435">
        <f>H150*$B150</f>
        <v>0</v>
      </c>
      <c r="J150" s="428" t="e">
        <f>H150/$C150-1</f>
        <v>#DIV/0!</v>
      </c>
      <c r="K150" s="435">
        <v>0</v>
      </c>
      <c r="L150" s="435">
        <f>K150*$B150</f>
        <v>0</v>
      </c>
      <c r="M150" s="428" t="e">
        <f>K150/$C150-1</f>
        <v>#DIV/0!</v>
      </c>
      <c r="N150" s="766">
        <f t="shared" si="234"/>
        <v>0</v>
      </c>
      <c r="O150" s="435">
        <f>N150*$B150</f>
        <v>0</v>
      </c>
      <c r="P150" s="428" t="e">
        <f>N150/$C150-1</f>
        <v>#DIV/0!</v>
      </c>
      <c r="Q150" s="799">
        <f t="shared" si="235"/>
        <v>0</v>
      </c>
      <c r="R150" s="799">
        <f>Q150*$B150</f>
        <v>0</v>
      </c>
      <c r="S150" s="428" t="e">
        <f>Q150/$C150-1</f>
        <v>#DIV/0!</v>
      </c>
      <c r="T150" s="799">
        <f t="shared" si="236"/>
        <v>0</v>
      </c>
      <c r="U150" s="799">
        <f>T150*$B150</f>
        <v>0</v>
      </c>
      <c r="V150" s="428" t="e">
        <f>T150/$C150-1</f>
        <v>#DIV/0!</v>
      </c>
      <c r="W150" s="934">
        <f t="shared" si="237"/>
        <v>0</v>
      </c>
      <c r="X150" s="934">
        <f>W150*$B150</f>
        <v>0</v>
      </c>
      <c r="Y150" s="428" t="e">
        <f>W150/$C150-1</f>
        <v>#DIV/0!</v>
      </c>
      <c r="Z150" s="899">
        <f t="shared" si="238"/>
        <v>0</v>
      </c>
      <c r="AA150" s="899">
        <f>Z150*$B150</f>
        <v>0</v>
      </c>
      <c r="AB150" s="428" t="e">
        <f>Z150/$C150-1</f>
        <v>#DIV/0!</v>
      </c>
      <c r="AC150" s="766">
        <f t="shared" si="239"/>
        <v>0</v>
      </c>
      <c r="AD150" s="435">
        <f>AC150*$B150</f>
        <v>0</v>
      </c>
      <c r="AE150" s="428" t="e">
        <f>AC150/$C150-1</f>
        <v>#DIV/0!</v>
      </c>
      <c r="AF150" s="291"/>
      <c r="AG150" s="291"/>
    </row>
    <row r="151" spans="1:33" s="1" customFormat="1" ht="12" hidden="1" customHeight="1" outlineLevel="1">
      <c r="A151" s="448" t="s">
        <v>164</v>
      </c>
      <c r="B151" s="551">
        <f>'Renewal Rates '!B147</f>
        <v>0</v>
      </c>
      <c r="C151" s="435">
        <f>'Renewal Rates '!H147</f>
        <v>0</v>
      </c>
      <c r="D151" s="435">
        <f>C151*$B151</f>
        <v>0</v>
      </c>
      <c r="E151" s="766">
        <f t="shared" si="233"/>
        <v>0</v>
      </c>
      <c r="F151" s="435">
        <f>E151*$B151</f>
        <v>0</v>
      </c>
      <c r="G151" s="428" t="e">
        <f>E151/$C151-1</f>
        <v>#DIV/0!</v>
      </c>
      <c r="H151" s="435">
        <v>0</v>
      </c>
      <c r="I151" s="435">
        <f>H151*$B151</f>
        <v>0</v>
      </c>
      <c r="J151" s="428" t="e">
        <f>H151/$C151-1</f>
        <v>#DIV/0!</v>
      </c>
      <c r="K151" s="435">
        <v>0</v>
      </c>
      <c r="L151" s="435">
        <f>K151*$B151</f>
        <v>0</v>
      </c>
      <c r="M151" s="428" t="e">
        <f>K151/$C151-1</f>
        <v>#DIV/0!</v>
      </c>
      <c r="N151" s="766">
        <f t="shared" si="234"/>
        <v>0</v>
      </c>
      <c r="O151" s="435">
        <f>N151*$B151</f>
        <v>0</v>
      </c>
      <c r="P151" s="428" t="e">
        <f>N151/$C151-1</f>
        <v>#DIV/0!</v>
      </c>
      <c r="Q151" s="799">
        <f t="shared" si="235"/>
        <v>0</v>
      </c>
      <c r="R151" s="799">
        <f>Q151*$B151</f>
        <v>0</v>
      </c>
      <c r="S151" s="428" t="e">
        <f>Q151/$C151-1</f>
        <v>#DIV/0!</v>
      </c>
      <c r="T151" s="799">
        <f t="shared" si="236"/>
        <v>0</v>
      </c>
      <c r="U151" s="799">
        <f>T151*$B151</f>
        <v>0</v>
      </c>
      <c r="V151" s="428" t="e">
        <f>T151/$C151-1</f>
        <v>#DIV/0!</v>
      </c>
      <c r="W151" s="934">
        <f t="shared" si="237"/>
        <v>0</v>
      </c>
      <c r="X151" s="934">
        <f>W151*$B151</f>
        <v>0</v>
      </c>
      <c r="Y151" s="428" t="e">
        <f>W151/$C151-1</f>
        <v>#DIV/0!</v>
      </c>
      <c r="Z151" s="899">
        <f t="shared" si="238"/>
        <v>0</v>
      </c>
      <c r="AA151" s="899">
        <f>Z151*$B151</f>
        <v>0</v>
      </c>
      <c r="AB151" s="428" t="e">
        <f>Z151/$C151-1</f>
        <v>#DIV/0!</v>
      </c>
      <c r="AC151" s="766">
        <f t="shared" si="239"/>
        <v>0</v>
      </c>
      <c r="AD151" s="435">
        <f>AC151*$B151</f>
        <v>0</v>
      </c>
      <c r="AE151" s="428" t="e">
        <f>AC151/$C151-1</f>
        <v>#DIV/0!</v>
      </c>
      <c r="AF151" s="291"/>
      <c r="AG151" s="291"/>
    </row>
    <row r="152" spans="1:33" s="1" customFormat="1" ht="10.5" customHeight="1" collapsed="1">
      <c r="A152" s="499" t="str">
        <f>'Renewal Rates '!A148</f>
        <v>All Employees</v>
      </c>
      <c r="B152" s="551"/>
      <c r="C152" s="435"/>
      <c r="D152" s="435"/>
      <c r="E152" s="766"/>
      <c r="F152" s="435"/>
      <c r="G152" s="564"/>
      <c r="H152" s="435"/>
      <c r="I152" s="435"/>
      <c r="J152" s="564"/>
      <c r="K152" s="435"/>
      <c r="L152" s="435"/>
      <c r="M152" s="564"/>
      <c r="N152" s="766"/>
      <c r="O152" s="435"/>
      <c r="P152" s="564"/>
      <c r="Q152" s="799"/>
      <c r="R152" s="799"/>
      <c r="S152" s="564"/>
      <c r="T152" s="799"/>
      <c r="U152" s="799"/>
      <c r="V152" s="564"/>
      <c r="W152" s="934"/>
      <c r="X152" s="934"/>
      <c r="Y152" s="564"/>
      <c r="Z152" s="899"/>
      <c r="AA152" s="899"/>
      <c r="AB152" s="564"/>
      <c r="AC152" s="766"/>
      <c r="AD152" s="435"/>
      <c r="AE152" s="564"/>
      <c r="AF152" s="291"/>
      <c r="AG152" s="291"/>
    </row>
    <row r="153" spans="1:33" s="1" customFormat="1" ht="12" customHeight="1">
      <c r="A153" s="448" t="s">
        <v>163</v>
      </c>
      <c r="B153" s="551">
        <f>'Renewal Rates '!B149</f>
        <v>0</v>
      </c>
      <c r="C153" s="435">
        <f>'Renewal Rates '!H149</f>
        <v>0</v>
      </c>
      <c r="D153" s="435">
        <f>C153*$B153</f>
        <v>0</v>
      </c>
      <c r="E153" s="766">
        <f t="shared" si="233"/>
        <v>0</v>
      </c>
      <c r="F153" s="435">
        <f>E153*$B153</f>
        <v>0</v>
      </c>
      <c r="G153" s="428" t="e">
        <f>E153/$C153-1</f>
        <v>#DIV/0!</v>
      </c>
      <c r="H153" s="435">
        <v>0</v>
      </c>
      <c r="I153" s="435">
        <f>H153*$B153</f>
        <v>0</v>
      </c>
      <c r="J153" s="428" t="e">
        <f>H153/$C153-1</f>
        <v>#DIV/0!</v>
      </c>
      <c r="K153" s="435">
        <v>0</v>
      </c>
      <c r="L153" s="435">
        <f>K153*$B153</f>
        <v>0</v>
      </c>
      <c r="M153" s="428" t="e">
        <f>K153/$C153-1</f>
        <v>#DIV/0!</v>
      </c>
      <c r="N153" s="766">
        <f t="shared" si="234"/>
        <v>0</v>
      </c>
      <c r="O153" s="435">
        <f>N153*$B153</f>
        <v>0</v>
      </c>
      <c r="P153" s="428" t="e">
        <f>N153/$C153-1</f>
        <v>#DIV/0!</v>
      </c>
      <c r="Q153" s="799">
        <f t="shared" si="235"/>
        <v>0</v>
      </c>
      <c r="R153" s="799">
        <f>Q153*$B153</f>
        <v>0</v>
      </c>
      <c r="S153" s="428" t="e">
        <f>Q153/$C153-1</f>
        <v>#DIV/0!</v>
      </c>
      <c r="T153" s="799">
        <f t="shared" si="236"/>
        <v>0</v>
      </c>
      <c r="U153" s="799">
        <f>T153*$B153</f>
        <v>0</v>
      </c>
      <c r="V153" s="428" t="e">
        <f>T153/$C153-1</f>
        <v>#DIV/0!</v>
      </c>
      <c r="W153" s="934">
        <f t="shared" si="237"/>
        <v>0</v>
      </c>
      <c r="X153" s="934">
        <f>W153*$B153</f>
        <v>0</v>
      </c>
      <c r="Y153" s="428" t="e">
        <f>W153/$C153-1</f>
        <v>#DIV/0!</v>
      </c>
      <c r="Z153" s="899">
        <f t="shared" si="238"/>
        <v>0</v>
      </c>
      <c r="AA153" s="899">
        <f>Z153*$B153</f>
        <v>0</v>
      </c>
      <c r="AB153" s="428" t="e">
        <f>Z153/$C153-1</f>
        <v>#DIV/0!</v>
      </c>
      <c r="AC153" s="766">
        <f t="shared" si="239"/>
        <v>0</v>
      </c>
      <c r="AD153" s="435">
        <f>AC153*$B153</f>
        <v>0</v>
      </c>
      <c r="AE153" s="428" t="e">
        <f>AC153/$C153-1</f>
        <v>#DIV/0!</v>
      </c>
      <c r="AF153" s="291"/>
      <c r="AG153" s="291"/>
    </row>
    <row r="154" spans="1:33" s="1" customFormat="1" ht="12" customHeight="1">
      <c r="A154" s="448" t="s">
        <v>164</v>
      </c>
      <c r="B154" s="551">
        <f>'Renewal Rates '!B150</f>
        <v>0</v>
      </c>
      <c r="C154" s="435">
        <f>'Renewal Rates '!H150</f>
        <v>0</v>
      </c>
      <c r="D154" s="435">
        <f>C154*$B154</f>
        <v>0</v>
      </c>
      <c r="E154" s="766">
        <f t="shared" si="233"/>
        <v>0</v>
      </c>
      <c r="F154" s="435">
        <f>E154*$B154</f>
        <v>0</v>
      </c>
      <c r="G154" s="428" t="e">
        <f>E154/$C154-1</f>
        <v>#DIV/0!</v>
      </c>
      <c r="H154" s="435">
        <v>0</v>
      </c>
      <c r="I154" s="435">
        <f>H154*$B154</f>
        <v>0</v>
      </c>
      <c r="J154" s="428" t="e">
        <f>H154/$C154-1</f>
        <v>#DIV/0!</v>
      </c>
      <c r="K154" s="435">
        <v>0</v>
      </c>
      <c r="L154" s="435">
        <f>K154*$B154</f>
        <v>0</v>
      </c>
      <c r="M154" s="428" t="e">
        <f>K154/$C154-1</f>
        <v>#DIV/0!</v>
      </c>
      <c r="N154" s="766">
        <f t="shared" si="234"/>
        <v>0</v>
      </c>
      <c r="O154" s="435">
        <f>N154*$B154</f>
        <v>0</v>
      </c>
      <c r="P154" s="428" t="e">
        <f>N154/$C154-1</f>
        <v>#DIV/0!</v>
      </c>
      <c r="Q154" s="799">
        <f t="shared" si="235"/>
        <v>0</v>
      </c>
      <c r="R154" s="799">
        <f>Q154*$B154</f>
        <v>0</v>
      </c>
      <c r="S154" s="428" t="e">
        <f>Q154/$C154-1</f>
        <v>#DIV/0!</v>
      </c>
      <c r="T154" s="799">
        <f t="shared" si="236"/>
        <v>0</v>
      </c>
      <c r="U154" s="799">
        <f>T154*$B154</f>
        <v>0</v>
      </c>
      <c r="V154" s="428" t="e">
        <f>T154/$C154-1</f>
        <v>#DIV/0!</v>
      </c>
      <c r="W154" s="934">
        <f t="shared" si="237"/>
        <v>0</v>
      </c>
      <c r="X154" s="934">
        <f>W154*$B154</f>
        <v>0</v>
      </c>
      <c r="Y154" s="428" t="e">
        <f>W154/$C154-1</f>
        <v>#DIV/0!</v>
      </c>
      <c r="Z154" s="899">
        <f t="shared" si="238"/>
        <v>0</v>
      </c>
      <c r="AA154" s="899">
        <f>Z154*$B154</f>
        <v>0</v>
      </c>
      <c r="AB154" s="428" t="e">
        <f>Z154/$C154-1</f>
        <v>#DIV/0!</v>
      </c>
      <c r="AC154" s="766">
        <f t="shared" si="239"/>
        <v>0</v>
      </c>
      <c r="AD154" s="435">
        <f>AC154*$B154</f>
        <v>0</v>
      </c>
      <c r="AE154" s="428" t="e">
        <f>AC154/$C154-1</f>
        <v>#DIV/0!</v>
      </c>
      <c r="AF154" s="291"/>
      <c r="AG154" s="291"/>
    </row>
    <row r="155" spans="1:33" s="1" customFormat="1" ht="12" customHeight="1">
      <c r="A155" s="448" t="s">
        <v>682</v>
      </c>
      <c r="B155" s="541"/>
      <c r="C155" s="542"/>
      <c r="D155" s="542">
        <f>SUM(D141:D154)</f>
        <v>0</v>
      </c>
      <c r="E155" s="542"/>
      <c r="F155" s="542">
        <f>SUM(F141:F154)</f>
        <v>0</v>
      </c>
      <c r="G155" s="448"/>
      <c r="H155" s="542"/>
      <c r="I155" s="542">
        <f>SUM(I141:I154)</f>
        <v>0</v>
      </c>
      <c r="J155" s="448"/>
      <c r="K155" s="542"/>
      <c r="L155" s="542">
        <f>SUM(L141:L154)</f>
        <v>0</v>
      </c>
      <c r="M155" s="448"/>
      <c r="N155" s="542"/>
      <c r="O155" s="542">
        <f>SUM(O141:O154)</f>
        <v>0</v>
      </c>
      <c r="P155" s="448"/>
      <c r="Q155" s="542"/>
      <c r="R155" s="542">
        <f>SUM(R141:R154)</f>
        <v>0</v>
      </c>
      <c r="S155" s="448"/>
      <c r="T155" s="542"/>
      <c r="U155" s="542">
        <f>SUM(U141:U154)</f>
        <v>0</v>
      </c>
      <c r="V155" s="448"/>
      <c r="W155" s="542"/>
      <c r="X155" s="542">
        <f>SUM(X141:X154)</f>
        <v>0</v>
      </c>
      <c r="Y155" s="448"/>
      <c r="Z155" s="542"/>
      <c r="AA155" s="542">
        <f>SUM(AA141:AA154)</f>
        <v>0</v>
      </c>
      <c r="AB155" s="448"/>
      <c r="AC155" s="542"/>
      <c r="AD155" s="542">
        <f>SUM(AD141:AD154)</f>
        <v>0</v>
      </c>
      <c r="AE155" s="448"/>
      <c r="AF155" s="291"/>
      <c r="AG155" s="291"/>
    </row>
    <row r="156" spans="1:33" s="1" customFormat="1" ht="4.5" customHeight="1">
      <c r="A156" s="731"/>
      <c r="B156" s="732"/>
      <c r="C156" s="732"/>
      <c r="D156" s="732"/>
      <c r="E156" s="732"/>
      <c r="F156" s="732"/>
      <c r="G156" s="732"/>
      <c r="H156" s="732"/>
      <c r="I156" s="732"/>
      <c r="J156" s="732"/>
      <c r="K156" s="732"/>
      <c r="L156" s="732"/>
      <c r="M156" s="732"/>
      <c r="N156" s="732"/>
      <c r="O156" s="732"/>
      <c r="P156" s="732"/>
      <c r="Q156" s="732"/>
      <c r="R156" s="732"/>
      <c r="S156" s="732"/>
      <c r="T156" s="732"/>
      <c r="U156" s="732"/>
      <c r="V156" s="732"/>
      <c r="W156" s="732"/>
      <c r="X156" s="732"/>
      <c r="Y156" s="732"/>
      <c r="Z156" s="732"/>
      <c r="AA156" s="732"/>
      <c r="AB156" s="732"/>
      <c r="AC156" s="732"/>
      <c r="AD156" s="732"/>
      <c r="AE156" s="733"/>
      <c r="AF156" s="291"/>
      <c r="AG156" s="291"/>
    </row>
    <row r="157" spans="1:33" s="1" customFormat="1" ht="12" customHeight="1">
      <c r="A157" s="448" t="s">
        <v>134</v>
      </c>
      <c r="B157" s="385"/>
      <c r="C157" s="435"/>
      <c r="D157" s="435"/>
      <c r="E157" s="435"/>
      <c r="F157" s="435"/>
      <c r="G157" s="428"/>
      <c r="H157" s="435"/>
      <c r="I157" s="435"/>
      <c r="J157" s="428"/>
      <c r="K157" s="435"/>
      <c r="L157" s="435"/>
      <c r="M157" s="428"/>
      <c r="N157" s="435"/>
      <c r="O157" s="435"/>
      <c r="P157" s="428"/>
      <c r="Q157" s="799"/>
      <c r="R157" s="799"/>
      <c r="S157" s="428"/>
      <c r="T157" s="799"/>
      <c r="U157" s="799"/>
      <c r="V157" s="428"/>
      <c r="W157" s="934"/>
      <c r="X157" s="934"/>
      <c r="Y157" s="428"/>
      <c r="Z157" s="899"/>
      <c r="AA157" s="899"/>
      <c r="AB157" s="428"/>
      <c r="AC157" s="435"/>
      <c r="AD157" s="435"/>
      <c r="AE157" s="428"/>
      <c r="AF157" s="291"/>
      <c r="AG157" s="291"/>
    </row>
    <row r="158" spans="1:33" s="1" customFormat="1" ht="12" hidden="1" customHeight="1" outlineLevel="1">
      <c r="A158" s="499" t="str">
        <f>'Renewal Rates '!A153</f>
        <v>Class A</v>
      </c>
      <c r="B158" s="551">
        <f>'Renewal Rates '!B153</f>
        <v>0</v>
      </c>
      <c r="C158" s="385">
        <f>'Renewal Rates '!H153</f>
        <v>0</v>
      </c>
      <c r="D158" s="435">
        <f>C158*$B158</f>
        <v>0</v>
      </c>
      <c r="E158" s="766">
        <v>0</v>
      </c>
      <c r="F158" s="435">
        <f>E158*$B158</f>
        <v>0</v>
      </c>
      <c r="G158" s="428" t="e">
        <f>E158/$C158-1</f>
        <v>#DIV/0!</v>
      </c>
      <c r="H158" s="435">
        <v>0</v>
      </c>
      <c r="I158" s="435">
        <f>H158*$B158</f>
        <v>0</v>
      </c>
      <c r="J158" s="428" t="e">
        <f>H158/$C158-1</f>
        <v>#DIV/0!</v>
      </c>
      <c r="K158" s="435">
        <v>0</v>
      </c>
      <c r="L158" s="435">
        <f>K158*$B158</f>
        <v>0</v>
      </c>
      <c r="M158" s="428" t="e">
        <f>K158/$C158-1</f>
        <v>#DIV/0!</v>
      </c>
      <c r="N158" s="435">
        <f>$C158</f>
        <v>0</v>
      </c>
      <c r="O158" s="435">
        <f>N158*$B158</f>
        <v>0</v>
      </c>
      <c r="P158" s="428" t="e">
        <f>N158/$C158-1</f>
        <v>#DIV/0!</v>
      </c>
      <c r="Q158" s="799">
        <f>$C158</f>
        <v>0</v>
      </c>
      <c r="R158" s="799">
        <f>Q158*$B158</f>
        <v>0</v>
      </c>
      <c r="S158" s="428" t="e">
        <f>Q158/$C158-1</f>
        <v>#DIV/0!</v>
      </c>
      <c r="T158" s="799">
        <f>$C158</f>
        <v>0</v>
      </c>
      <c r="U158" s="799">
        <f>T158*$B158</f>
        <v>0</v>
      </c>
      <c r="V158" s="428" t="e">
        <f>T158/$C158-1</f>
        <v>#DIV/0!</v>
      </c>
      <c r="W158" s="934">
        <f>$C158</f>
        <v>0</v>
      </c>
      <c r="X158" s="934">
        <f>W158*$B158</f>
        <v>0</v>
      </c>
      <c r="Y158" s="428" t="e">
        <f>W158/$C158-1</f>
        <v>#DIV/0!</v>
      </c>
      <c r="Z158" s="899">
        <f>$C158</f>
        <v>0</v>
      </c>
      <c r="AA158" s="899">
        <f>Z158*$B158</f>
        <v>0</v>
      </c>
      <c r="AB158" s="428" t="e">
        <f>Z158/$C158-1</f>
        <v>#DIV/0!</v>
      </c>
      <c r="AC158" s="766">
        <f>$C158</f>
        <v>0</v>
      </c>
      <c r="AD158" s="435">
        <f>AC158*$B158</f>
        <v>0</v>
      </c>
      <c r="AE158" s="428" t="e">
        <f>AC158/$C158-1</f>
        <v>#DIV/0!</v>
      </c>
      <c r="AF158" s="291"/>
      <c r="AG158" s="291"/>
    </row>
    <row r="159" spans="1:33" s="1" customFormat="1" ht="12" hidden="1" customHeight="1" outlineLevel="1">
      <c r="A159" s="499" t="str">
        <f>'Renewal Rates '!A154</f>
        <v>Class B</v>
      </c>
      <c r="B159" s="551">
        <f>'Renewal Rates '!B154</f>
        <v>0</v>
      </c>
      <c r="C159" s="385">
        <f>'Renewal Rates '!H154</f>
        <v>0</v>
      </c>
      <c r="D159" s="435">
        <f t="shared" ref="D159:D162" si="240">C159*$B159</f>
        <v>0</v>
      </c>
      <c r="E159" s="766">
        <v>0</v>
      </c>
      <c r="F159" s="435">
        <f t="shared" ref="F159:F162" si="241">E159*$B159</f>
        <v>0</v>
      </c>
      <c r="G159" s="428" t="e">
        <f t="shared" ref="G159:G162" si="242">E159/$C159-1</f>
        <v>#DIV/0!</v>
      </c>
      <c r="H159" s="435">
        <v>0</v>
      </c>
      <c r="I159" s="435">
        <f t="shared" ref="I159:I162" si="243">H159*$B159</f>
        <v>0</v>
      </c>
      <c r="J159" s="428" t="e">
        <f t="shared" ref="J159:J162" si="244">H159/$C159-1</f>
        <v>#DIV/0!</v>
      </c>
      <c r="K159" s="435">
        <v>0</v>
      </c>
      <c r="L159" s="435">
        <f t="shared" ref="L159:L162" si="245">K159*$B159</f>
        <v>0</v>
      </c>
      <c r="M159" s="428" t="e">
        <f t="shared" ref="M159:M162" si="246">K159/$C159-1</f>
        <v>#DIV/0!</v>
      </c>
      <c r="N159" s="766">
        <f t="shared" ref="N159:N162" si="247">$C159</f>
        <v>0</v>
      </c>
      <c r="O159" s="435">
        <f t="shared" ref="O159:O162" si="248">N159*$B159</f>
        <v>0</v>
      </c>
      <c r="P159" s="428" t="e">
        <f t="shared" ref="P159:P162" si="249">N159/$C159-1</f>
        <v>#DIV/0!</v>
      </c>
      <c r="Q159" s="799">
        <f t="shared" ref="Q159:Q162" si="250">$C159</f>
        <v>0</v>
      </c>
      <c r="R159" s="799">
        <f t="shared" ref="R159:R162" si="251">Q159*$B159</f>
        <v>0</v>
      </c>
      <c r="S159" s="428" t="e">
        <f t="shared" ref="S159:S162" si="252">Q159/$C159-1</f>
        <v>#DIV/0!</v>
      </c>
      <c r="T159" s="799">
        <f t="shared" ref="T159:T162" si="253">$C159</f>
        <v>0</v>
      </c>
      <c r="U159" s="799">
        <f t="shared" ref="U159:U162" si="254">T159*$B159</f>
        <v>0</v>
      </c>
      <c r="V159" s="428" t="e">
        <f t="shared" ref="V159:V162" si="255">T159/$C159-1</f>
        <v>#DIV/0!</v>
      </c>
      <c r="W159" s="934">
        <f t="shared" ref="W159:W162" si="256">$C159</f>
        <v>0</v>
      </c>
      <c r="X159" s="934">
        <f t="shared" ref="X159:X162" si="257">W159*$B159</f>
        <v>0</v>
      </c>
      <c r="Y159" s="428" t="e">
        <f t="shared" ref="Y159:Y162" si="258">W159/$C159-1</f>
        <v>#DIV/0!</v>
      </c>
      <c r="Z159" s="899">
        <f t="shared" ref="Z159:Z162" si="259">$C159</f>
        <v>0</v>
      </c>
      <c r="AA159" s="899">
        <f t="shared" ref="AA159:AA162" si="260">Z159*$B159</f>
        <v>0</v>
      </c>
      <c r="AB159" s="428" t="e">
        <f t="shared" ref="AB159:AB162" si="261">Z159/$C159-1</f>
        <v>#DIV/0!</v>
      </c>
      <c r="AC159" s="766">
        <f t="shared" ref="AC159:AC162" si="262">$C159</f>
        <v>0</v>
      </c>
      <c r="AD159" s="435">
        <f t="shared" ref="AD159:AD162" si="263">AC159*$B159</f>
        <v>0</v>
      </c>
      <c r="AE159" s="428" t="e">
        <f t="shared" ref="AE159:AE162" si="264">AC159/$C159-1</f>
        <v>#DIV/0!</v>
      </c>
      <c r="AF159" s="291"/>
      <c r="AG159" s="291"/>
    </row>
    <row r="160" spans="1:33" s="1" customFormat="1" ht="12" hidden="1" customHeight="1" outlineLevel="1">
      <c r="A160" s="499" t="str">
        <f>'Renewal Rates '!A155</f>
        <v>Class C</v>
      </c>
      <c r="B160" s="551">
        <f>'Renewal Rates '!B155</f>
        <v>0</v>
      </c>
      <c r="C160" s="385">
        <f>'Renewal Rates '!H155</f>
        <v>0</v>
      </c>
      <c r="D160" s="435">
        <f t="shared" si="240"/>
        <v>0</v>
      </c>
      <c r="E160" s="766">
        <v>0</v>
      </c>
      <c r="F160" s="435">
        <f t="shared" si="241"/>
        <v>0</v>
      </c>
      <c r="G160" s="428" t="e">
        <f t="shared" si="242"/>
        <v>#DIV/0!</v>
      </c>
      <c r="H160" s="435">
        <v>0</v>
      </c>
      <c r="I160" s="435">
        <f t="shared" si="243"/>
        <v>0</v>
      </c>
      <c r="J160" s="428" t="e">
        <f t="shared" si="244"/>
        <v>#DIV/0!</v>
      </c>
      <c r="K160" s="435">
        <v>0</v>
      </c>
      <c r="L160" s="435">
        <f t="shared" si="245"/>
        <v>0</v>
      </c>
      <c r="M160" s="428" t="e">
        <f t="shared" si="246"/>
        <v>#DIV/0!</v>
      </c>
      <c r="N160" s="766">
        <f>$C160</f>
        <v>0</v>
      </c>
      <c r="O160" s="435">
        <f t="shared" si="248"/>
        <v>0</v>
      </c>
      <c r="P160" s="428" t="e">
        <f t="shared" si="249"/>
        <v>#DIV/0!</v>
      </c>
      <c r="Q160" s="799">
        <f>$C160</f>
        <v>0</v>
      </c>
      <c r="R160" s="799">
        <f t="shared" si="251"/>
        <v>0</v>
      </c>
      <c r="S160" s="428" t="e">
        <f t="shared" si="252"/>
        <v>#DIV/0!</v>
      </c>
      <c r="T160" s="799">
        <f>$C160</f>
        <v>0</v>
      </c>
      <c r="U160" s="799">
        <f t="shared" si="254"/>
        <v>0</v>
      </c>
      <c r="V160" s="428" t="e">
        <f t="shared" si="255"/>
        <v>#DIV/0!</v>
      </c>
      <c r="W160" s="934">
        <f>$C160</f>
        <v>0</v>
      </c>
      <c r="X160" s="934">
        <f t="shared" si="257"/>
        <v>0</v>
      </c>
      <c r="Y160" s="428" t="e">
        <f t="shared" si="258"/>
        <v>#DIV/0!</v>
      </c>
      <c r="Z160" s="899">
        <f>$C160</f>
        <v>0</v>
      </c>
      <c r="AA160" s="899">
        <f t="shared" si="260"/>
        <v>0</v>
      </c>
      <c r="AB160" s="428" t="e">
        <f t="shared" si="261"/>
        <v>#DIV/0!</v>
      </c>
      <c r="AC160" s="766">
        <f>$C160</f>
        <v>0</v>
      </c>
      <c r="AD160" s="435">
        <f t="shared" si="263"/>
        <v>0</v>
      </c>
      <c r="AE160" s="428" t="e">
        <f t="shared" si="264"/>
        <v>#DIV/0!</v>
      </c>
      <c r="AF160" s="291"/>
      <c r="AG160" s="291"/>
    </row>
    <row r="161" spans="1:33" s="1" customFormat="1" ht="12" hidden="1" customHeight="1" outlineLevel="1">
      <c r="A161" s="499" t="str">
        <f>'Renewal Rates '!A156</f>
        <v>Class D</v>
      </c>
      <c r="B161" s="551">
        <f>'Renewal Rates '!B156</f>
        <v>0</v>
      </c>
      <c r="C161" s="385">
        <f>'Renewal Rates '!H156</f>
        <v>0</v>
      </c>
      <c r="D161" s="435">
        <f t="shared" si="240"/>
        <v>0</v>
      </c>
      <c r="E161" s="766">
        <f t="shared" ref="E161" si="265">$C161</f>
        <v>0</v>
      </c>
      <c r="F161" s="435">
        <f t="shared" si="241"/>
        <v>0</v>
      </c>
      <c r="G161" s="428" t="e">
        <f t="shared" si="242"/>
        <v>#DIV/0!</v>
      </c>
      <c r="H161" s="435">
        <v>0</v>
      </c>
      <c r="I161" s="435">
        <f t="shared" si="243"/>
        <v>0</v>
      </c>
      <c r="J161" s="428" t="e">
        <f t="shared" si="244"/>
        <v>#DIV/0!</v>
      </c>
      <c r="K161" s="435">
        <v>0</v>
      </c>
      <c r="L161" s="435">
        <f t="shared" si="245"/>
        <v>0</v>
      </c>
      <c r="M161" s="428" t="e">
        <f t="shared" si="246"/>
        <v>#DIV/0!</v>
      </c>
      <c r="N161" s="766">
        <f t="shared" si="247"/>
        <v>0</v>
      </c>
      <c r="O161" s="435">
        <f t="shared" si="248"/>
        <v>0</v>
      </c>
      <c r="P161" s="428" t="e">
        <f t="shared" si="249"/>
        <v>#DIV/0!</v>
      </c>
      <c r="Q161" s="799">
        <f t="shared" si="250"/>
        <v>0</v>
      </c>
      <c r="R161" s="799">
        <f t="shared" si="251"/>
        <v>0</v>
      </c>
      <c r="S161" s="428" t="e">
        <f t="shared" si="252"/>
        <v>#DIV/0!</v>
      </c>
      <c r="T161" s="799">
        <f t="shared" si="253"/>
        <v>0</v>
      </c>
      <c r="U161" s="799">
        <f t="shared" si="254"/>
        <v>0</v>
      </c>
      <c r="V161" s="428" t="e">
        <f t="shared" si="255"/>
        <v>#DIV/0!</v>
      </c>
      <c r="W161" s="934">
        <f t="shared" si="256"/>
        <v>0</v>
      </c>
      <c r="X161" s="934">
        <f t="shared" si="257"/>
        <v>0</v>
      </c>
      <c r="Y161" s="428" t="e">
        <f t="shared" si="258"/>
        <v>#DIV/0!</v>
      </c>
      <c r="Z161" s="899">
        <f t="shared" si="259"/>
        <v>0</v>
      </c>
      <c r="AA161" s="899">
        <f t="shared" si="260"/>
        <v>0</v>
      </c>
      <c r="AB161" s="428" t="e">
        <f t="shared" si="261"/>
        <v>#DIV/0!</v>
      </c>
      <c r="AC161" s="766">
        <f t="shared" si="262"/>
        <v>0</v>
      </c>
      <c r="AD161" s="435">
        <f t="shared" si="263"/>
        <v>0</v>
      </c>
      <c r="AE161" s="428" t="e">
        <f t="shared" si="264"/>
        <v>#DIV/0!</v>
      </c>
      <c r="AF161" s="291"/>
      <c r="AG161" s="291"/>
    </row>
    <row r="162" spans="1:33" s="1" customFormat="1" ht="12" customHeight="1" collapsed="1">
      <c r="A162" s="499" t="str">
        <f>'Renewal Rates '!A157</f>
        <v>All Employees</v>
      </c>
      <c r="B162" s="551">
        <f>'Renewal Rates '!B157</f>
        <v>0</v>
      </c>
      <c r="C162" s="385">
        <f>'Renewal Rates '!H157</f>
        <v>0</v>
      </c>
      <c r="D162" s="435">
        <f t="shared" si="240"/>
        <v>0</v>
      </c>
      <c r="E162" s="766">
        <v>0</v>
      </c>
      <c r="F162" s="435">
        <f t="shared" si="241"/>
        <v>0</v>
      </c>
      <c r="G162" s="428" t="e">
        <f t="shared" si="242"/>
        <v>#DIV/0!</v>
      </c>
      <c r="H162" s="435">
        <v>0</v>
      </c>
      <c r="I162" s="435">
        <f t="shared" si="243"/>
        <v>0</v>
      </c>
      <c r="J162" s="428" t="e">
        <f t="shared" si="244"/>
        <v>#DIV/0!</v>
      </c>
      <c r="K162" s="435">
        <v>0</v>
      </c>
      <c r="L162" s="435">
        <f t="shared" si="245"/>
        <v>0</v>
      </c>
      <c r="M162" s="428" t="e">
        <f t="shared" si="246"/>
        <v>#DIV/0!</v>
      </c>
      <c r="N162" s="766">
        <f t="shared" si="247"/>
        <v>0</v>
      </c>
      <c r="O162" s="435">
        <f t="shared" si="248"/>
        <v>0</v>
      </c>
      <c r="P162" s="428" t="e">
        <f t="shared" si="249"/>
        <v>#DIV/0!</v>
      </c>
      <c r="Q162" s="799">
        <f t="shared" si="250"/>
        <v>0</v>
      </c>
      <c r="R162" s="799">
        <f t="shared" si="251"/>
        <v>0</v>
      </c>
      <c r="S162" s="428" t="e">
        <f t="shared" si="252"/>
        <v>#DIV/0!</v>
      </c>
      <c r="T162" s="799">
        <f t="shared" si="253"/>
        <v>0</v>
      </c>
      <c r="U162" s="799">
        <f t="shared" si="254"/>
        <v>0</v>
      </c>
      <c r="V162" s="428" t="e">
        <f t="shared" si="255"/>
        <v>#DIV/0!</v>
      </c>
      <c r="W162" s="934">
        <f t="shared" si="256"/>
        <v>0</v>
      </c>
      <c r="X162" s="934">
        <f t="shared" si="257"/>
        <v>0</v>
      </c>
      <c r="Y162" s="428" t="e">
        <f t="shared" si="258"/>
        <v>#DIV/0!</v>
      </c>
      <c r="Z162" s="899">
        <f t="shared" si="259"/>
        <v>0</v>
      </c>
      <c r="AA162" s="899">
        <f t="shared" si="260"/>
        <v>0</v>
      </c>
      <c r="AB162" s="428" t="e">
        <f t="shared" si="261"/>
        <v>#DIV/0!</v>
      </c>
      <c r="AC162" s="766">
        <f t="shared" si="262"/>
        <v>0</v>
      </c>
      <c r="AD162" s="435">
        <f t="shared" si="263"/>
        <v>0</v>
      </c>
      <c r="AE162" s="428" t="e">
        <f t="shared" si="264"/>
        <v>#DIV/0!</v>
      </c>
      <c r="AF162" s="291"/>
      <c r="AG162" s="291"/>
    </row>
    <row r="163" spans="1:33" s="1" customFormat="1" ht="12" customHeight="1">
      <c r="A163" s="448" t="s">
        <v>679</v>
      </c>
      <c r="B163" s="541"/>
      <c r="C163" s="542"/>
      <c r="D163" s="542">
        <f>SUM(D158:D162)</f>
        <v>0</v>
      </c>
      <c r="E163" s="542"/>
      <c r="F163" s="542">
        <f>SUM(F158:F162)</f>
        <v>0</v>
      </c>
      <c r="G163" s="448" t="e">
        <f>F163/$D163-1</f>
        <v>#DIV/0!</v>
      </c>
      <c r="H163" s="542"/>
      <c r="I163" s="542">
        <f>SUM(I158:I162)</f>
        <v>0</v>
      </c>
      <c r="J163" s="448" t="e">
        <f>I163/$D163-1</f>
        <v>#DIV/0!</v>
      </c>
      <c r="K163" s="542"/>
      <c r="L163" s="542">
        <f>SUM(L158:L162)</f>
        <v>0</v>
      </c>
      <c r="M163" s="448" t="e">
        <f>L163/$D163-1</f>
        <v>#DIV/0!</v>
      </c>
      <c r="N163" s="542"/>
      <c r="O163" s="542">
        <f>SUM(O158:O162)</f>
        <v>0</v>
      </c>
      <c r="P163" s="448" t="e">
        <f>O163/$D163-1</f>
        <v>#DIV/0!</v>
      </c>
      <c r="Q163" s="542"/>
      <c r="R163" s="542">
        <f>SUM(R158:R162)</f>
        <v>0</v>
      </c>
      <c r="S163" s="448" t="e">
        <f>R163/$D163-1</f>
        <v>#DIV/0!</v>
      </c>
      <c r="T163" s="542"/>
      <c r="U163" s="542">
        <f>SUM(U158:U162)</f>
        <v>0</v>
      </c>
      <c r="V163" s="448" t="e">
        <f>U163/$D163-1</f>
        <v>#DIV/0!</v>
      </c>
      <c r="W163" s="542"/>
      <c r="X163" s="542">
        <f>SUM(X158:X162)</f>
        <v>0</v>
      </c>
      <c r="Y163" s="448" t="e">
        <f>X163/$D163-1</f>
        <v>#DIV/0!</v>
      </c>
      <c r="Z163" s="542"/>
      <c r="AA163" s="542">
        <f>SUM(AA158:AA162)</f>
        <v>0</v>
      </c>
      <c r="AB163" s="448" t="e">
        <f>AA163/$D163-1</f>
        <v>#DIV/0!</v>
      </c>
      <c r="AC163" s="542"/>
      <c r="AD163" s="542">
        <f>SUM(AD158:AD162)</f>
        <v>0</v>
      </c>
      <c r="AE163" s="448" t="e">
        <f>AD163/$D163-1</f>
        <v>#DIV/0!</v>
      </c>
      <c r="AF163" s="291"/>
      <c r="AG163" s="291"/>
    </row>
    <row r="164" spans="1:33" s="1" customFormat="1" ht="4.5" customHeight="1">
      <c r="A164" s="731"/>
      <c r="B164" s="732"/>
      <c r="C164" s="732"/>
      <c r="D164" s="732"/>
      <c r="E164" s="732"/>
      <c r="F164" s="732"/>
      <c r="G164" s="732"/>
      <c r="H164" s="732"/>
      <c r="I164" s="732"/>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3"/>
      <c r="AF164" s="291"/>
      <c r="AG164" s="291"/>
    </row>
    <row r="165" spans="1:33" s="1" customFormat="1" ht="12" customHeight="1">
      <c r="A165" s="448" t="s">
        <v>691</v>
      </c>
      <c r="B165" s="385"/>
      <c r="C165" s="435"/>
      <c r="D165" s="435"/>
      <c r="E165" s="435"/>
      <c r="F165" s="435"/>
      <c r="G165" s="428"/>
      <c r="H165" s="435"/>
      <c r="I165" s="435"/>
      <c r="J165" s="428"/>
      <c r="K165" s="435"/>
      <c r="L165" s="435"/>
      <c r="M165" s="428"/>
      <c r="N165" s="435"/>
      <c r="O165" s="435"/>
      <c r="P165" s="428"/>
      <c r="Q165" s="799"/>
      <c r="R165" s="799"/>
      <c r="S165" s="428"/>
      <c r="T165" s="799"/>
      <c r="U165" s="799"/>
      <c r="V165" s="428"/>
      <c r="W165" s="934"/>
      <c r="X165" s="934"/>
      <c r="Y165" s="428"/>
      <c r="Z165" s="899"/>
      <c r="AA165" s="899"/>
      <c r="AB165" s="428"/>
      <c r="AC165" s="435"/>
      <c r="AD165" s="435"/>
      <c r="AE165" s="428"/>
      <c r="AF165" s="291"/>
      <c r="AG165" s="291"/>
    </row>
    <row r="166" spans="1:33" s="1" customFormat="1" ht="12" hidden="1" customHeight="1" outlineLevel="1">
      <c r="A166" s="499" t="str">
        <f>'Renewal Rates '!A153</f>
        <v>Class A</v>
      </c>
      <c r="B166" s="551">
        <f>'Renewal Rates '!B161</f>
        <v>0</v>
      </c>
      <c r="C166" s="385">
        <f>'Renewal Rates '!H161</f>
        <v>0</v>
      </c>
      <c r="D166" s="435">
        <f>C166*$B166</f>
        <v>0</v>
      </c>
      <c r="E166" s="435">
        <v>2</v>
      </c>
      <c r="F166" s="435">
        <f>E166*$B166</f>
        <v>0</v>
      </c>
      <c r="G166" s="428" t="e">
        <f>E166/$C166-1</f>
        <v>#DIV/0!</v>
      </c>
      <c r="H166" s="435">
        <v>1</v>
      </c>
      <c r="I166" s="435">
        <f>H166*$B166</f>
        <v>0</v>
      </c>
      <c r="J166" s="428" t="e">
        <f>H166/$C166-1</f>
        <v>#DIV/0!</v>
      </c>
      <c r="K166" s="435">
        <v>1.5</v>
      </c>
      <c r="L166" s="435">
        <f>K166*$B166</f>
        <v>0</v>
      </c>
      <c r="M166" s="428" t="e">
        <f>K166/$C166-1</f>
        <v>#DIV/0!</v>
      </c>
      <c r="N166" s="435">
        <v>5.5</v>
      </c>
      <c r="O166" s="435">
        <f>N166*$B166</f>
        <v>0</v>
      </c>
      <c r="P166" s="428" t="e">
        <f>N166/$C166-1</f>
        <v>#DIV/0!</v>
      </c>
      <c r="Q166" s="799">
        <v>5.5</v>
      </c>
      <c r="R166" s="799">
        <f>Q166*$B166</f>
        <v>0</v>
      </c>
      <c r="S166" s="428" t="e">
        <f>Q166/$C166-1</f>
        <v>#DIV/0!</v>
      </c>
      <c r="T166" s="799">
        <v>5.5</v>
      </c>
      <c r="U166" s="799">
        <f>T166*$B166</f>
        <v>0</v>
      </c>
      <c r="V166" s="428" t="e">
        <f>T166/$C166-1</f>
        <v>#DIV/0!</v>
      </c>
      <c r="W166" s="934">
        <v>5.5</v>
      </c>
      <c r="X166" s="934">
        <f>W166*$B166</f>
        <v>0</v>
      </c>
      <c r="Y166" s="428" t="e">
        <f>W166/$C166-1</f>
        <v>#DIV/0!</v>
      </c>
      <c r="Z166" s="899">
        <v>5.5</v>
      </c>
      <c r="AA166" s="899">
        <f>Z166*$B166</f>
        <v>0</v>
      </c>
      <c r="AB166" s="428" t="e">
        <f>Z166/$C166-1</f>
        <v>#DIV/0!</v>
      </c>
      <c r="AC166" s="435">
        <v>0</v>
      </c>
      <c r="AD166" s="435">
        <f>AC166*$B166</f>
        <v>0</v>
      </c>
      <c r="AE166" s="428" t="e">
        <f>AC166/$C166-1</f>
        <v>#DIV/0!</v>
      </c>
      <c r="AF166" s="291"/>
      <c r="AG166" s="291"/>
    </row>
    <row r="167" spans="1:33" s="1" customFormat="1" ht="12" hidden="1" customHeight="1" outlineLevel="1">
      <c r="A167" s="499" t="str">
        <f>'Renewal Rates '!A154</f>
        <v>Class B</v>
      </c>
      <c r="B167" s="551">
        <f>'Renewal Rates '!B162</f>
        <v>0</v>
      </c>
      <c r="C167" s="385">
        <f>'Renewal Rates '!H162</f>
        <v>0</v>
      </c>
      <c r="D167" s="435">
        <f t="shared" ref="D167:D170" si="266">C167*$B167</f>
        <v>0</v>
      </c>
      <c r="E167" s="435">
        <v>2</v>
      </c>
      <c r="F167" s="435">
        <f t="shared" ref="F167:F170" si="267">E167*$B167</f>
        <v>0</v>
      </c>
      <c r="G167" s="428" t="e">
        <f t="shared" ref="G167:G170" si="268">E167/$C167-1</f>
        <v>#DIV/0!</v>
      </c>
      <c r="H167" s="435">
        <v>1</v>
      </c>
      <c r="I167" s="435">
        <f t="shared" ref="I167:I170" si="269">H167*$B167</f>
        <v>0</v>
      </c>
      <c r="J167" s="428" t="e">
        <f t="shared" ref="J167:J170" si="270">H167/$C167-1</f>
        <v>#DIV/0!</v>
      </c>
      <c r="K167" s="435">
        <v>1.5</v>
      </c>
      <c r="L167" s="435">
        <f t="shared" ref="L167:L170" si="271">K167*$B167</f>
        <v>0</v>
      </c>
      <c r="M167" s="428" t="e">
        <f t="shared" ref="M167:M170" si="272">K167/$C167-1</f>
        <v>#DIV/0!</v>
      </c>
      <c r="N167" s="435">
        <v>5.5</v>
      </c>
      <c r="O167" s="435">
        <f t="shared" ref="O167:O170" si="273">N167*$B167</f>
        <v>0</v>
      </c>
      <c r="P167" s="428" t="e">
        <f t="shared" ref="P167:P170" si="274">N167/$C167-1</f>
        <v>#DIV/0!</v>
      </c>
      <c r="Q167" s="799">
        <v>5.5</v>
      </c>
      <c r="R167" s="799">
        <f t="shared" ref="R167:R170" si="275">Q167*$B167</f>
        <v>0</v>
      </c>
      <c r="S167" s="428" t="e">
        <f t="shared" ref="S167:S170" si="276">Q167/$C167-1</f>
        <v>#DIV/0!</v>
      </c>
      <c r="T167" s="799">
        <v>5.5</v>
      </c>
      <c r="U167" s="799">
        <f t="shared" ref="U167:U170" si="277">T167*$B167</f>
        <v>0</v>
      </c>
      <c r="V167" s="428" t="e">
        <f t="shared" ref="V167:V170" si="278">T167/$C167-1</f>
        <v>#DIV/0!</v>
      </c>
      <c r="W167" s="934">
        <v>5.5</v>
      </c>
      <c r="X167" s="934">
        <f t="shared" ref="X167:X169" si="279">W167*$B167</f>
        <v>0</v>
      </c>
      <c r="Y167" s="428" t="e">
        <f t="shared" ref="Y167:Y170" si="280">W167/$C167-1</f>
        <v>#DIV/0!</v>
      </c>
      <c r="Z167" s="899">
        <v>5.5</v>
      </c>
      <c r="AA167" s="899">
        <f t="shared" ref="AA167:AA169" si="281">Z167*$B167</f>
        <v>0</v>
      </c>
      <c r="AB167" s="428" t="e">
        <f t="shared" ref="AB167:AB170" si="282">Z167/$C167-1</f>
        <v>#DIV/0!</v>
      </c>
      <c r="AC167" s="435">
        <v>0</v>
      </c>
      <c r="AD167" s="435">
        <f t="shared" ref="AD167:AD170" si="283">AC167*$B167</f>
        <v>0</v>
      </c>
      <c r="AE167" s="428" t="e">
        <f t="shared" ref="AE167:AE170" si="284">AC167/$C167-1</f>
        <v>#DIV/0!</v>
      </c>
      <c r="AF167" s="291"/>
      <c r="AG167" s="291"/>
    </row>
    <row r="168" spans="1:33" s="1" customFormat="1" ht="12" hidden="1" customHeight="1" outlineLevel="1">
      <c r="A168" s="499" t="str">
        <f>'Renewal Rates '!A155</f>
        <v>Class C</v>
      </c>
      <c r="B168" s="551">
        <f>'Renewal Rates '!B163</f>
        <v>0</v>
      </c>
      <c r="C168" s="385">
        <f>'Renewal Rates '!H163</f>
        <v>0</v>
      </c>
      <c r="D168" s="435">
        <f t="shared" si="266"/>
        <v>0</v>
      </c>
      <c r="E168" s="435">
        <v>2</v>
      </c>
      <c r="F168" s="435">
        <f t="shared" si="267"/>
        <v>0</v>
      </c>
      <c r="G168" s="428" t="e">
        <f t="shared" si="268"/>
        <v>#DIV/0!</v>
      </c>
      <c r="H168" s="435">
        <v>1</v>
      </c>
      <c r="I168" s="435">
        <f t="shared" si="269"/>
        <v>0</v>
      </c>
      <c r="J168" s="428" t="e">
        <f t="shared" si="270"/>
        <v>#DIV/0!</v>
      </c>
      <c r="K168" s="435">
        <v>1.5</v>
      </c>
      <c r="L168" s="435">
        <f t="shared" si="271"/>
        <v>0</v>
      </c>
      <c r="M168" s="428" t="e">
        <f t="shared" si="272"/>
        <v>#DIV/0!</v>
      </c>
      <c r="N168" s="435">
        <v>5.5</v>
      </c>
      <c r="O168" s="435">
        <f t="shared" si="273"/>
        <v>0</v>
      </c>
      <c r="P168" s="428" t="e">
        <f t="shared" si="274"/>
        <v>#DIV/0!</v>
      </c>
      <c r="Q168" s="799">
        <v>5.5</v>
      </c>
      <c r="R168" s="799">
        <f t="shared" si="275"/>
        <v>0</v>
      </c>
      <c r="S168" s="428" t="e">
        <f t="shared" si="276"/>
        <v>#DIV/0!</v>
      </c>
      <c r="T168" s="799">
        <v>5.5</v>
      </c>
      <c r="U168" s="799">
        <f t="shared" si="277"/>
        <v>0</v>
      </c>
      <c r="V168" s="428" t="e">
        <f t="shared" si="278"/>
        <v>#DIV/0!</v>
      </c>
      <c r="W168" s="934">
        <v>5.5</v>
      </c>
      <c r="X168" s="934">
        <f t="shared" si="279"/>
        <v>0</v>
      </c>
      <c r="Y168" s="428" t="e">
        <f t="shared" si="280"/>
        <v>#DIV/0!</v>
      </c>
      <c r="Z168" s="899">
        <v>5.5</v>
      </c>
      <c r="AA168" s="899">
        <f t="shared" si="281"/>
        <v>0</v>
      </c>
      <c r="AB168" s="428" t="e">
        <f t="shared" si="282"/>
        <v>#DIV/0!</v>
      </c>
      <c r="AC168" s="435">
        <v>0</v>
      </c>
      <c r="AD168" s="435">
        <f t="shared" si="283"/>
        <v>0</v>
      </c>
      <c r="AE168" s="428" t="e">
        <f t="shared" si="284"/>
        <v>#DIV/0!</v>
      </c>
      <c r="AF168" s="291"/>
      <c r="AG168" s="291"/>
    </row>
    <row r="169" spans="1:33" s="1" customFormat="1" ht="12" hidden="1" customHeight="1" outlineLevel="1">
      <c r="A169" s="499" t="str">
        <f>'Renewal Rates '!A156</f>
        <v>Class D</v>
      </c>
      <c r="B169" s="551">
        <f>'Renewal Rates '!B164</f>
        <v>0</v>
      </c>
      <c r="C169" s="385">
        <f>'Renewal Rates '!H164</f>
        <v>0</v>
      </c>
      <c r="D169" s="435">
        <f t="shared" si="266"/>
        <v>0</v>
      </c>
      <c r="E169" s="435">
        <v>2</v>
      </c>
      <c r="F169" s="435">
        <f t="shared" si="267"/>
        <v>0</v>
      </c>
      <c r="G169" s="428" t="e">
        <f t="shared" si="268"/>
        <v>#DIV/0!</v>
      </c>
      <c r="H169" s="435">
        <v>1</v>
      </c>
      <c r="I169" s="435">
        <f t="shared" si="269"/>
        <v>0</v>
      </c>
      <c r="J169" s="428" t="e">
        <f t="shared" si="270"/>
        <v>#DIV/0!</v>
      </c>
      <c r="K169" s="435">
        <v>1.5</v>
      </c>
      <c r="L169" s="435">
        <f t="shared" si="271"/>
        <v>0</v>
      </c>
      <c r="M169" s="428" t="e">
        <f t="shared" si="272"/>
        <v>#DIV/0!</v>
      </c>
      <c r="N169" s="435">
        <v>5.5</v>
      </c>
      <c r="O169" s="435">
        <f t="shared" si="273"/>
        <v>0</v>
      </c>
      <c r="P169" s="428" t="e">
        <f t="shared" si="274"/>
        <v>#DIV/0!</v>
      </c>
      <c r="Q169" s="799">
        <v>5.5</v>
      </c>
      <c r="R169" s="799">
        <f t="shared" si="275"/>
        <v>0</v>
      </c>
      <c r="S169" s="428" t="e">
        <f t="shared" si="276"/>
        <v>#DIV/0!</v>
      </c>
      <c r="T169" s="799">
        <v>5.5</v>
      </c>
      <c r="U169" s="799">
        <f t="shared" si="277"/>
        <v>0</v>
      </c>
      <c r="V169" s="428" t="e">
        <f t="shared" si="278"/>
        <v>#DIV/0!</v>
      </c>
      <c r="W169" s="934">
        <v>5.5</v>
      </c>
      <c r="X169" s="934">
        <f t="shared" si="279"/>
        <v>0</v>
      </c>
      <c r="Y169" s="428" t="e">
        <f t="shared" si="280"/>
        <v>#DIV/0!</v>
      </c>
      <c r="Z169" s="899">
        <v>5.5</v>
      </c>
      <c r="AA169" s="899">
        <f t="shared" si="281"/>
        <v>0</v>
      </c>
      <c r="AB169" s="428" t="e">
        <f t="shared" si="282"/>
        <v>#DIV/0!</v>
      </c>
      <c r="AC169" s="435">
        <v>0</v>
      </c>
      <c r="AD169" s="435">
        <f t="shared" si="283"/>
        <v>0</v>
      </c>
      <c r="AE169" s="428" t="e">
        <f t="shared" si="284"/>
        <v>#DIV/0!</v>
      </c>
      <c r="AF169" s="291"/>
      <c r="AG169" s="291"/>
    </row>
    <row r="170" spans="1:33" s="1" customFormat="1" ht="12" customHeight="1" collapsed="1">
      <c r="A170" s="499" t="str">
        <f>'Renewal Rates '!A157</f>
        <v>All Employees</v>
      </c>
      <c r="B170" s="551">
        <f>'Additional Information'!B8</f>
        <v>0</v>
      </c>
      <c r="C170" s="385"/>
      <c r="D170" s="435">
        <f t="shared" si="266"/>
        <v>0</v>
      </c>
      <c r="E170" s="435">
        <v>2</v>
      </c>
      <c r="F170" s="435">
        <f t="shared" si="267"/>
        <v>0</v>
      </c>
      <c r="G170" s="428" t="e">
        <f t="shared" si="268"/>
        <v>#DIV/0!</v>
      </c>
      <c r="H170" s="435">
        <v>1</v>
      </c>
      <c r="I170" s="435">
        <f t="shared" si="269"/>
        <v>0</v>
      </c>
      <c r="J170" s="428" t="e">
        <f t="shared" si="270"/>
        <v>#DIV/0!</v>
      </c>
      <c r="K170" s="435">
        <v>1.5</v>
      </c>
      <c r="L170" s="435">
        <f t="shared" si="271"/>
        <v>0</v>
      </c>
      <c r="M170" s="428" t="e">
        <f t="shared" si="272"/>
        <v>#DIV/0!</v>
      </c>
      <c r="N170" s="435">
        <v>5.5</v>
      </c>
      <c r="O170" s="435">
        <f t="shared" si="273"/>
        <v>0</v>
      </c>
      <c r="P170" s="428" t="e">
        <f t="shared" si="274"/>
        <v>#DIV/0!</v>
      </c>
      <c r="Q170" s="799">
        <v>1</v>
      </c>
      <c r="R170" s="799">
        <f t="shared" si="275"/>
        <v>0</v>
      </c>
      <c r="S170" s="428" t="e">
        <f t="shared" si="276"/>
        <v>#DIV/0!</v>
      </c>
      <c r="T170" s="799">
        <v>1.5</v>
      </c>
      <c r="U170" s="799">
        <f t="shared" si="277"/>
        <v>0</v>
      </c>
      <c r="V170" s="428" t="e">
        <f t="shared" si="278"/>
        <v>#DIV/0!</v>
      </c>
      <c r="W170" s="934">
        <v>8.6</v>
      </c>
      <c r="X170" s="934">
        <f>W170*$B170</f>
        <v>0</v>
      </c>
      <c r="Y170" s="428" t="e">
        <f t="shared" si="280"/>
        <v>#DIV/0!</v>
      </c>
      <c r="Z170" s="899">
        <v>3.75</v>
      </c>
      <c r="AA170" s="899">
        <f>Z170*$B170</f>
        <v>0</v>
      </c>
      <c r="AB170" s="428" t="e">
        <f t="shared" si="282"/>
        <v>#DIV/0!</v>
      </c>
      <c r="AC170" s="435">
        <v>0</v>
      </c>
      <c r="AD170" s="435">
        <f t="shared" si="283"/>
        <v>0</v>
      </c>
      <c r="AE170" s="428" t="e">
        <f t="shared" si="284"/>
        <v>#DIV/0!</v>
      </c>
      <c r="AF170" s="291"/>
      <c r="AG170" s="291"/>
    </row>
    <row r="171" spans="1:33" s="1" customFormat="1" ht="12" customHeight="1">
      <c r="A171" s="448" t="s">
        <v>692</v>
      </c>
      <c r="B171" s="541"/>
      <c r="C171" s="542"/>
      <c r="D171" s="542">
        <f>SUM(D166:D170)</f>
        <v>0</v>
      </c>
      <c r="E171" s="542"/>
      <c r="F171" s="542">
        <f>SUM(F166:F170)</f>
        <v>0</v>
      </c>
      <c r="G171" s="448" t="e">
        <f>F171/$D171-1</f>
        <v>#DIV/0!</v>
      </c>
      <c r="H171" s="542"/>
      <c r="I171" s="542">
        <f>SUM(I166:I170)</f>
        <v>0</v>
      </c>
      <c r="J171" s="448" t="e">
        <f>I171/$D171-1</f>
        <v>#DIV/0!</v>
      </c>
      <c r="K171" s="542"/>
      <c r="L171" s="542">
        <f>SUM(L166:L170)</f>
        <v>0</v>
      </c>
      <c r="M171" s="448" t="e">
        <f>L171/$D171-1</f>
        <v>#DIV/0!</v>
      </c>
      <c r="N171" s="542"/>
      <c r="O171" s="542">
        <f>SUM(O166:O170)</f>
        <v>0</v>
      </c>
      <c r="P171" s="448" t="e">
        <f>O171/$D171-1</f>
        <v>#DIV/0!</v>
      </c>
      <c r="Q171" s="542"/>
      <c r="R171" s="542">
        <f>SUM(R166:R170)</f>
        <v>0</v>
      </c>
      <c r="S171" s="448" t="e">
        <f>R171/$D171-1</f>
        <v>#DIV/0!</v>
      </c>
      <c r="T171" s="542"/>
      <c r="U171" s="542">
        <f>SUM(U166:U170)</f>
        <v>0</v>
      </c>
      <c r="V171" s="448" t="e">
        <f>U171/$D171-1</f>
        <v>#DIV/0!</v>
      </c>
      <c r="W171" s="542"/>
      <c r="X171" s="542">
        <f>SUM(X166:X170)</f>
        <v>0</v>
      </c>
      <c r="Y171" s="448" t="e">
        <f>X171/$D171-1</f>
        <v>#DIV/0!</v>
      </c>
      <c r="Z171" s="542"/>
      <c r="AA171" s="542">
        <f>SUM(AA166:AA170)</f>
        <v>0</v>
      </c>
      <c r="AB171" s="448" t="e">
        <f>AA171/$D171-1</f>
        <v>#DIV/0!</v>
      </c>
      <c r="AC171" s="542"/>
      <c r="AD171" s="542">
        <f>SUM(AD166:AD170)</f>
        <v>0</v>
      </c>
      <c r="AE171" s="448" t="e">
        <f>AD171/$D171-1</f>
        <v>#DIV/0!</v>
      </c>
      <c r="AF171" s="291"/>
      <c r="AG171" s="291"/>
    </row>
    <row r="172" spans="1:33" s="1" customFormat="1" ht="4.5" customHeight="1">
      <c r="A172" s="731"/>
      <c r="B172" s="732"/>
      <c r="C172" s="732"/>
      <c r="D172" s="732"/>
      <c r="E172" s="732"/>
      <c r="F172" s="732"/>
      <c r="G172" s="732"/>
      <c r="H172" s="732"/>
      <c r="I172" s="732"/>
      <c r="J172" s="732"/>
      <c r="K172" s="732"/>
      <c r="L172" s="732"/>
      <c r="M172" s="732"/>
      <c r="N172" s="732"/>
      <c r="O172" s="732"/>
      <c r="P172" s="732"/>
      <c r="Q172" s="732"/>
      <c r="R172" s="732"/>
      <c r="S172" s="732"/>
      <c r="T172" s="732"/>
      <c r="U172" s="732"/>
      <c r="V172" s="732"/>
      <c r="W172" s="732"/>
      <c r="X172" s="732"/>
      <c r="Y172" s="732"/>
      <c r="Z172" s="732"/>
      <c r="AA172" s="732"/>
      <c r="AB172" s="732"/>
      <c r="AC172" s="732"/>
      <c r="AD172" s="732"/>
      <c r="AE172" s="733"/>
      <c r="AF172" s="291"/>
      <c r="AG172" s="291"/>
    </row>
    <row r="173" spans="1:33" s="1" customFormat="1" ht="12" customHeight="1">
      <c r="A173" s="1214" t="s">
        <v>161</v>
      </c>
      <c r="B173" s="1214"/>
      <c r="C173" s="1211"/>
      <c r="D173" s="1212">
        <f>D47+D65+D83+D101+D119+D137+D155+D163+D171</f>
        <v>0</v>
      </c>
      <c r="E173" s="1211"/>
      <c r="F173" s="1212">
        <f>F47+F65+F83+F101+F119+F137+F155+F163+F171</f>
        <v>0</v>
      </c>
      <c r="G173" s="1210" t="e">
        <f>F173/$D173-1</f>
        <v>#DIV/0!</v>
      </c>
      <c r="H173" s="1211"/>
      <c r="I173" s="1212">
        <f>I47+I65+I83+I101+I119+I137+I155+I163+I171</f>
        <v>0</v>
      </c>
      <c r="J173" s="1210" t="e">
        <f>I173/$D173-1</f>
        <v>#DIV/0!</v>
      </c>
      <c r="K173" s="1211"/>
      <c r="L173" s="1212">
        <f>L47+L65+L83+L101+L119+L137+L155+L163+L171</f>
        <v>0</v>
      </c>
      <c r="M173" s="1210" t="e">
        <f>L173/$D173-1</f>
        <v>#DIV/0!</v>
      </c>
      <c r="N173" s="1211"/>
      <c r="O173" s="1212">
        <f>O47+O65+O83+O101+O119+O137+O155+O163+O171</f>
        <v>0</v>
      </c>
      <c r="P173" s="1210" t="e">
        <f>O173/$D173-1</f>
        <v>#DIV/0!</v>
      </c>
      <c r="Q173" s="1211"/>
      <c r="R173" s="1212">
        <f>R47+R65+R83+R101+R119+R137+R155+R163+R171</f>
        <v>0</v>
      </c>
      <c r="S173" s="1210" t="e">
        <f>R173/$D173-1</f>
        <v>#DIV/0!</v>
      </c>
      <c r="T173" s="1211"/>
      <c r="U173" s="1212">
        <f>U47+U65+U83+U101+U119+U137+U155+U163+U171</f>
        <v>0</v>
      </c>
      <c r="V173" s="1210" t="e">
        <f>U173/$D173-1</f>
        <v>#DIV/0!</v>
      </c>
      <c r="W173" s="1211"/>
      <c r="X173" s="1212">
        <f>X47+X65+X83+X101+X119+X137+X155+X163+X171</f>
        <v>0</v>
      </c>
      <c r="Y173" s="1210" t="e">
        <f>X173/$D173-1</f>
        <v>#DIV/0!</v>
      </c>
      <c r="Z173" s="1211"/>
      <c r="AA173" s="1212">
        <f>AA47+AA65+AA83+AA101+AA119+AA137+AA155+AA163+AA171</f>
        <v>0</v>
      </c>
      <c r="AB173" s="1210" t="e">
        <f>AA173/$D173-1</f>
        <v>#DIV/0!</v>
      </c>
      <c r="AC173" s="1211"/>
      <c r="AD173" s="1212">
        <f>AD47+AD65+AD83+AD101+AD119+AD137+AD155+AD163+AD171</f>
        <v>0</v>
      </c>
      <c r="AE173" s="1210" t="e">
        <f>AD173/$D173-1</f>
        <v>#DIV/0!</v>
      </c>
      <c r="AF173" s="24"/>
      <c r="AG173" s="24"/>
    </row>
    <row r="174" spans="1:33" s="1" customFormat="1" ht="12" customHeight="1">
      <c r="A174" s="1213" t="s">
        <v>167</v>
      </c>
      <c r="B174" s="1213"/>
      <c r="C174" s="1211"/>
      <c r="D174" s="1212"/>
      <c r="E174" s="1211"/>
      <c r="F174" s="1212"/>
      <c r="G174" s="1210"/>
      <c r="H174" s="1211"/>
      <c r="I174" s="1212"/>
      <c r="J174" s="1210"/>
      <c r="K174" s="1211"/>
      <c r="L174" s="1212"/>
      <c r="M174" s="1210"/>
      <c r="N174" s="1211"/>
      <c r="O174" s="1212"/>
      <c r="P174" s="1210"/>
      <c r="Q174" s="1211"/>
      <c r="R174" s="1212"/>
      <c r="S174" s="1210"/>
      <c r="T174" s="1211"/>
      <c r="U174" s="1212"/>
      <c r="V174" s="1210"/>
      <c r="W174" s="1211"/>
      <c r="X174" s="1212"/>
      <c r="Y174" s="1210"/>
      <c r="Z174" s="1211"/>
      <c r="AA174" s="1212"/>
      <c r="AB174" s="1210"/>
      <c r="AC174" s="1211"/>
      <c r="AD174" s="1212"/>
      <c r="AE174" s="1210"/>
      <c r="AF174" s="24"/>
      <c r="AG174" s="24"/>
    </row>
    <row r="175" spans="1:33" s="1" customFormat="1" ht="4.5" customHeight="1">
      <c r="A175" s="728"/>
      <c r="B175" s="730"/>
      <c r="C175" s="730"/>
      <c r="D175" s="730"/>
      <c r="E175" s="730"/>
      <c r="F175" s="730"/>
      <c r="G175" s="730"/>
      <c r="H175" s="730"/>
      <c r="I175" s="730"/>
      <c r="J175" s="730"/>
      <c r="K175" s="730"/>
      <c r="L175" s="730"/>
      <c r="M175" s="730"/>
      <c r="N175" s="730"/>
      <c r="O175" s="730"/>
      <c r="P175" s="730"/>
      <c r="Q175" s="730"/>
      <c r="R175" s="730"/>
      <c r="S175" s="730"/>
      <c r="T175" s="730"/>
      <c r="U175" s="730"/>
      <c r="V175" s="730"/>
      <c r="W175" s="730"/>
      <c r="X175" s="730"/>
      <c r="Y175" s="730"/>
      <c r="Z175" s="730"/>
      <c r="AA175" s="730"/>
      <c r="AB175" s="730"/>
      <c r="AC175" s="730"/>
      <c r="AD175" s="730"/>
      <c r="AE175" s="729"/>
      <c r="AF175" s="24"/>
      <c r="AG175" s="24"/>
    </row>
    <row r="176" spans="1:33" s="1" customFormat="1" ht="12" customHeight="1">
      <c r="A176" s="1139" t="s">
        <v>168</v>
      </c>
      <c r="B176" s="1139"/>
      <c r="C176" s="555"/>
      <c r="D176" s="436">
        <f>D38+D173</f>
        <v>0</v>
      </c>
      <c r="E176" s="436"/>
      <c r="F176" s="436">
        <f>F38+F173</f>
        <v>0</v>
      </c>
      <c r="G176" s="1209" t="e">
        <f>F178/$D177</f>
        <v>#DIV/0!</v>
      </c>
      <c r="H176" s="436"/>
      <c r="I176" s="436">
        <f>I38+I173</f>
        <v>0</v>
      </c>
      <c r="J176" s="1209" t="e">
        <f>I178/$D177</f>
        <v>#DIV/0!</v>
      </c>
      <c r="K176" s="436"/>
      <c r="L176" s="436">
        <f>L38+L173</f>
        <v>0</v>
      </c>
      <c r="M176" s="1209" t="e">
        <f>L178/$D177</f>
        <v>#DIV/0!</v>
      </c>
      <c r="N176" s="436"/>
      <c r="O176" s="436">
        <f>O38+O173</f>
        <v>0</v>
      </c>
      <c r="P176" s="1209" t="e">
        <f>O178/$D177</f>
        <v>#DIV/0!</v>
      </c>
      <c r="Q176" s="806"/>
      <c r="R176" s="806">
        <f>R38+R173</f>
        <v>0</v>
      </c>
      <c r="S176" s="1209" t="e">
        <f>R178/$D177</f>
        <v>#DIV/0!</v>
      </c>
      <c r="T176" s="806"/>
      <c r="U176" s="806">
        <f>U38+U173</f>
        <v>0</v>
      </c>
      <c r="V176" s="1209" t="e">
        <f>U178/$D177</f>
        <v>#DIV/0!</v>
      </c>
      <c r="W176" s="941"/>
      <c r="X176" s="941">
        <f>X38+X173</f>
        <v>0</v>
      </c>
      <c r="Y176" s="1209" t="e">
        <f>X178/$D177</f>
        <v>#DIV/0!</v>
      </c>
      <c r="Z176" s="906"/>
      <c r="AA176" s="906">
        <f>AA38+AA173</f>
        <v>0</v>
      </c>
      <c r="AB176" s="1209" t="e">
        <f>AA178/$D177</f>
        <v>#DIV/0!</v>
      </c>
      <c r="AC176" s="555"/>
      <c r="AD176" s="436">
        <f>AD38+AD173</f>
        <v>0</v>
      </c>
      <c r="AE176" s="1209" t="e">
        <f>AD178/$D177</f>
        <v>#DIV/0!</v>
      </c>
      <c r="AF176" s="24"/>
      <c r="AG176" s="24"/>
    </row>
    <row r="177" spans="1:33" s="1" customFormat="1" ht="12" customHeight="1">
      <c r="A177" s="1139" t="s">
        <v>169</v>
      </c>
      <c r="B177" s="1139"/>
      <c r="C177" s="555"/>
      <c r="D177" s="436">
        <f>D176*12</f>
        <v>0</v>
      </c>
      <c r="E177" s="436"/>
      <c r="F177" s="436">
        <f>F176*12</f>
        <v>0</v>
      </c>
      <c r="G177" s="1209"/>
      <c r="H177" s="436"/>
      <c r="I177" s="436">
        <f>I176*12</f>
        <v>0</v>
      </c>
      <c r="J177" s="1209"/>
      <c r="K177" s="436"/>
      <c r="L177" s="436">
        <f>L176*12</f>
        <v>0</v>
      </c>
      <c r="M177" s="1209"/>
      <c r="N177" s="436"/>
      <c r="O177" s="436">
        <f>O176*12</f>
        <v>0</v>
      </c>
      <c r="P177" s="1209"/>
      <c r="Q177" s="806"/>
      <c r="R177" s="806">
        <f>R176*12</f>
        <v>0</v>
      </c>
      <c r="S177" s="1209"/>
      <c r="T177" s="806"/>
      <c r="U177" s="806">
        <f>U176*12</f>
        <v>0</v>
      </c>
      <c r="V177" s="1209"/>
      <c r="W177" s="941"/>
      <c r="X177" s="941">
        <f>X176*12</f>
        <v>0</v>
      </c>
      <c r="Y177" s="1209"/>
      <c r="Z177" s="906"/>
      <c r="AA177" s="906">
        <f>AA176*12</f>
        <v>0</v>
      </c>
      <c r="AB177" s="1209"/>
      <c r="AC177" s="555"/>
      <c r="AD177" s="436">
        <f>AD176*12</f>
        <v>0</v>
      </c>
      <c r="AE177" s="1209"/>
      <c r="AF177" s="24"/>
      <c r="AG177" s="24"/>
    </row>
    <row r="178" spans="1:33" s="1" customFormat="1" ht="12" customHeight="1">
      <c r="A178" s="1139" t="s">
        <v>47</v>
      </c>
      <c r="B178" s="1139"/>
      <c r="C178" s="555"/>
      <c r="D178" s="555"/>
      <c r="E178" s="555"/>
      <c r="F178" s="436">
        <f>F177-$D177</f>
        <v>0</v>
      </c>
      <c r="G178" s="1209"/>
      <c r="H178" s="555"/>
      <c r="I178" s="436">
        <f>I177-$D177</f>
        <v>0</v>
      </c>
      <c r="J178" s="1209"/>
      <c r="K178" s="555"/>
      <c r="L178" s="436">
        <f>L177-$D177</f>
        <v>0</v>
      </c>
      <c r="M178" s="1209"/>
      <c r="N178" s="555"/>
      <c r="O178" s="436">
        <f>O177-$D177</f>
        <v>0</v>
      </c>
      <c r="P178" s="1209"/>
      <c r="Q178" s="805"/>
      <c r="R178" s="806">
        <f>R177-$D177</f>
        <v>0</v>
      </c>
      <c r="S178" s="1209"/>
      <c r="T178" s="805"/>
      <c r="U178" s="806">
        <f>U177-$D177</f>
        <v>0</v>
      </c>
      <c r="V178" s="1209"/>
      <c r="W178" s="940"/>
      <c r="X178" s="941">
        <f>X177-$D177</f>
        <v>0</v>
      </c>
      <c r="Y178" s="1209"/>
      <c r="Z178" s="905"/>
      <c r="AA178" s="906">
        <f>AA177-$D177</f>
        <v>0</v>
      </c>
      <c r="AB178" s="1209"/>
      <c r="AC178" s="555"/>
      <c r="AD178" s="436">
        <f>AD177-$D177</f>
        <v>0</v>
      </c>
      <c r="AE178" s="1209"/>
      <c r="AF178" s="24"/>
      <c r="AG178" s="24"/>
    </row>
    <row r="179" spans="1:33" s="1" customFormat="1" ht="15" customHeight="1">
      <c r="A179" s="24"/>
      <c r="B179" s="24"/>
      <c r="C179" s="24"/>
      <c r="D179" s="24"/>
      <c r="E179" s="291"/>
      <c r="F179" s="291"/>
      <c r="G179" s="291"/>
      <c r="H179" s="291"/>
      <c r="I179" s="291"/>
      <c r="J179" s="291"/>
      <c r="K179" s="291"/>
      <c r="L179" s="291"/>
      <c r="M179" s="291"/>
      <c r="N179" s="24"/>
      <c r="O179" s="24"/>
      <c r="P179" s="24"/>
      <c r="Q179" s="796"/>
      <c r="R179" s="796"/>
      <c r="S179" s="796"/>
      <c r="T179" s="796"/>
      <c r="U179" s="796"/>
      <c r="V179" s="796"/>
      <c r="W179" s="933"/>
      <c r="X179" s="933"/>
      <c r="Y179" s="933"/>
      <c r="Z179" s="898"/>
      <c r="AA179" s="898"/>
      <c r="AB179" s="898"/>
    </row>
    <row r="180" spans="1:33" s="1" customFormat="1" ht="15" customHeight="1">
      <c r="A180" s="24"/>
      <c r="B180" s="24"/>
      <c r="C180" s="24"/>
      <c r="D180" s="24"/>
      <c r="E180" s="291"/>
      <c r="F180" s="291"/>
      <c r="G180" s="291"/>
      <c r="H180" s="291"/>
      <c r="I180" s="291"/>
      <c r="J180" s="291"/>
      <c r="K180" s="291"/>
      <c r="L180" s="291"/>
      <c r="M180" s="291"/>
      <c r="N180" s="24"/>
      <c r="O180" s="24"/>
      <c r="P180" s="24"/>
      <c r="Q180" s="796"/>
      <c r="R180" s="796"/>
      <c r="S180" s="796"/>
      <c r="T180" s="796"/>
      <c r="U180" s="796"/>
      <c r="V180" s="796"/>
      <c r="W180" s="933"/>
      <c r="X180" s="933"/>
      <c r="Y180" s="933"/>
      <c r="Z180" s="898"/>
      <c r="AA180" s="898"/>
      <c r="AB180" s="898"/>
    </row>
  </sheetData>
  <mergeCells count="86">
    <mergeCell ref="S38:S39"/>
    <mergeCell ref="E5:G5"/>
    <mergeCell ref="E38:E39"/>
    <mergeCell ref="F38:F39"/>
    <mergeCell ref="G38:G39"/>
    <mergeCell ref="L38:L39"/>
    <mergeCell ref="M38:M39"/>
    <mergeCell ref="A2:P3"/>
    <mergeCell ref="C5:D5"/>
    <mergeCell ref="N5:P5"/>
    <mergeCell ref="A39:B39"/>
    <mergeCell ref="A38:B38"/>
    <mergeCell ref="C38:C39"/>
    <mergeCell ref="D38:D39"/>
    <mergeCell ref="N38:N39"/>
    <mergeCell ref="O38:O39"/>
    <mergeCell ref="K5:M5"/>
    <mergeCell ref="K38:K39"/>
    <mergeCell ref="H5:J5"/>
    <mergeCell ref="H38:H39"/>
    <mergeCell ref="I38:I39"/>
    <mergeCell ref="J38:J39"/>
    <mergeCell ref="E4:V4"/>
    <mergeCell ref="AC5:AE5"/>
    <mergeCell ref="P38:P39"/>
    <mergeCell ref="AC38:AC39"/>
    <mergeCell ref="AD38:AD39"/>
    <mergeCell ref="AE38:AE39"/>
    <mergeCell ref="T5:V5"/>
    <mergeCell ref="T38:T39"/>
    <mergeCell ref="U38:U39"/>
    <mergeCell ref="V38:V39"/>
    <mergeCell ref="Z5:AB5"/>
    <mergeCell ref="Z38:Z39"/>
    <mergeCell ref="AA38:AA39"/>
    <mergeCell ref="AB38:AB39"/>
    <mergeCell ref="Q5:S5"/>
    <mergeCell ref="Q38:Q39"/>
    <mergeCell ref="R38:R39"/>
    <mergeCell ref="AC173:AC174"/>
    <mergeCell ref="AD173:AD174"/>
    <mergeCell ref="AE173:AE174"/>
    <mergeCell ref="A174:B174"/>
    <mergeCell ref="A173:B173"/>
    <mergeCell ref="C173:C174"/>
    <mergeCell ref="D173:D174"/>
    <mergeCell ref="N173:N174"/>
    <mergeCell ref="O173:O174"/>
    <mergeCell ref="K173:K174"/>
    <mergeCell ref="L173:L174"/>
    <mergeCell ref="M173:M174"/>
    <mergeCell ref="P173:P174"/>
    <mergeCell ref="E173:E174"/>
    <mergeCell ref="F173:F174"/>
    <mergeCell ref="G173:G174"/>
    <mergeCell ref="AE176:AE178"/>
    <mergeCell ref="A177:B177"/>
    <mergeCell ref="A178:B178"/>
    <mergeCell ref="M176:M178"/>
    <mergeCell ref="J176:J178"/>
    <mergeCell ref="G176:G178"/>
    <mergeCell ref="V176:V178"/>
    <mergeCell ref="S176:S178"/>
    <mergeCell ref="Z173:Z174"/>
    <mergeCell ref="AA173:AA174"/>
    <mergeCell ref="AB173:AB174"/>
    <mergeCell ref="AB176:AB178"/>
    <mergeCell ref="A176:B176"/>
    <mergeCell ref="P176:P178"/>
    <mergeCell ref="T173:T174"/>
    <mergeCell ref="U173:U174"/>
    <mergeCell ref="V173:V174"/>
    <mergeCell ref="Q173:Q174"/>
    <mergeCell ref="R173:R174"/>
    <mergeCell ref="S173:S174"/>
    <mergeCell ref="H173:H174"/>
    <mergeCell ref="I173:I174"/>
    <mergeCell ref="J173:J174"/>
    <mergeCell ref="Y176:Y178"/>
    <mergeCell ref="W5:Y5"/>
    <mergeCell ref="W38:W39"/>
    <mergeCell ref="X38:X39"/>
    <mergeCell ref="Y38:Y39"/>
    <mergeCell ref="W173:W174"/>
    <mergeCell ref="X173:X174"/>
    <mergeCell ref="Y173:Y174"/>
  </mergeCells>
  <pageMargins left="0.405092592592593" right="0.47453703703703698" top="0.55118110236220497" bottom="0.94488188976377996" header="0.31496062992126" footer="0.31496062992126"/>
  <pageSetup scale="33" fitToHeight="0" orientation="portrait" r:id="rId1"/>
  <headerFooter scaleWithDoc="0">
    <oddHeader>&amp;C&amp;G</oddHeader>
    <oddFooter>&amp;C&amp;G&amp;R&amp;P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tabColor rgb="FFFF0000"/>
  </sheetPr>
  <dimension ref="A1:J40"/>
  <sheetViews>
    <sheetView showGridLines="0" view="pageLayout" zoomScaleNormal="100" workbookViewId="0">
      <selection activeCell="A5" sqref="A5:J12"/>
    </sheetView>
  </sheetViews>
  <sheetFormatPr baseColWidth="10" defaultColWidth="8.83203125" defaultRowHeight="15"/>
  <cols>
    <col min="1" max="1" width="9.5" customWidth="1"/>
    <col min="4" max="4" width="4.83203125" customWidth="1"/>
    <col min="5" max="5" width="14.5" customWidth="1"/>
    <col min="6" max="6" width="12.5" customWidth="1"/>
    <col min="7" max="7" width="6.83203125" customWidth="1"/>
    <col min="8" max="8" width="7.5" customWidth="1"/>
    <col min="9" max="9" width="5" customWidth="1"/>
    <col min="10" max="10" width="14.5" customWidth="1"/>
  </cols>
  <sheetData>
    <row r="1" spans="1:10" ht="18" customHeight="1"/>
    <row r="2" spans="1:10" ht="15" customHeight="1">
      <c r="A2" s="1004" t="s">
        <v>212</v>
      </c>
      <c r="B2" s="1004"/>
      <c r="C2" s="1004"/>
      <c r="D2" s="1004"/>
      <c r="E2" s="1005"/>
      <c r="F2" s="1005"/>
      <c r="G2" s="1004"/>
      <c r="H2" s="1005"/>
      <c r="I2" s="1005"/>
      <c r="J2" s="203"/>
    </row>
    <row r="3" spans="1:10" ht="15" customHeight="1">
      <c r="A3" s="1004"/>
      <c r="B3" s="1004"/>
      <c r="C3" s="1004"/>
      <c r="D3" s="202"/>
      <c r="E3" s="202"/>
      <c r="F3" s="202"/>
      <c r="G3" s="202"/>
      <c r="H3" s="202"/>
      <c r="I3" s="202"/>
      <c r="J3" s="202"/>
    </row>
    <row r="4" spans="1:10" ht="9" customHeight="1"/>
    <row r="5" spans="1:10" s="1" customFormat="1" ht="15" customHeight="1">
      <c r="A5" s="1010" t="s">
        <v>755</v>
      </c>
      <c r="B5" s="1010"/>
      <c r="C5" s="1010"/>
      <c r="D5" s="1010"/>
      <c r="E5" s="1010"/>
      <c r="F5" s="1010"/>
      <c r="G5" s="1010"/>
      <c r="H5" s="1010"/>
      <c r="I5" s="1010"/>
      <c r="J5" s="1010"/>
    </row>
    <row r="6" spans="1:10" s="1" customFormat="1" ht="15" customHeight="1">
      <c r="A6" s="1010"/>
      <c r="B6" s="1010"/>
      <c r="C6" s="1010"/>
      <c r="D6" s="1010"/>
      <c r="E6" s="1010"/>
      <c r="F6" s="1010"/>
      <c r="G6" s="1010"/>
      <c r="H6" s="1010"/>
      <c r="I6" s="1010"/>
      <c r="J6" s="1010"/>
    </row>
    <row r="7" spans="1:10" s="1" customFormat="1" ht="15" customHeight="1">
      <c r="A7" s="1010"/>
      <c r="B7" s="1010"/>
      <c r="C7" s="1010"/>
      <c r="D7" s="1010"/>
      <c r="E7" s="1010"/>
      <c r="F7" s="1010"/>
      <c r="G7" s="1010"/>
      <c r="H7" s="1010"/>
      <c r="I7" s="1010"/>
      <c r="J7" s="1010"/>
    </row>
    <row r="8" spans="1:10" s="1" customFormat="1" ht="15" customHeight="1">
      <c r="A8" s="1010"/>
      <c r="B8" s="1010"/>
      <c r="C8" s="1010"/>
      <c r="D8" s="1010"/>
      <c r="E8" s="1010"/>
      <c r="F8" s="1010"/>
      <c r="G8" s="1010"/>
      <c r="H8" s="1010"/>
      <c r="I8" s="1010"/>
      <c r="J8" s="1010"/>
    </row>
    <row r="9" spans="1:10" s="1" customFormat="1" ht="15" customHeight="1">
      <c r="A9" s="1010"/>
      <c r="B9" s="1010"/>
      <c r="C9" s="1010"/>
      <c r="D9" s="1010"/>
      <c r="E9" s="1010"/>
      <c r="F9" s="1010"/>
      <c r="G9" s="1010"/>
      <c r="H9" s="1010"/>
      <c r="I9" s="1010"/>
      <c r="J9" s="1010"/>
    </row>
    <row r="10" spans="1:10" s="1" customFormat="1" ht="15" customHeight="1">
      <c r="A10" s="1010"/>
      <c r="B10" s="1010"/>
      <c r="C10" s="1010"/>
      <c r="D10" s="1010"/>
      <c r="E10" s="1010"/>
      <c r="F10" s="1010"/>
      <c r="G10" s="1010"/>
      <c r="H10" s="1010"/>
      <c r="I10" s="1010"/>
      <c r="J10" s="1010"/>
    </row>
    <row r="11" spans="1:10" s="1" customFormat="1" ht="15" customHeight="1">
      <c r="A11" s="1010"/>
      <c r="B11" s="1010"/>
      <c r="C11" s="1010"/>
      <c r="D11" s="1010"/>
      <c r="E11" s="1010"/>
      <c r="F11" s="1010"/>
      <c r="G11" s="1010"/>
      <c r="H11" s="1010"/>
      <c r="I11" s="1010"/>
      <c r="J11" s="1010"/>
    </row>
    <row r="12" spans="1:10" s="1" customFormat="1" ht="15" customHeight="1">
      <c r="A12" s="1010"/>
      <c r="B12" s="1010"/>
      <c r="C12" s="1010"/>
      <c r="D12" s="1010"/>
      <c r="E12" s="1010"/>
      <c r="F12" s="1010"/>
      <c r="G12" s="1010"/>
      <c r="H12" s="1010"/>
      <c r="I12" s="1010"/>
      <c r="J12" s="1010"/>
    </row>
    <row r="13" spans="1:10" s="1" customFormat="1" ht="15" customHeight="1">
      <c r="A13" s="29"/>
      <c r="B13" s="29"/>
      <c r="C13" s="29"/>
      <c r="D13" s="29"/>
      <c r="E13" s="29"/>
      <c r="F13" s="29"/>
      <c r="G13" s="29"/>
      <c r="H13" s="29"/>
      <c r="I13" s="29"/>
      <c r="J13" s="29"/>
    </row>
    <row r="14" spans="1:10" s="1" customFormat="1" ht="15" customHeight="1">
      <c r="A14" s="1008" t="s">
        <v>742</v>
      </c>
      <c r="B14" s="1008"/>
      <c r="C14" s="1008"/>
      <c r="D14" s="1008"/>
      <c r="E14" s="1008"/>
      <c r="F14" s="1008"/>
      <c r="G14" s="1008"/>
      <c r="H14" s="1008"/>
      <c r="I14" s="1008"/>
      <c r="J14" s="1008"/>
    </row>
    <row r="15" spans="1:10" s="1" customFormat="1" ht="15" customHeight="1">
      <c r="A15" s="1008"/>
      <c r="B15" s="1008"/>
      <c r="C15" s="1008"/>
      <c r="D15" s="1008"/>
      <c r="E15" s="1008"/>
      <c r="F15" s="1008"/>
      <c r="G15" s="1008"/>
      <c r="H15" s="1008"/>
      <c r="I15" s="1008"/>
      <c r="J15" s="1008"/>
    </row>
    <row r="16" spans="1:10" s="1" customFormat="1" ht="15" customHeight="1">
      <c r="A16" s="1008"/>
      <c r="B16" s="1008"/>
      <c r="C16" s="1008"/>
      <c r="D16" s="1008"/>
      <c r="E16" s="1008"/>
      <c r="F16" s="1008"/>
      <c r="G16" s="1008"/>
      <c r="H16" s="1008"/>
      <c r="I16" s="1008"/>
      <c r="J16" s="1008"/>
    </row>
    <row r="17" spans="1:10" s="1" customFormat="1" ht="15" customHeight="1">
      <c r="A17" s="1008"/>
      <c r="B17" s="1008"/>
      <c r="C17" s="1008"/>
      <c r="D17" s="1008"/>
      <c r="E17" s="1008"/>
      <c r="F17" s="1008"/>
      <c r="G17" s="1008"/>
      <c r="H17" s="1008"/>
      <c r="I17" s="1008"/>
      <c r="J17" s="1008"/>
    </row>
    <row r="18" spans="1:10" s="1" customFormat="1" ht="15" customHeight="1">
      <c r="A18" s="1008"/>
      <c r="B18" s="1008"/>
      <c r="C18" s="1008"/>
      <c r="D18" s="1008"/>
      <c r="E18" s="1008"/>
      <c r="F18" s="1008"/>
      <c r="G18" s="1008"/>
      <c r="H18" s="1008"/>
      <c r="I18" s="1008"/>
      <c r="J18" s="1008"/>
    </row>
    <row r="19" spans="1:10" s="1" customFormat="1" ht="15" customHeight="1">
      <c r="A19" s="1008"/>
      <c r="B19" s="1008"/>
      <c r="C19" s="1008"/>
      <c r="D19" s="1008"/>
      <c r="E19" s="1008"/>
      <c r="F19" s="1008"/>
      <c r="G19" s="1008"/>
      <c r="H19" s="1008"/>
      <c r="I19" s="1008"/>
      <c r="J19" s="1008"/>
    </row>
    <row r="20" spans="1:10" s="1" customFormat="1" ht="15" customHeight="1">
      <c r="A20" s="1008"/>
      <c r="B20" s="1008"/>
      <c r="C20" s="1008"/>
      <c r="D20" s="1008"/>
      <c r="E20" s="1008"/>
      <c r="F20" s="1008"/>
      <c r="G20" s="1008"/>
      <c r="H20" s="1008"/>
      <c r="I20" s="1008"/>
      <c r="J20" s="1008"/>
    </row>
    <row r="21" spans="1:10" s="1" customFormat="1" ht="15" customHeight="1">
      <c r="A21" s="1008"/>
      <c r="B21" s="1008"/>
      <c r="C21" s="1008"/>
      <c r="D21" s="1008"/>
      <c r="E21" s="1008"/>
      <c r="F21" s="1008"/>
      <c r="G21" s="1008"/>
      <c r="H21" s="1008"/>
      <c r="I21" s="1008"/>
      <c r="J21" s="1008"/>
    </row>
    <row r="22" spans="1:10" s="1" customFormat="1" ht="15" customHeight="1">
      <c r="A22" s="1008"/>
      <c r="B22" s="1008"/>
      <c r="C22" s="1008"/>
      <c r="D22" s="1008"/>
      <c r="E22" s="1008"/>
      <c r="F22" s="1008"/>
      <c r="G22" s="1008"/>
      <c r="H22" s="1008"/>
      <c r="I22" s="1008"/>
      <c r="J22" s="1008"/>
    </row>
    <row r="23" spans="1:10" s="1" customFormat="1" ht="15" customHeight="1">
      <c r="A23" s="1008"/>
      <c r="B23" s="1008"/>
      <c r="C23" s="1008"/>
      <c r="D23" s="1008"/>
      <c r="E23" s="1008"/>
      <c r="F23" s="1008"/>
      <c r="G23" s="1008"/>
      <c r="H23" s="1008"/>
      <c r="I23" s="1008"/>
      <c r="J23" s="1008"/>
    </row>
    <row r="24" spans="1:10" s="1" customFormat="1" ht="15" customHeight="1">
      <c r="A24" s="1008"/>
      <c r="B24" s="1008"/>
      <c r="C24" s="1008"/>
      <c r="D24" s="1008"/>
      <c r="E24" s="1008"/>
      <c r="F24" s="1008"/>
      <c r="G24" s="1008"/>
      <c r="H24" s="1008"/>
      <c r="I24" s="1008"/>
      <c r="J24" s="1008"/>
    </row>
    <row r="25" spans="1:10" s="1" customFormat="1" ht="15" customHeight="1">
      <c r="A25" s="1008"/>
      <c r="B25" s="1008"/>
      <c r="C25" s="1009"/>
      <c r="D25" s="1008"/>
      <c r="E25" s="1008"/>
      <c r="F25" s="1008"/>
      <c r="G25" s="1008"/>
      <c r="H25" s="1008"/>
      <c r="I25" s="1008"/>
      <c r="J25" s="1008"/>
    </row>
    <row r="26" spans="1:10" s="1" customFormat="1" ht="15" customHeight="1">
      <c r="A26" s="1008"/>
      <c r="B26" s="1008"/>
      <c r="C26" s="1008"/>
      <c r="D26" s="1008"/>
      <c r="E26" s="1008"/>
      <c r="F26" s="1008"/>
      <c r="G26" s="1008"/>
      <c r="H26" s="1008"/>
      <c r="I26" s="1008"/>
      <c r="J26" s="1008"/>
    </row>
    <row r="27" spans="1:10" s="1" customFormat="1" ht="15" customHeight="1">
      <c r="A27" s="1008"/>
      <c r="B27" s="1008"/>
      <c r="C27" s="1008"/>
      <c r="D27" s="1008"/>
      <c r="E27" s="1008"/>
      <c r="F27" s="1008"/>
      <c r="G27" s="1008"/>
      <c r="H27" s="1008"/>
      <c r="I27" s="1008"/>
      <c r="J27" s="1008"/>
    </row>
    <row r="28" spans="1:10" s="1" customFormat="1" ht="15" customHeight="1">
      <c r="A28" s="1008"/>
      <c r="B28" s="1008"/>
      <c r="C28" s="1008"/>
      <c r="D28" s="1008"/>
      <c r="E28" s="1008"/>
      <c r="F28" s="1008"/>
      <c r="G28" s="1008"/>
      <c r="H28" s="1008"/>
      <c r="I28" s="1008"/>
      <c r="J28" s="1008"/>
    </row>
    <row r="29" spans="1:10" s="1" customFormat="1" ht="15" customHeight="1">
      <c r="A29" s="1008"/>
      <c r="B29" s="1008"/>
      <c r="C29" s="1008"/>
      <c r="D29" s="1008"/>
      <c r="E29" s="1008"/>
      <c r="F29" s="1008"/>
      <c r="G29" s="1008"/>
      <c r="H29" s="1008"/>
      <c r="I29" s="1008"/>
      <c r="J29" s="1008"/>
    </row>
    <row r="30" spans="1:10" s="1" customFormat="1" ht="42.75" customHeight="1">
      <c r="A30" s="1008"/>
      <c r="B30" s="1008"/>
      <c r="C30" s="1008"/>
      <c r="D30" s="1008"/>
      <c r="E30" s="1008"/>
      <c r="F30" s="1008"/>
      <c r="G30" s="1008"/>
      <c r="H30" s="1008"/>
      <c r="I30" s="1008"/>
      <c r="J30" s="1008"/>
    </row>
    <row r="31" spans="1:10" s="1" customFormat="1" ht="15" customHeight="1">
      <c r="A31" s="30"/>
      <c r="B31" s="30"/>
      <c r="C31" s="30"/>
      <c r="D31" s="30"/>
      <c r="E31" s="30"/>
      <c r="F31" s="30"/>
      <c r="G31" s="30"/>
      <c r="H31" s="30"/>
      <c r="I31" s="30"/>
      <c r="J31" s="30"/>
    </row>
    <row r="32" spans="1:10" ht="15" customHeight="1">
      <c r="A32" s="1006" t="s">
        <v>743</v>
      </c>
      <c r="B32" s="1006"/>
      <c r="C32" s="1006"/>
      <c r="D32" s="1006"/>
      <c r="E32" s="1006"/>
      <c r="F32" s="1006"/>
      <c r="G32" s="1006"/>
      <c r="H32" s="1006"/>
      <c r="I32" s="1006"/>
      <c r="J32" s="1006"/>
    </row>
    <row r="33" spans="1:10">
      <c r="A33" s="1006"/>
      <c r="B33" s="1006"/>
      <c r="C33" s="1006"/>
      <c r="D33" s="1006"/>
      <c r="E33" s="1006"/>
      <c r="F33" s="1006"/>
      <c r="G33" s="1006"/>
      <c r="H33" s="1006"/>
      <c r="I33" s="1006"/>
      <c r="J33" s="1006"/>
    </row>
    <row r="34" spans="1:10">
      <c r="A34" s="1006"/>
      <c r="B34" s="1006"/>
      <c r="C34" s="1006"/>
      <c r="D34" s="1006"/>
      <c r="E34" s="1006"/>
      <c r="F34" s="1006"/>
      <c r="G34" s="1006"/>
      <c r="H34" s="1006"/>
      <c r="I34" s="1006"/>
      <c r="J34" s="1006"/>
    </row>
    <row r="35" spans="1:10">
      <c r="A35" s="1006"/>
      <c r="B35" s="1006"/>
      <c r="C35" s="1006"/>
      <c r="D35" s="1006"/>
      <c r="E35" s="1006"/>
      <c r="F35" s="1006"/>
      <c r="G35" s="1006"/>
      <c r="H35" s="1006"/>
      <c r="I35" s="1006"/>
      <c r="J35" s="1006"/>
    </row>
    <row r="36" spans="1:10">
      <c r="A36" s="1006"/>
      <c r="B36" s="1006"/>
      <c r="C36" s="1006"/>
      <c r="D36" s="1006"/>
      <c r="E36" s="1006"/>
      <c r="F36" s="1006"/>
      <c r="G36" s="1006"/>
      <c r="H36" s="1006"/>
      <c r="I36" s="1006"/>
      <c r="J36" s="1006"/>
    </row>
    <row r="37" spans="1:10">
      <c r="A37" s="1006"/>
      <c r="B37" s="1006"/>
      <c r="C37" s="1006"/>
      <c r="D37" s="1006"/>
      <c r="E37" s="1006"/>
      <c r="F37" s="1006"/>
      <c r="G37" s="1006"/>
      <c r="H37" s="1006"/>
      <c r="I37" s="1006"/>
      <c r="J37" s="1006"/>
    </row>
    <row r="38" spans="1:10">
      <c r="A38" s="1006"/>
      <c r="B38" s="1006"/>
      <c r="C38" s="1006"/>
      <c r="D38" s="1006"/>
      <c r="E38" s="1006"/>
      <c r="F38" s="1006"/>
      <c r="G38" s="1006"/>
      <c r="H38" s="1006"/>
      <c r="I38" s="1006"/>
      <c r="J38" s="1006"/>
    </row>
    <row r="39" spans="1:10" ht="15" customHeight="1">
      <c r="A39" s="2"/>
      <c r="B39" s="2"/>
      <c r="C39" s="2"/>
      <c r="D39" s="2"/>
      <c r="E39" s="2"/>
      <c r="F39" s="2"/>
      <c r="G39" s="2"/>
      <c r="H39" s="2"/>
      <c r="I39" s="2"/>
      <c r="J39" s="2"/>
    </row>
    <row r="40" spans="1:10">
      <c r="A40" s="1007"/>
      <c r="B40" s="1007"/>
      <c r="C40" s="1007"/>
      <c r="D40" s="1007"/>
      <c r="E40" s="1007"/>
      <c r="F40" s="1007"/>
      <c r="G40" s="1007"/>
      <c r="H40" s="1007"/>
      <c r="I40" s="1007"/>
      <c r="J40" s="1007"/>
    </row>
  </sheetData>
  <mergeCells count="7">
    <mergeCell ref="A32:J38"/>
    <mergeCell ref="A40:J40"/>
    <mergeCell ref="A14:J30"/>
    <mergeCell ref="D2:F2"/>
    <mergeCell ref="G2:I2"/>
    <mergeCell ref="A2:C3"/>
    <mergeCell ref="A5:J12"/>
  </mergeCells>
  <printOptions horizontalCentered="1"/>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tabColor rgb="FFFF0000"/>
    <pageSetUpPr fitToPage="1"/>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customWidth="1"/>
    <col min="2" max="2" width="26" customWidth="1"/>
    <col min="3" max="3" width="35" bestFit="1" customWidth="1"/>
    <col min="4" max="4" width="5.33203125" customWidth="1"/>
    <col min="5" max="5" width="17.1640625" customWidth="1"/>
    <col min="6" max="6" width="4.83203125" customWidth="1"/>
  </cols>
  <sheetData>
    <row r="2" spans="1:6" ht="20.25" customHeight="1">
      <c r="A2" s="191"/>
      <c r="B2" s="33"/>
      <c r="C2" s="33"/>
      <c r="D2" s="33"/>
    </row>
    <row r="3" spans="1:6" ht="15" customHeight="1">
      <c r="A3" s="33"/>
      <c r="B3" s="33"/>
      <c r="C3" s="33"/>
      <c r="D3" s="33"/>
    </row>
    <row r="4" spans="1:6">
      <c r="B4" s="18"/>
      <c r="C4" s="18"/>
      <c r="D4" s="19"/>
      <c r="E4" s="19"/>
      <c r="F4" s="18"/>
    </row>
    <row r="5" spans="1:6">
      <c r="B5" s="18"/>
      <c r="C5" s="18"/>
      <c r="D5" s="19"/>
      <c r="E5" s="19"/>
      <c r="F5" s="18"/>
    </row>
    <row r="6" spans="1:6">
      <c r="B6" s="18"/>
      <c r="C6" s="18"/>
      <c r="D6" s="19"/>
      <c r="E6" s="19"/>
      <c r="F6" s="18"/>
    </row>
    <row r="7" spans="1:6">
      <c r="B7" s="18"/>
      <c r="D7" s="19"/>
      <c r="E7" s="19"/>
      <c r="F7" s="18"/>
    </row>
    <row r="8" spans="1:6">
      <c r="B8" s="18"/>
      <c r="D8" s="19"/>
      <c r="E8" s="19"/>
      <c r="F8" s="18"/>
    </row>
    <row r="9" spans="1:6">
      <c r="B9" s="18"/>
      <c r="D9" s="19"/>
      <c r="E9" s="19"/>
      <c r="F9" s="18"/>
    </row>
    <row r="10" spans="1:6">
      <c r="B10" s="18"/>
      <c r="E10" s="19"/>
      <c r="F10" s="18"/>
    </row>
    <row r="11" spans="1:6">
      <c r="B11" s="18"/>
      <c r="E11" s="19"/>
      <c r="F11" s="18"/>
    </row>
    <row r="12" spans="1:6">
      <c r="B12" s="18"/>
      <c r="C12" s="18"/>
      <c r="D12" s="19"/>
      <c r="E12" s="19"/>
      <c r="F12" s="18"/>
    </row>
    <row r="13" spans="1:6">
      <c r="B13" s="18"/>
      <c r="C13" s="18"/>
      <c r="D13" s="19"/>
      <c r="E13" s="19"/>
      <c r="F13" s="18"/>
    </row>
    <row r="14" spans="1:6">
      <c r="B14" s="18"/>
      <c r="C14" s="18"/>
      <c r="D14" s="19"/>
      <c r="E14" s="19"/>
      <c r="F14" s="18"/>
    </row>
    <row r="15" spans="1:6">
      <c r="B15" s="18"/>
      <c r="C15" s="18"/>
      <c r="D15" s="19"/>
      <c r="E15" s="19"/>
      <c r="F15" s="18"/>
    </row>
    <row r="16" spans="1:6">
      <c r="B16" s="18"/>
      <c r="C16" s="18"/>
      <c r="D16" s="19"/>
      <c r="E16" s="19"/>
      <c r="F16" s="18"/>
    </row>
    <row r="17" spans="2:6">
      <c r="B17" s="18"/>
      <c r="C17" s="18"/>
      <c r="D17" s="19"/>
      <c r="E17" s="19"/>
      <c r="F17" s="18"/>
    </row>
    <row r="18" spans="2:6">
      <c r="B18" s="18"/>
      <c r="C18" s="18"/>
      <c r="D18" s="19"/>
      <c r="E18" s="19"/>
      <c r="F18" s="18"/>
    </row>
    <row r="19" spans="2:6">
      <c r="B19" s="18"/>
      <c r="C19" s="18"/>
      <c r="D19" s="19"/>
      <c r="E19" s="19"/>
      <c r="F19" s="18"/>
    </row>
    <row r="20" spans="2:6">
      <c r="B20" s="18"/>
      <c r="C20" s="18"/>
      <c r="D20" s="19"/>
      <c r="E20" s="19"/>
      <c r="F20" s="18"/>
    </row>
    <row r="21" spans="2:6">
      <c r="B21" s="18"/>
      <c r="C21" s="18"/>
      <c r="D21" s="19"/>
      <c r="E21" s="19"/>
      <c r="F21" s="18"/>
    </row>
    <row r="22" spans="2:6">
      <c r="B22" s="18"/>
      <c r="C22" s="18"/>
      <c r="D22" s="19"/>
      <c r="E22" s="19"/>
      <c r="F22" s="18"/>
    </row>
    <row r="23" spans="2:6">
      <c r="B23" s="18"/>
      <c r="C23" s="18"/>
      <c r="D23" s="19"/>
      <c r="E23" s="19"/>
      <c r="F23" s="18"/>
    </row>
    <row r="24" spans="2:6">
      <c r="B24" s="18"/>
      <c r="C24" s="18"/>
      <c r="D24" s="19"/>
      <c r="E24" s="19"/>
      <c r="F24" s="18"/>
    </row>
    <row r="25" spans="2:6">
      <c r="B25" s="18"/>
      <c r="C25" s="18"/>
      <c r="D25" s="19"/>
      <c r="E25" s="19"/>
      <c r="F25" s="18"/>
    </row>
    <row r="26" spans="2:6">
      <c r="B26" s="18"/>
      <c r="C26" s="18"/>
      <c r="D26" s="19"/>
      <c r="E26" s="19"/>
      <c r="F26" s="18"/>
    </row>
    <row r="27" spans="2:6">
      <c r="B27" s="18"/>
      <c r="C27" s="18"/>
      <c r="D27" s="19"/>
      <c r="E27" s="19"/>
      <c r="F27" s="18"/>
    </row>
    <row r="28" spans="2:6">
      <c r="B28" s="18"/>
      <c r="C28" s="18"/>
      <c r="D28" s="19"/>
      <c r="E28" s="19"/>
      <c r="F28" s="18"/>
    </row>
    <row r="29" spans="2:6">
      <c r="B29" s="18"/>
      <c r="C29" s="18"/>
      <c r="D29" s="19"/>
      <c r="E29" s="19"/>
      <c r="F29" s="18"/>
    </row>
    <row r="30" spans="2:6">
      <c r="B30" s="18"/>
      <c r="C30" s="18"/>
      <c r="D30" s="19"/>
      <c r="E30" s="19"/>
      <c r="F30" s="18"/>
    </row>
    <row r="31" spans="2:6">
      <c r="B31" s="16"/>
      <c r="C31" s="16"/>
      <c r="D31" s="16"/>
      <c r="E31" s="16"/>
      <c r="F31" s="16"/>
    </row>
  </sheetData>
  <pageMargins left="0.405092592592593" right="0.47453703703703698" top="0.55118110236220497" bottom="0.94488188976377996" header="0.31496062992126" footer="0.31496062992126"/>
  <pageSetup scale="90" fitToHeight="0" orientation="portrait" r:id="rId1"/>
  <headerFooter scaleWithDoc="0">
    <oddHeader>&amp;C&amp;G</oddHeader>
    <oddFooter>&amp;C&amp;G&amp;R&amp;P</oddFooter>
  </headerFooter>
  <drawing r:id="rId2"/>
  <legacyDrawingHF r:id="rId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0">
    <tabColor rgb="FFFF0000"/>
    <pageSetUpPr fitToPage="1"/>
  </sheetPr>
  <dimension ref="A2:J31"/>
  <sheetViews>
    <sheetView showGridLines="0" view="pageLayout" zoomScale="80" zoomScaleNormal="100" zoomScalePageLayoutView="80" workbookViewId="0">
      <selection activeCell="F50" sqref="F50"/>
    </sheetView>
  </sheetViews>
  <sheetFormatPr baseColWidth="10" defaultColWidth="9.1640625" defaultRowHeight="15"/>
  <cols>
    <col min="1" max="1" width="3.33203125" customWidth="1"/>
    <col min="2" max="2" width="26" customWidth="1"/>
    <col min="3" max="3" width="35" bestFit="1" customWidth="1"/>
    <col min="4" max="4" width="5.33203125" customWidth="1"/>
    <col min="5" max="5" width="17.1640625" customWidth="1"/>
    <col min="6" max="6" width="4.83203125" customWidth="1"/>
    <col min="7" max="7" width="7.5" customWidth="1"/>
    <col min="8" max="10" width="9.1640625" customWidth="1"/>
  </cols>
  <sheetData>
    <row r="2" spans="1:10" ht="20.25" customHeight="1">
      <c r="A2" s="191"/>
      <c r="B2" s="33"/>
      <c r="C2" s="33"/>
      <c r="D2" s="33"/>
    </row>
    <row r="3" spans="1:10" ht="15" customHeight="1">
      <c r="A3" s="33"/>
      <c r="B3" s="33"/>
      <c r="C3" s="33"/>
      <c r="D3" s="33"/>
    </row>
    <row r="4" spans="1:10">
      <c r="B4" s="18"/>
      <c r="C4" s="18"/>
      <c r="D4" s="19"/>
      <c r="E4" s="19"/>
      <c r="F4" s="18"/>
      <c r="G4" s="18"/>
      <c r="H4" s="18"/>
      <c r="I4" s="18"/>
      <c r="J4" s="5"/>
    </row>
    <row r="5" spans="1:10">
      <c r="B5" s="18"/>
      <c r="C5" s="18"/>
      <c r="D5" s="19"/>
      <c r="E5" s="19"/>
      <c r="F5" s="18"/>
      <c r="G5" s="18"/>
      <c r="H5" s="18"/>
      <c r="I5" s="18"/>
      <c r="J5" s="5"/>
    </row>
    <row r="6" spans="1:10">
      <c r="B6" s="18"/>
      <c r="C6" s="18"/>
      <c r="D6" s="19"/>
      <c r="E6" s="19"/>
      <c r="F6" s="18"/>
      <c r="G6" s="18"/>
      <c r="H6" s="18"/>
      <c r="I6" s="18"/>
      <c r="J6" s="5"/>
    </row>
    <row r="7" spans="1:10">
      <c r="B7" s="18"/>
      <c r="D7" s="19"/>
      <c r="E7" s="19"/>
      <c r="F7" s="18"/>
      <c r="G7" s="18"/>
      <c r="H7" s="18"/>
      <c r="I7" s="18"/>
      <c r="J7" s="5"/>
    </row>
    <row r="8" spans="1:10">
      <c r="B8" s="18"/>
      <c r="D8" s="19"/>
      <c r="E8" s="19"/>
      <c r="F8" s="18"/>
      <c r="G8" s="18"/>
      <c r="H8" s="18"/>
      <c r="I8" s="18"/>
      <c r="J8" s="5"/>
    </row>
    <row r="9" spans="1:10">
      <c r="B9" s="18"/>
      <c r="D9" s="19"/>
      <c r="E9" s="19"/>
      <c r="F9" s="18"/>
      <c r="G9" s="18"/>
      <c r="H9" s="18"/>
      <c r="I9" s="18"/>
      <c r="J9" s="5"/>
    </row>
    <row r="10" spans="1:10">
      <c r="B10" s="18"/>
      <c r="E10" s="19"/>
      <c r="F10" s="18"/>
      <c r="G10" s="18"/>
      <c r="H10" s="18"/>
      <c r="I10" s="18"/>
      <c r="J10" s="5"/>
    </row>
    <row r="11" spans="1:10">
      <c r="B11" s="18"/>
      <c r="E11" s="19"/>
      <c r="F11" s="18"/>
      <c r="G11" s="18"/>
      <c r="H11" s="18"/>
      <c r="I11" s="18"/>
      <c r="J11" s="5"/>
    </row>
    <row r="12" spans="1:10">
      <c r="B12" s="18"/>
      <c r="C12" s="18"/>
      <c r="D12" s="19"/>
      <c r="E12" s="19"/>
      <c r="F12" s="18"/>
      <c r="G12" s="18"/>
      <c r="H12" s="18"/>
      <c r="I12" s="18"/>
      <c r="J12" s="5"/>
    </row>
    <row r="13" spans="1:10">
      <c r="B13" s="18"/>
      <c r="C13" s="18"/>
      <c r="D13" s="19"/>
      <c r="E13" s="19"/>
      <c r="F13" s="18"/>
      <c r="G13" s="18"/>
      <c r="H13" s="18"/>
      <c r="I13" s="18"/>
      <c r="J13" s="5"/>
    </row>
    <row r="14" spans="1:10">
      <c r="B14" s="18"/>
      <c r="C14" s="18"/>
      <c r="D14" s="19"/>
      <c r="E14" s="19"/>
      <c r="F14" s="18"/>
      <c r="G14" s="18"/>
      <c r="H14" s="18"/>
      <c r="I14" s="18"/>
      <c r="J14" s="5"/>
    </row>
    <row r="15" spans="1:10">
      <c r="B15" s="18"/>
      <c r="C15" s="18"/>
      <c r="D15" s="19"/>
      <c r="E15" s="19"/>
      <c r="F15" s="18"/>
      <c r="G15" s="18"/>
      <c r="H15" s="18"/>
      <c r="I15" s="18"/>
      <c r="J15" s="5"/>
    </row>
    <row r="16" spans="1:10">
      <c r="B16" s="18"/>
      <c r="C16" s="18"/>
      <c r="D16" s="19"/>
      <c r="E16" s="19"/>
      <c r="F16" s="18"/>
      <c r="G16" s="18"/>
      <c r="H16" s="18"/>
      <c r="I16" s="18"/>
      <c r="J16" s="5"/>
    </row>
    <row r="17" spans="2:10">
      <c r="B17" s="18"/>
      <c r="C17" s="18"/>
      <c r="D17" s="19"/>
      <c r="E17" s="19"/>
      <c r="F17" s="18"/>
      <c r="G17" s="18"/>
      <c r="H17" s="18"/>
      <c r="I17" s="18"/>
      <c r="J17" s="5"/>
    </row>
    <row r="18" spans="2:10">
      <c r="B18" s="18"/>
      <c r="C18" s="18"/>
      <c r="D18" s="19"/>
      <c r="E18" s="19"/>
      <c r="F18" s="18"/>
      <c r="G18" s="18"/>
      <c r="H18" s="18"/>
      <c r="I18" s="18"/>
      <c r="J18" s="5"/>
    </row>
    <row r="19" spans="2:10">
      <c r="B19" s="18"/>
      <c r="C19" s="18"/>
      <c r="D19" s="19"/>
      <c r="E19" s="19"/>
      <c r="F19" s="18"/>
      <c r="G19" s="18"/>
      <c r="H19" s="18"/>
      <c r="I19" s="18"/>
      <c r="J19" s="5"/>
    </row>
    <row r="20" spans="2:10">
      <c r="B20" s="18"/>
      <c r="C20" s="18"/>
      <c r="D20" s="19"/>
      <c r="E20" s="19"/>
      <c r="F20" s="18"/>
      <c r="G20" s="18"/>
      <c r="H20" s="18"/>
      <c r="I20" s="18"/>
      <c r="J20" s="5"/>
    </row>
    <row r="21" spans="2:10">
      <c r="B21" s="18"/>
      <c r="C21" s="18"/>
      <c r="D21" s="19"/>
      <c r="E21" s="19"/>
      <c r="F21" s="18"/>
      <c r="G21" s="18"/>
      <c r="H21" s="18"/>
      <c r="I21" s="18"/>
      <c r="J21" s="5"/>
    </row>
    <row r="22" spans="2:10">
      <c r="B22" s="18"/>
      <c r="C22" s="18"/>
      <c r="D22" s="19"/>
      <c r="E22" s="19"/>
      <c r="F22" s="18"/>
      <c r="G22" s="18"/>
      <c r="H22" s="18"/>
      <c r="I22" s="18"/>
      <c r="J22" s="5"/>
    </row>
    <row r="23" spans="2:10">
      <c r="B23" s="18"/>
      <c r="C23" s="18"/>
      <c r="D23" s="19"/>
      <c r="E23" s="19"/>
      <c r="F23" s="18"/>
      <c r="G23" s="18"/>
      <c r="H23" s="18"/>
      <c r="I23" s="18"/>
      <c r="J23" s="5"/>
    </row>
    <row r="24" spans="2:10">
      <c r="B24" s="18"/>
      <c r="C24" s="18"/>
      <c r="D24" s="19"/>
      <c r="E24" s="19"/>
      <c r="F24" s="18"/>
      <c r="G24" s="18"/>
      <c r="H24" s="18"/>
      <c r="I24" s="18"/>
      <c r="J24" s="5"/>
    </row>
    <row r="25" spans="2:10">
      <c r="B25" s="18"/>
      <c r="C25" s="18"/>
      <c r="D25" s="19"/>
      <c r="E25" s="19"/>
      <c r="F25" s="18"/>
      <c r="G25" s="18"/>
      <c r="H25" s="18"/>
      <c r="I25" s="18"/>
      <c r="J25" s="5"/>
    </row>
    <row r="26" spans="2:10">
      <c r="B26" s="18"/>
      <c r="C26" s="18"/>
      <c r="D26" s="19"/>
      <c r="E26" s="19"/>
      <c r="F26" s="18"/>
      <c r="G26" s="18"/>
      <c r="H26" s="18"/>
      <c r="I26" s="18"/>
      <c r="J26" s="5"/>
    </row>
    <row r="27" spans="2:10">
      <c r="B27" s="18"/>
      <c r="C27" s="18"/>
      <c r="D27" s="19"/>
      <c r="E27" s="19"/>
      <c r="F27" s="18"/>
      <c r="G27" s="18"/>
      <c r="H27" s="18"/>
      <c r="I27" s="18"/>
      <c r="J27" s="5"/>
    </row>
    <row r="28" spans="2:10">
      <c r="B28" s="18"/>
      <c r="C28" s="18"/>
      <c r="D28" s="19"/>
      <c r="E28" s="19"/>
      <c r="F28" s="18"/>
      <c r="G28" s="18"/>
      <c r="H28" s="18"/>
      <c r="I28" s="18"/>
      <c r="J28" s="5"/>
    </row>
    <row r="29" spans="2:10">
      <c r="B29" s="18"/>
      <c r="C29" s="18"/>
      <c r="D29" s="19"/>
      <c r="E29" s="19"/>
      <c r="F29" s="18"/>
      <c r="G29" s="18"/>
      <c r="H29" s="18"/>
      <c r="I29" s="18"/>
      <c r="J29" s="5"/>
    </row>
    <row r="30" spans="2:10">
      <c r="B30" s="18"/>
      <c r="C30" s="18"/>
      <c r="D30" s="19"/>
      <c r="E30" s="19"/>
      <c r="F30" s="18"/>
      <c r="G30" s="18"/>
      <c r="H30" s="18"/>
      <c r="I30" s="18"/>
      <c r="J30" s="5"/>
    </row>
    <row r="31" spans="2:10">
      <c r="B31" s="16"/>
      <c r="C31" s="16"/>
      <c r="D31" s="16"/>
      <c r="E31" s="16"/>
      <c r="F31" s="16"/>
      <c r="G31" s="16"/>
      <c r="H31" s="16"/>
      <c r="I31" s="16"/>
      <c r="J31" s="16"/>
    </row>
  </sheetData>
  <printOptions horizontalCentered="1"/>
  <pageMargins left="0.405092592592593" right="0.47453703703703698" top="0.55118110236220497" bottom="0.94488188976377996" header="0.31496062992126" footer="0.31496062992126"/>
  <pageSetup scale="92" fitToHeight="0" orientation="portrait" r:id="rId1"/>
  <headerFooter>
    <oddHeader>&amp;L&amp;"Arial,Regular"&amp;9NFP Canada&amp;R&amp;"Arial,Regular"&amp;9&amp;K000000Page &amp;P</oddHeader>
    <oddFooter>&amp;L&amp;"Arial,Bold"&amp;9&amp;K4C5B52Renewal Report. &amp;"Arial,Regular"Insurance services provided through NFP Canada, 
a subsidiary of NFP Corp. (NFP).&amp;R&amp;G</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1">
    <tabColor rgb="FFFF0000"/>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customWidth="1"/>
    <col min="2" max="2" width="26" customWidth="1"/>
    <col min="3" max="3" width="35" bestFit="1" customWidth="1"/>
    <col min="4" max="4" width="5.33203125" customWidth="1"/>
    <col min="5" max="5" width="17.1640625" customWidth="1"/>
    <col min="6" max="6" width="4.83203125" customWidth="1"/>
  </cols>
  <sheetData>
    <row r="2" spans="1:6" ht="20.25" customHeight="1">
      <c r="A2" s="191"/>
      <c r="B2" s="33"/>
      <c r="C2" s="33"/>
      <c r="D2" s="33"/>
    </row>
    <row r="3" spans="1:6" ht="15" customHeight="1">
      <c r="A3" s="33"/>
      <c r="B3" s="33"/>
      <c r="C3" s="33"/>
      <c r="D3" s="33"/>
    </row>
    <row r="4" spans="1:6">
      <c r="B4" s="18"/>
      <c r="C4" s="18"/>
      <c r="D4" s="19"/>
      <c r="E4" s="19"/>
      <c r="F4" s="18"/>
    </row>
    <row r="5" spans="1:6">
      <c r="B5" s="18"/>
      <c r="C5" s="18"/>
      <c r="D5" s="19"/>
      <c r="E5" s="19"/>
      <c r="F5" s="18"/>
    </row>
    <row r="6" spans="1:6">
      <c r="B6" s="18"/>
      <c r="C6" s="18"/>
      <c r="D6" s="19"/>
      <c r="E6" s="19"/>
      <c r="F6" s="18"/>
    </row>
    <row r="7" spans="1:6">
      <c r="B7" s="18"/>
      <c r="D7" s="19"/>
      <c r="E7" s="19"/>
      <c r="F7" s="18"/>
    </row>
    <row r="8" spans="1:6">
      <c r="B8" s="18"/>
      <c r="D8" s="19"/>
      <c r="E8" s="19"/>
      <c r="F8" s="18"/>
    </row>
    <row r="9" spans="1:6">
      <c r="B9" s="18"/>
      <c r="D9" s="19"/>
      <c r="E9" s="19"/>
      <c r="F9" s="18"/>
    </row>
    <row r="10" spans="1:6">
      <c r="B10" s="18"/>
      <c r="E10" s="19"/>
      <c r="F10" s="18"/>
    </row>
    <row r="11" spans="1:6">
      <c r="B11" s="18"/>
      <c r="E11" s="19"/>
      <c r="F11" s="18"/>
    </row>
    <row r="12" spans="1:6">
      <c r="B12" s="18"/>
      <c r="C12" s="18"/>
      <c r="D12" s="19"/>
      <c r="E12" s="19"/>
      <c r="F12" s="18"/>
    </row>
    <row r="13" spans="1:6">
      <c r="B13" s="18"/>
      <c r="C13" s="18"/>
      <c r="D13" s="19"/>
      <c r="E13" s="19"/>
      <c r="F13" s="18"/>
    </row>
    <row r="14" spans="1:6">
      <c r="B14" s="18"/>
      <c r="C14" s="18"/>
      <c r="D14" s="19"/>
      <c r="E14" s="19"/>
      <c r="F14" s="18"/>
    </row>
    <row r="15" spans="1:6">
      <c r="B15" s="18"/>
      <c r="C15" s="18"/>
      <c r="D15" s="19"/>
      <c r="E15" s="19"/>
      <c r="F15" s="18"/>
    </row>
    <row r="16" spans="1:6">
      <c r="B16" s="18"/>
      <c r="C16" s="18"/>
      <c r="D16" s="19"/>
      <c r="E16" s="19"/>
      <c r="F16" s="18"/>
    </row>
    <row r="17" spans="2:6">
      <c r="B17" s="18"/>
      <c r="C17" s="18"/>
      <c r="D17" s="19"/>
      <c r="E17" s="19"/>
      <c r="F17" s="18"/>
    </row>
    <row r="18" spans="2:6">
      <c r="B18" s="18"/>
      <c r="C18" s="18"/>
      <c r="D18" s="19"/>
      <c r="E18" s="19"/>
      <c r="F18" s="18"/>
    </row>
    <row r="19" spans="2:6">
      <c r="B19" s="18"/>
      <c r="C19" s="18"/>
      <c r="D19" s="19"/>
      <c r="E19" s="19"/>
      <c r="F19" s="18"/>
    </row>
    <row r="20" spans="2:6">
      <c r="B20" s="18"/>
      <c r="C20" s="18"/>
      <c r="D20" s="19"/>
      <c r="E20" s="19"/>
      <c r="F20" s="18"/>
    </row>
    <row r="21" spans="2:6">
      <c r="B21" s="18"/>
      <c r="C21" s="18"/>
      <c r="D21" s="19"/>
      <c r="E21" s="19"/>
      <c r="F21" s="18"/>
    </row>
    <row r="22" spans="2:6">
      <c r="B22" s="18"/>
      <c r="C22" s="18"/>
      <c r="D22" s="19"/>
      <c r="E22" s="19"/>
      <c r="F22" s="18"/>
    </row>
    <row r="23" spans="2:6">
      <c r="B23" s="18"/>
      <c r="C23" s="18"/>
      <c r="D23" s="19"/>
      <c r="E23" s="19"/>
      <c r="F23" s="18"/>
    </row>
    <row r="24" spans="2:6">
      <c r="B24" s="18"/>
      <c r="C24" s="18"/>
      <c r="D24" s="19"/>
      <c r="E24" s="19"/>
      <c r="F24" s="18"/>
    </row>
    <row r="25" spans="2:6">
      <c r="B25" s="18"/>
      <c r="C25" s="18"/>
      <c r="D25" s="19"/>
      <c r="E25" s="19"/>
      <c r="F25" s="18"/>
    </row>
    <row r="26" spans="2:6">
      <c r="B26" s="18"/>
      <c r="C26" s="18"/>
      <c r="D26" s="19"/>
      <c r="E26" s="19"/>
      <c r="F26" s="18"/>
    </row>
    <row r="27" spans="2:6">
      <c r="B27" s="18"/>
      <c r="C27" s="18"/>
      <c r="D27" s="19"/>
      <c r="E27" s="19"/>
      <c r="F27" s="18"/>
    </row>
    <row r="28" spans="2:6">
      <c r="B28" s="18"/>
      <c r="C28" s="18"/>
      <c r="D28" s="19"/>
      <c r="E28" s="19"/>
      <c r="F28" s="18"/>
    </row>
    <row r="29" spans="2:6">
      <c r="B29" s="18"/>
      <c r="C29" s="18"/>
      <c r="D29" s="19"/>
      <c r="E29" s="19"/>
      <c r="F29" s="18"/>
    </row>
    <row r="30" spans="2:6">
      <c r="B30" s="18"/>
      <c r="C30" s="18"/>
      <c r="D30" s="19"/>
      <c r="E30" s="19"/>
      <c r="F30" s="18"/>
    </row>
    <row r="31" spans="2:6">
      <c r="B31" s="16"/>
      <c r="C31" s="16"/>
      <c r="D31" s="16"/>
      <c r="E31" s="16"/>
      <c r="F31" s="16"/>
    </row>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2">
    <tabColor rgb="FFFF0000"/>
  </sheetPr>
  <dimension ref="A2:J31"/>
  <sheetViews>
    <sheetView showGridLines="0" view="pageLayout" topLeftCell="A7" zoomScale="80" zoomScaleNormal="100" zoomScalePageLayoutView="80" workbookViewId="0">
      <selection activeCell="H10" sqref="H10"/>
    </sheetView>
  </sheetViews>
  <sheetFormatPr baseColWidth="10" defaultColWidth="9.1640625" defaultRowHeight="15"/>
  <cols>
    <col min="1" max="1" width="3.33203125" customWidth="1"/>
    <col min="2" max="2" width="26" customWidth="1"/>
    <col min="3" max="3" width="35" bestFit="1" customWidth="1"/>
    <col min="4" max="4" width="5.33203125" customWidth="1"/>
    <col min="5" max="5" width="17.1640625" customWidth="1"/>
    <col min="6" max="6" width="4.83203125" customWidth="1"/>
    <col min="7" max="7" width="7.5" customWidth="1"/>
    <col min="8" max="10" width="9.1640625" customWidth="1"/>
  </cols>
  <sheetData>
    <row r="2" spans="1:10" ht="20.25" customHeight="1">
      <c r="A2" s="191"/>
      <c r="B2" s="33"/>
      <c r="C2" s="33"/>
      <c r="D2" s="33"/>
    </row>
    <row r="3" spans="1:10" ht="15" customHeight="1">
      <c r="A3" s="33"/>
      <c r="B3" s="33"/>
      <c r="C3" s="33"/>
      <c r="D3" s="33"/>
    </row>
    <row r="4" spans="1:10">
      <c r="B4" s="18"/>
      <c r="C4" s="18"/>
      <c r="D4" s="19"/>
      <c r="E4" s="19"/>
      <c r="F4" s="18"/>
      <c r="G4" s="18"/>
      <c r="H4" s="18"/>
      <c r="I4" s="18"/>
      <c r="J4" s="5"/>
    </row>
    <row r="5" spans="1:10">
      <c r="B5" s="18"/>
      <c r="C5" s="18"/>
      <c r="D5" s="19"/>
      <c r="E5" s="19"/>
      <c r="F5" s="18"/>
      <c r="G5" s="18"/>
      <c r="H5" s="18"/>
      <c r="I5" s="18"/>
      <c r="J5" s="5"/>
    </row>
    <row r="6" spans="1:10">
      <c r="B6" s="18"/>
      <c r="C6" s="18"/>
      <c r="D6" s="19"/>
      <c r="E6" s="19"/>
      <c r="F6" s="18"/>
      <c r="G6" s="18"/>
      <c r="H6" s="18"/>
      <c r="I6" s="18"/>
      <c r="J6" s="5"/>
    </row>
    <row r="7" spans="1:10">
      <c r="B7" s="18"/>
      <c r="D7" s="19"/>
      <c r="E7" s="19"/>
      <c r="F7" s="18"/>
      <c r="G7" s="18"/>
      <c r="H7" s="18"/>
      <c r="I7" s="18"/>
      <c r="J7" s="5"/>
    </row>
    <row r="8" spans="1:10">
      <c r="B8" s="18"/>
      <c r="D8" s="19"/>
      <c r="E8" s="19"/>
      <c r="F8" s="18"/>
      <c r="G8" s="18"/>
      <c r="H8" s="18"/>
      <c r="I8" s="18"/>
      <c r="J8" s="5"/>
    </row>
    <row r="9" spans="1:10">
      <c r="B9" s="18"/>
      <c r="D9" s="19"/>
      <c r="E9" s="19"/>
      <c r="F9" s="18"/>
      <c r="G9" s="18"/>
      <c r="H9" s="18"/>
      <c r="I9" s="18"/>
      <c r="J9" s="5"/>
    </row>
    <row r="10" spans="1:10">
      <c r="B10" s="18"/>
      <c r="E10" s="19"/>
      <c r="F10" s="18"/>
      <c r="G10" s="18"/>
      <c r="H10" s="18"/>
      <c r="I10" s="18"/>
      <c r="J10" s="5"/>
    </row>
    <row r="11" spans="1:10">
      <c r="B11" s="18"/>
      <c r="E11" s="19"/>
      <c r="F11" s="18"/>
      <c r="G11" s="18"/>
      <c r="H11" s="18"/>
      <c r="I11" s="18"/>
      <c r="J11" s="5"/>
    </row>
    <row r="12" spans="1:10">
      <c r="B12" s="18"/>
      <c r="C12" s="18"/>
      <c r="D12" s="19"/>
      <c r="E12" s="19"/>
      <c r="F12" s="18"/>
      <c r="G12" s="18"/>
      <c r="H12" s="18"/>
      <c r="I12" s="18"/>
      <c r="J12" s="5"/>
    </row>
    <row r="13" spans="1:10">
      <c r="B13" s="18"/>
      <c r="C13" s="18"/>
      <c r="D13" s="19"/>
      <c r="E13" s="19"/>
      <c r="F13" s="18"/>
      <c r="G13" s="18"/>
      <c r="H13" s="18"/>
      <c r="I13" s="18"/>
      <c r="J13" s="5"/>
    </row>
    <row r="14" spans="1:10">
      <c r="B14" s="18"/>
      <c r="C14" s="18"/>
      <c r="D14" s="19"/>
      <c r="E14" s="19"/>
      <c r="F14" s="18"/>
      <c r="G14" s="18"/>
      <c r="H14" s="18"/>
      <c r="I14" s="18"/>
      <c r="J14" s="5"/>
    </row>
    <row r="15" spans="1:10">
      <c r="B15" s="18"/>
      <c r="C15" s="18"/>
      <c r="D15" s="19"/>
      <c r="E15" s="19"/>
      <c r="F15" s="18"/>
      <c r="G15" s="18"/>
      <c r="H15" s="18"/>
      <c r="I15" s="18"/>
      <c r="J15" s="5"/>
    </row>
    <row r="16" spans="1:10">
      <c r="B16" s="18"/>
      <c r="C16" s="18"/>
      <c r="D16" s="19"/>
      <c r="E16" s="19"/>
      <c r="F16" s="18"/>
      <c r="G16" s="18"/>
      <c r="H16" s="18"/>
      <c r="I16" s="18"/>
      <c r="J16" s="5"/>
    </row>
    <row r="17" spans="2:10">
      <c r="B17" s="18"/>
      <c r="C17" s="18"/>
      <c r="D17" s="19"/>
      <c r="E17" s="19"/>
      <c r="F17" s="18"/>
      <c r="G17" s="18"/>
      <c r="H17" s="18"/>
      <c r="I17" s="18"/>
      <c r="J17" s="5"/>
    </row>
    <row r="18" spans="2:10">
      <c r="B18" s="18"/>
      <c r="C18" s="18"/>
      <c r="D18" s="19"/>
      <c r="E18" s="19"/>
      <c r="F18" s="18"/>
      <c r="G18" s="18"/>
      <c r="H18" s="18"/>
      <c r="I18" s="18"/>
      <c r="J18" s="5"/>
    </row>
    <row r="19" spans="2:10">
      <c r="B19" s="18"/>
      <c r="C19" s="18"/>
      <c r="D19" s="19"/>
      <c r="E19" s="19"/>
      <c r="F19" s="18"/>
      <c r="G19" s="18"/>
      <c r="H19" s="18"/>
      <c r="I19" s="18"/>
      <c r="J19" s="5"/>
    </row>
    <row r="20" spans="2:10">
      <c r="B20" s="18"/>
      <c r="C20" s="18"/>
      <c r="D20" s="19"/>
      <c r="E20" s="19"/>
      <c r="F20" s="18"/>
      <c r="G20" s="18"/>
      <c r="H20" s="18"/>
      <c r="I20" s="18"/>
      <c r="J20" s="5"/>
    </row>
    <row r="21" spans="2:10">
      <c r="B21" s="18"/>
      <c r="C21" s="18"/>
      <c r="D21" s="19"/>
      <c r="E21" s="19"/>
      <c r="F21" s="18"/>
      <c r="G21" s="18"/>
      <c r="H21" s="18"/>
      <c r="I21" s="18"/>
      <c r="J21" s="5"/>
    </row>
    <row r="22" spans="2:10">
      <c r="B22" s="18"/>
      <c r="C22" s="18"/>
      <c r="D22" s="19"/>
      <c r="E22" s="19"/>
      <c r="F22" s="18"/>
      <c r="G22" s="18"/>
      <c r="H22" s="18"/>
      <c r="I22" s="18"/>
      <c r="J22" s="5"/>
    </row>
    <row r="23" spans="2:10">
      <c r="B23" s="18"/>
      <c r="C23" s="18"/>
      <c r="D23" s="19"/>
      <c r="E23" s="19"/>
      <c r="F23" s="18"/>
      <c r="G23" s="18"/>
      <c r="H23" s="18"/>
      <c r="I23" s="18"/>
      <c r="J23" s="5"/>
    </row>
    <row r="24" spans="2:10">
      <c r="B24" s="18"/>
      <c r="C24" s="18"/>
      <c r="D24" s="19"/>
      <c r="E24" s="19"/>
      <c r="F24" s="18"/>
      <c r="G24" s="18"/>
      <c r="H24" s="18"/>
      <c r="I24" s="18"/>
      <c r="J24" s="5"/>
    </row>
    <row r="25" spans="2:10">
      <c r="B25" s="18"/>
      <c r="C25" s="18"/>
      <c r="D25" s="19"/>
      <c r="E25" s="19"/>
      <c r="F25" s="18"/>
      <c r="G25" s="18"/>
      <c r="H25" s="18"/>
      <c r="I25" s="18"/>
      <c r="J25" s="5"/>
    </row>
    <row r="26" spans="2:10">
      <c r="B26" s="18"/>
      <c r="C26" s="18"/>
      <c r="D26" s="19"/>
      <c r="E26" s="19"/>
      <c r="F26" s="18"/>
      <c r="G26" s="18"/>
      <c r="H26" s="18"/>
      <c r="I26" s="18"/>
      <c r="J26" s="5"/>
    </row>
    <row r="27" spans="2:10">
      <c r="B27" s="18"/>
      <c r="C27" s="18"/>
      <c r="D27" s="19"/>
      <c r="E27" s="19"/>
      <c r="F27" s="18"/>
      <c r="G27" s="18"/>
      <c r="H27" s="18"/>
      <c r="I27" s="18"/>
      <c r="J27" s="5"/>
    </row>
    <row r="28" spans="2:10">
      <c r="B28" s="18"/>
      <c r="C28" s="18"/>
      <c r="D28" s="19"/>
      <c r="E28" s="19"/>
      <c r="F28" s="18"/>
      <c r="G28" s="18"/>
      <c r="H28" s="18"/>
      <c r="I28" s="18"/>
      <c r="J28" s="5"/>
    </row>
    <row r="29" spans="2:10">
      <c r="B29" s="18"/>
      <c r="C29" s="18"/>
      <c r="D29" s="19"/>
      <c r="E29" s="19"/>
      <c r="F29" s="18"/>
      <c r="G29" s="18"/>
      <c r="H29" s="18"/>
      <c r="I29" s="18"/>
      <c r="J29" s="5"/>
    </row>
    <row r="30" spans="2:10">
      <c r="B30" s="18"/>
      <c r="C30" s="18"/>
      <c r="D30" s="19"/>
      <c r="E30" s="19"/>
      <c r="F30" s="18"/>
      <c r="G30" s="18"/>
      <c r="H30" s="18"/>
      <c r="I30" s="18"/>
      <c r="J30" s="5"/>
    </row>
    <row r="31" spans="2:10">
      <c r="B31" s="16"/>
      <c r="C31" s="16"/>
      <c r="D31" s="16"/>
      <c r="E31" s="16"/>
      <c r="F31" s="16"/>
      <c r="G31" s="16"/>
      <c r="H31" s="16"/>
      <c r="I31" s="16"/>
      <c r="J31" s="16"/>
    </row>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71">
    <tabColor rgb="FFFF0000"/>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style="364" customWidth="1"/>
    <col min="2" max="2" width="26" style="364" customWidth="1"/>
    <col min="3" max="3" width="35" style="364" bestFit="1" customWidth="1"/>
    <col min="4" max="4" width="5.33203125" style="364" customWidth="1"/>
    <col min="5" max="5" width="17.1640625" style="364" customWidth="1"/>
    <col min="6" max="6" width="4.83203125" style="364" customWidth="1"/>
    <col min="7" max="16384" width="9.1640625" style="364"/>
  </cols>
  <sheetData>
    <row r="2" spans="1:6" ht="20.25" customHeight="1">
      <c r="A2" s="800"/>
      <c r="B2" s="33"/>
      <c r="C2" s="33"/>
      <c r="D2" s="33"/>
    </row>
    <row r="3" spans="1:6" ht="15" customHeight="1">
      <c r="A3" s="33"/>
      <c r="B3" s="33"/>
      <c r="C3" s="33"/>
      <c r="D3" s="33"/>
    </row>
    <row r="4" spans="1:6">
      <c r="B4" s="804"/>
      <c r="C4" s="804"/>
      <c r="D4" s="19"/>
      <c r="E4" s="19"/>
      <c r="F4" s="804"/>
    </row>
    <row r="5" spans="1:6">
      <c r="B5" s="804"/>
      <c r="C5" s="804"/>
      <c r="D5" s="19"/>
      <c r="E5" s="19"/>
      <c r="F5" s="804"/>
    </row>
    <row r="6" spans="1:6">
      <c r="B6" s="804"/>
      <c r="C6" s="804"/>
      <c r="D6" s="19"/>
      <c r="E6" s="19"/>
      <c r="F6" s="804"/>
    </row>
    <row r="7" spans="1:6">
      <c r="B7" s="804"/>
      <c r="D7" s="19"/>
      <c r="E7" s="19"/>
      <c r="F7" s="804"/>
    </row>
    <row r="8" spans="1:6">
      <c r="B8" s="804"/>
      <c r="D8" s="19"/>
      <c r="E8" s="19"/>
      <c r="F8" s="804"/>
    </row>
    <row r="9" spans="1:6">
      <c r="B9" s="804"/>
      <c r="D9" s="19"/>
      <c r="E9" s="19"/>
      <c r="F9" s="804"/>
    </row>
    <row r="10" spans="1:6">
      <c r="B10" s="804"/>
      <c r="E10" s="19"/>
      <c r="F10" s="804"/>
    </row>
    <row r="11" spans="1:6">
      <c r="B11" s="804"/>
      <c r="E11" s="19"/>
      <c r="F11" s="804"/>
    </row>
    <row r="12" spans="1:6">
      <c r="B12" s="804"/>
      <c r="C12" s="804"/>
      <c r="D12" s="19"/>
      <c r="E12" s="19"/>
      <c r="F12" s="804"/>
    </row>
    <row r="13" spans="1:6">
      <c r="B13" s="804"/>
      <c r="C13" s="804"/>
      <c r="D13" s="19"/>
      <c r="E13" s="19"/>
      <c r="F13" s="804"/>
    </row>
    <row r="14" spans="1:6">
      <c r="B14" s="804"/>
      <c r="C14" s="804"/>
      <c r="D14" s="19"/>
      <c r="E14" s="19"/>
      <c r="F14" s="804"/>
    </row>
    <row r="15" spans="1:6">
      <c r="B15" s="804"/>
      <c r="C15" s="804"/>
      <c r="D15" s="19"/>
      <c r="E15" s="19"/>
      <c r="F15" s="804"/>
    </row>
    <row r="16" spans="1:6">
      <c r="B16" s="804"/>
      <c r="C16" s="804"/>
      <c r="D16" s="19"/>
      <c r="E16" s="19"/>
      <c r="F16" s="804"/>
    </row>
    <row r="17" spans="2:6">
      <c r="B17" s="804"/>
      <c r="C17" s="804"/>
      <c r="D17" s="19"/>
      <c r="E17" s="19"/>
      <c r="F17" s="804"/>
    </row>
    <row r="18" spans="2:6">
      <c r="B18" s="804"/>
      <c r="C18" s="804"/>
      <c r="D18" s="19"/>
      <c r="E18" s="19"/>
      <c r="F18" s="804"/>
    </row>
    <row r="19" spans="2:6">
      <c r="B19" s="804"/>
      <c r="C19" s="804"/>
      <c r="D19" s="19"/>
      <c r="E19" s="19"/>
      <c r="F19" s="804"/>
    </row>
    <row r="20" spans="2:6">
      <c r="B20" s="804"/>
      <c r="C20" s="804"/>
      <c r="D20" s="19"/>
      <c r="E20" s="19"/>
      <c r="F20" s="804"/>
    </row>
    <row r="21" spans="2:6">
      <c r="B21" s="804"/>
      <c r="C21" s="804"/>
      <c r="D21" s="19"/>
      <c r="E21" s="19"/>
      <c r="F21" s="804"/>
    </row>
    <row r="22" spans="2:6">
      <c r="B22" s="804"/>
      <c r="C22" s="804"/>
      <c r="D22" s="19"/>
      <c r="E22" s="19"/>
      <c r="F22" s="804"/>
    </row>
    <row r="23" spans="2:6">
      <c r="B23" s="804"/>
      <c r="C23" s="804"/>
      <c r="D23" s="19"/>
      <c r="E23" s="19"/>
      <c r="F23" s="804"/>
    </row>
    <row r="24" spans="2:6">
      <c r="B24" s="804"/>
      <c r="C24" s="804"/>
      <c r="D24" s="19"/>
      <c r="E24" s="19"/>
      <c r="F24" s="804"/>
    </row>
    <row r="25" spans="2:6">
      <c r="B25" s="804"/>
      <c r="C25" s="804"/>
      <c r="D25" s="19"/>
      <c r="E25" s="19"/>
      <c r="F25" s="804"/>
    </row>
    <row r="26" spans="2:6">
      <c r="B26" s="804"/>
      <c r="C26" s="804"/>
      <c r="D26" s="19"/>
      <c r="E26" s="19"/>
      <c r="F26" s="804"/>
    </row>
    <row r="27" spans="2:6">
      <c r="B27" s="804"/>
      <c r="C27" s="804"/>
      <c r="D27" s="19"/>
      <c r="E27" s="19"/>
      <c r="F27" s="804"/>
    </row>
    <row r="28" spans="2:6">
      <c r="B28" s="804"/>
      <c r="C28" s="804"/>
      <c r="D28" s="19"/>
      <c r="E28" s="19"/>
      <c r="F28" s="804"/>
    </row>
    <row r="29" spans="2:6">
      <c r="B29" s="804"/>
      <c r="C29" s="804"/>
      <c r="D29" s="19"/>
      <c r="E29" s="19"/>
      <c r="F29" s="804"/>
    </row>
    <row r="30" spans="2:6">
      <c r="B30" s="804"/>
      <c r="C30" s="804"/>
      <c r="D30" s="19"/>
      <c r="E30" s="19"/>
      <c r="F30" s="804"/>
    </row>
    <row r="31" spans="2:6">
      <c r="B31" s="346"/>
      <c r="C31" s="346"/>
      <c r="D31" s="346"/>
      <c r="E31" s="346"/>
      <c r="F31" s="346"/>
    </row>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73">
    <tabColor rgb="FFFF0000"/>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style="364" customWidth="1"/>
    <col min="2" max="2" width="26" style="364" customWidth="1"/>
    <col min="3" max="3" width="35" style="364" bestFit="1" customWidth="1"/>
    <col min="4" max="4" width="5.33203125" style="364" customWidth="1"/>
    <col min="5" max="5" width="17.1640625" style="364" customWidth="1"/>
    <col min="6" max="6" width="4.83203125" style="364" customWidth="1"/>
    <col min="7" max="16384" width="9.1640625" style="364"/>
  </cols>
  <sheetData>
    <row r="2" spans="1:6" ht="20.25" customHeight="1">
      <c r="A2" s="930"/>
      <c r="B2" s="33"/>
      <c r="C2" s="33"/>
      <c r="D2" s="33"/>
    </row>
    <row r="3" spans="1:6" ht="15" customHeight="1">
      <c r="A3" s="33"/>
      <c r="B3" s="33"/>
      <c r="C3" s="33"/>
      <c r="D3" s="33"/>
    </row>
    <row r="4" spans="1:6">
      <c r="B4" s="931"/>
      <c r="C4" s="931"/>
      <c r="D4" s="19"/>
      <c r="E4" s="19"/>
      <c r="F4" s="931"/>
    </row>
    <row r="5" spans="1:6">
      <c r="B5" s="931"/>
      <c r="C5" s="931"/>
      <c r="D5" s="19"/>
      <c r="E5" s="19"/>
      <c r="F5" s="931"/>
    </row>
    <row r="6" spans="1:6">
      <c r="B6" s="931"/>
      <c r="C6" s="931"/>
      <c r="D6" s="19"/>
      <c r="E6" s="19"/>
      <c r="F6" s="931"/>
    </row>
    <row r="7" spans="1:6">
      <c r="B7" s="931"/>
      <c r="D7" s="19"/>
      <c r="E7" s="19"/>
      <c r="F7" s="931"/>
    </row>
    <row r="8" spans="1:6">
      <c r="B8" s="931"/>
      <c r="D8" s="19"/>
      <c r="E8" s="19"/>
      <c r="F8" s="931"/>
    </row>
    <row r="9" spans="1:6">
      <c r="B9" s="931"/>
      <c r="D9" s="19"/>
      <c r="E9" s="19"/>
      <c r="F9" s="931"/>
    </row>
    <row r="10" spans="1:6">
      <c r="B10" s="931"/>
      <c r="E10" s="19"/>
      <c r="F10" s="931"/>
    </row>
    <row r="11" spans="1:6">
      <c r="B11" s="931"/>
      <c r="E11" s="19"/>
      <c r="F11" s="931"/>
    </row>
    <row r="12" spans="1:6">
      <c r="B12" s="931"/>
      <c r="C12" s="931"/>
      <c r="D12" s="19"/>
      <c r="E12" s="19"/>
      <c r="F12" s="931"/>
    </row>
    <row r="13" spans="1:6">
      <c r="B13" s="931"/>
      <c r="C13" s="931"/>
      <c r="D13" s="19"/>
      <c r="E13" s="19"/>
      <c r="F13" s="931"/>
    </row>
    <row r="14" spans="1:6">
      <c r="B14" s="931"/>
      <c r="C14" s="931"/>
      <c r="D14" s="19"/>
      <c r="E14" s="19"/>
      <c r="F14" s="931"/>
    </row>
    <row r="15" spans="1:6">
      <c r="B15" s="931"/>
      <c r="C15" s="931"/>
      <c r="D15" s="19"/>
      <c r="E15" s="19"/>
      <c r="F15" s="931"/>
    </row>
    <row r="16" spans="1:6">
      <c r="B16" s="931"/>
      <c r="C16" s="931"/>
      <c r="D16" s="19"/>
      <c r="E16" s="19"/>
      <c r="F16" s="931"/>
    </row>
    <row r="17" spans="2:6">
      <c r="B17" s="931"/>
      <c r="C17" s="931"/>
      <c r="D17" s="19"/>
      <c r="E17" s="19"/>
      <c r="F17" s="931"/>
    </row>
    <row r="18" spans="2:6">
      <c r="B18" s="931"/>
      <c r="C18" s="931"/>
      <c r="D18" s="19"/>
      <c r="E18" s="19"/>
      <c r="F18" s="931"/>
    </row>
    <row r="19" spans="2:6">
      <c r="B19" s="931"/>
      <c r="C19" s="931"/>
      <c r="D19" s="19"/>
      <c r="E19" s="19"/>
      <c r="F19" s="931"/>
    </row>
    <row r="20" spans="2:6">
      <c r="B20" s="931"/>
      <c r="C20" s="931"/>
      <c r="D20" s="19"/>
      <c r="E20" s="19"/>
      <c r="F20" s="931"/>
    </row>
    <row r="21" spans="2:6">
      <c r="B21" s="931"/>
      <c r="C21" s="931"/>
      <c r="D21" s="19"/>
      <c r="E21" s="19"/>
      <c r="F21" s="931"/>
    </row>
    <row r="22" spans="2:6">
      <c r="B22" s="931"/>
      <c r="C22" s="931"/>
      <c r="D22" s="19"/>
      <c r="E22" s="19"/>
      <c r="F22" s="931"/>
    </row>
    <row r="23" spans="2:6">
      <c r="B23" s="931"/>
      <c r="C23" s="931"/>
      <c r="D23" s="19"/>
      <c r="E23" s="19"/>
      <c r="F23" s="931"/>
    </row>
    <row r="24" spans="2:6">
      <c r="B24" s="931"/>
      <c r="C24" s="931"/>
      <c r="D24" s="19"/>
      <c r="E24" s="19"/>
      <c r="F24" s="931"/>
    </row>
    <row r="25" spans="2:6">
      <c r="B25" s="931"/>
      <c r="C25" s="931"/>
      <c r="D25" s="19"/>
      <c r="E25" s="19"/>
      <c r="F25" s="931"/>
    </row>
    <row r="26" spans="2:6">
      <c r="B26" s="931"/>
      <c r="C26" s="931"/>
      <c r="D26" s="19"/>
      <c r="E26" s="19"/>
      <c r="F26" s="931"/>
    </row>
    <row r="27" spans="2:6">
      <c r="B27" s="931"/>
      <c r="C27" s="931"/>
      <c r="D27" s="19"/>
      <c r="E27" s="19"/>
      <c r="F27" s="931"/>
    </row>
    <row r="28" spans="2:6">
      <c r="B28" s="931"/>
      <c r="C28" s="931"/>
      <c r="D28" s="19"/>
      <c r="E28" s="19"/>
      <c r="F28" s="931"/>
    </row>
    <row r="29" spans="2:6">
      <c r="B29" s="931"/>
      <c r="C29" s="931"/>
      <c r="D29" s="19"/>
      <c r="E29" s="19"/>
      <c r="F29" s="931"/>
    </row>
    <row r="30" spans="2:6">
      <c r="B30" s="931"/>
      <c r="C30" s="931"/>
      <c r="D30" s="19"/>
      <c r="E30" s="19"/>
      <c r="F30" s="931"/>
    </row>
    <row r="31" spans="2:6">
      <c r="B31" s="346"/>
      <c r="C31" s="346"/>
      <c r="D31" s="346"/>
      <c r="E31" s="346"/>
      <c r="F31" s="346"/>
    </row>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74">
    <tabColor rgb="FFFF0000"/>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style="364" customWidth="1"/>
    <col min="2" max="2" width="26" style="364" customWidth="1"/>
    <col min="3" max="3" width="35" style="364" bestFit="1" customWidth="1"/>
    <col min="4" max="4" width="5.33203125" style="364" customWidth="1"/>
    <col min="5" max="5" width="17.1640625" style="364" customWidth="1"/>
    <col min="6" max="6" width="4.83203125" style="364" customWidth="1"/>
    <col min="7" max="16384" width="9.1640625" style="364"/>
  </cols>
  <sheetData>
    <row r="2" spans="1:6" ht="20.25" customHeight="1">
      <c r="A2" s="930"/>
      <c r="B2" s="33"/>
      <c r="C2" s="33"/>
      <c r="D2" s="33"/>
    </row>
    <row r="3" spans="1:6" ht="15" customHeight="1">
      <c r="A3" s="33"/>
      <c r="B3" s="33"/>
      <c r="C3" s="33"/>
      <c r="D3" s="33"/>
    </row>
    <row r="4" spans="1:6">
      <c r="B4" s="931"/>
      <c r="C4" s="931"/>
      <c r="D4" s="19"/>
      <c r="E4" s="19"/>
      <c r="F4" s="931"/>
    </row>
    <row r="5" spans="1:6">
      <c r="B5" s="931"/>
      <c r="C5" s="931"/>
      <c r="D5" s="19"/>
      <c r="E5" s="19"/>
      <c r="F5" s="931"/>
    </row>
    <row r="6" spans="1:6">
      <c r="B6" s="931"/>
      <c r="C6" s="931"/>
      <c r="D6" s="19"/>
      <c r="E6" s="19"/>
      <c r="F6" s="931"/>
    </row>
    <row r="7" spans="1:6">
      <c r="B7" s="931"/>
      <c r="D7" s="19"/>
      <c r="E7" s="19"/>
      <c r="F7" s="931"/>
    </row>
    <row r="8" spans="1:6">
      <c r="B8" s="931"/>
      <c r="D8" s="19"/>
      <c r="E8" s="19"/>
      <c r="F8" s="931"/>
    </row>
    <row r="9" spans="1:6">
      <c r="B9" s="931"/>
      <c r="D9" s="19"/>
      <c r="E9" s="19"/>
      <c r="F9" s="931"/>
    </row>
    <row r="10" spans="1:6">
      <c r="B10" s="931"/>
      <c r="E10" s="19"/>
      <c r="F10" s="931"/>
    </row>
    <row r="11" spans="1:6">
      <c r="B11" s="931"/>
      <c r="E11" s="19"/>
      <c r="F11" s="931"/>
    </row>
    <row r="12" spans="1:6">
      <c r="B12" s="931"/>
      <c r="C12" s="931"/>
      <c r="D12" s="19"/>
      <c r="E12" s="19"/>
      <c r="F12" s="931"/>
    </row>
    <row r="13" spans="1:6">
      <c r="B13" s="931"/>
      <c r="C13" s="931"/>
      <c r="D13" s="19"/>
      <c r="E13" s="19"/>
      <c r="F13" s="931"/>
    </row>
    <row r="14" spans="1:6">
      <c r="B14" s="931"/>
      <c r="C14" s="931"/>
      <c r="D14" s="19"/>
      <c r="E14" s="19"/>
      <c r="F14" s="931"/>
    </row>
    <row r="15" spans="1:6">
      <c r="B15" s="931"/>
      <c r="C15" s="931"/>
      <c r="D15" s="19"/>
      <c r="E15" s="19"/>
      <c r="F15" s="931"/>
    </row>
    <row r="16" spans="1:6">
      <c r="B16" s="931"/>
      <c r="C16" s="931"/>
      <c r="D16" s="19"/>
      <c r="E16" s="19"/>
      <c r="F16" s="931"/>
    </row>
    <row r="17" spans="2:6">
      <c r="B17" s="931"/>
      <c r="C17" s="931"/>
      <c r="D17" s="19"/>
      <c r="E17" s="19"/>
      <c r="F17" s="931"/>
    </row>
    <row r="18" spans="2:6">
      <c r="B18" s="931"/>
      <c r="C18" s="931"/>
      <c r="D18" s="19"/>
      <c r="E18" s="19"/>
      <c r="F18" s="931"/>
    </row>
    <row r="19" spans="2:6">
      <c r="B19" s="931"/>
      <c r="C19" s="931"/>
      <c r="D19" s="19"/>
      <c r="E19" s="19"/>
      <c r="F19" s="931"/>
    </row>
    <row r="20" spans="2:6">
      <c r="B20" s="931"/>
      <c r="C20" s="931"/>
      <c r="D20" s="19"/>
      <c r="E20" s="19"/>
      <c r="F20" s="931"/>
    </row>
    <row r="21" spans="2:6">
      <c r="B21" s="931"/>
      <c r="C21" s="931"/>
      <c r="D21" s="19"/>
      <c r="E21" s="19"/>
      <c r="F21" s="931"/>
    </row>
    <row r="22" spans="2:6">
      <c r="B22" s="931"/>
      <c r="C22" s="931"/>
      <c r="D22" s="19"/>
      <c r="E22" s="19"/>
      <c r="F22" s="931"/>
    </row>
    <row r="23" spans="2:6">
      <c r="B23" s="931"/>
      <c r="C23" s="931"/>
      <c r="D23" s="19"/>
      <c r="E23" s="19"/>
      <c r="F23" s="931"/>
    </row>
    <row r="24" spans="2:6">
      <c r="B24" s="931"/>
      <c r="C24" s="931"/>
      <c r="D24" s="19"/>
      <c r="E24" s="19"/>
      <c r="F24" s="931"/>
    </row>
    <row r="25" spans="2:6">
      <c r="B25" s="931"/>
      <c r="C25" s="931"/>
      <c r="D25" s="19"/>
      <c r="E25" s="19"/>
      <c r="F25" s="931"/>
    </row>
    <row r="26" spans="2:6">
      <c r="B26" s="931"/>
      <c r="C26" s="931"/>
      <c r="D26" s="19"/>
      <c r="E26" s="19"/>
      <c r="F26" s="931"/>
    </row>
    <row r="27" spans="2:6">
      <c r="B27" s="931"/>
      <c r="C27" s="931"/>
      <c r="D27" s="19"/>
      <c r="E27" s="19"/>
      <c r="F27" s="931"/>
    </row>
    <row r="28" spans="2:6">
      <c r="B28" s="931"/>
      <c r="C28" s="931"/>
      <c r="D28" s="19"/>
      <c r="E28" s="19"/>
      <c r="F28" s="931"/>
    </row>
    <row r="29" spans="2:6">
      <c r="B29" s="931"/>
      <c r="C29" s="931"/>
      <c r="D29" s="19"/>
      <c r="E29" s="19"/>
      <c r="F29" s="931"/>
    </row>
    <row r="30" spans="2:6">
      <c r="B30" s="931"/>
      <c r="C30" s="931"/>
      <c r="D30" s="19"/>
      <c r="E30" s="19"/>
      <c r="F30" s="931"/>
    </row>
    <row r="31" spans="2:6">
      <c r="B31" s="346"/>
      <c r="C31" s="346"/>
      <c r="D31" s="346"/>
      <c r="E31" s="346"/>
      <c r="F31" s="346"/>
    </row>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drawing r:id="rId2"/>
  <legacyDrawingHF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75">
    <tabColor rgb="FFFF0000"/>
  </sheetPr>
  <dimension ref="A2:F31"/>
  <sheetViews>
    <sheetView showGridLines="0" view="pageLayout" zoomScale="80" zoomScaleNormal="100" zoomScalePageLayoutView="80" workbookViewId="0">
      <selection activeCell="H10" sqref="H10"/>
    </sheetView>
  </sheetViews>
  <sheetFormatPr baseColWidth="10" defaultColWidth="9.1640625" defaultRowHeight="15"/>
  <cols>
    <col min="1" max="1" width="3.33203125" style="364" customWidth="1"/>
    <col min="2" max="2" width="26" style="364" customWidth="1"/>
    <col min="3" max="3" width="35" style="364" bestFit="1" customWidth="1"/>
    <col min="4" max="4" width="5.33203125" style="364" customWidth="1"/>
    <col min="5" max="5" width="17.1640625" style="364" customWidth="1"/>
    <col min="6" max="6" width="4.83203125" style="364" customWidth="1"/>
    <col min="7" max="16384" width="9.1640625" style="364"/>
  </cols>
  <sheetData>
    <row r="2" spans="1:6" ht="20.25" customHeight="1">
      <c r="A2" s="935"/>
      <c r="B2" s="33"/>
      <c r="C2" s="33"/>
      <c r="D2" s="33"/>
    </row>
    <row r="3" spans="1:6" ht="15" customHeight="1">
      <c r="A3" s="33"/>
      <c r="B3" s="33"/>
      <c r="C3" s="33"/>
      <c r="D3" s="33"/>
    </row>
    <row r="4" spans="1:6">
      <c r="B4" s="939"/>
      <c r="C4" s="939"/>
      <c r="D4" s="19"/>
      <c r="E4" s="19"/>
      <c r="F4" s="939"/>
    </row>
    <row r="5" spans="1:6">
      <c r="B5" s="939"/>
      <c r="C5" s="939"/>
      <c r="D5" s="19"/>
      <c r="E5" s="19"/>
      <c r="F5" s="939"/>
    </row>
    <row r="6" spans="1:6">
      <c r="B6" s="939"/>
      <c r="C6" s="939"/>
      <c r="D6" s="19"/>
      <c r="E6" s="19"/>
      <c r="F6" s="939"/>
    </row>
    <row r="7" spans="1:6">
      <c r="B7" s="939"/>
      <c r="D7" s="19"/>
      <c r="E7" s="19"/>
      <c r="F7" s="939"/>
    </row>
    <row r="8" spans="1:6">
      <c r="B8" s="939"/>
      <c r="D8" s="19"/>
      <c r="E8" s="19"/>
      <c r="F8" s="939"/>
    </row>
    <row r="9" spans="1:6">
      <c r="B9" s="939"/>
      <c r="D9" s="19"/>
      <c r="E9" s="19"/>
      <c r="F9" s="939"/>
    </row>
    <row r="10" spans="1:6">
      <c r="B10" s="939"/>
      <c r="E10" s="19"/>
      <c r="F10" s="939"/>
    </row>
    <row r="11" spans="1:6">
      <c r="B11" s="939"/>
      <c r="E11" s="19"/>
      <c r="F11" s="939"/>
    </row>
    <row r="12" spans="1:6">
      <c r="B12" s="939"/>
      <c r="C12" s="939"/>
      <c r="D12" s="19"/>
      <c r="E12" s="19"/>
      <c r="F12" s="939"/>
    </row>
    <row r="13" spans="1:6">
      <c r="B13" s="939"/>
      <c r="C13" s="939"/>
      <c r="D13" s="19"/>
      <c r="E13" s="19"/>
      <c r="F13" s="939"/>
    </row>
    <row r="14" spans="1:6">
      <c r="B14" s="939"/>
      <c r="C14" s="939"/>
      <c r="D14" s="19"/>
      <c r="E14" s="19"/>
      <c r="F14" s="939"/>
    </row>
    <row r="15" spans="1:6">
      <c r="B15" s="939"/>
      <c r="C15" s="939"/>
      <c r="D15" s="19"/>
      <c r="E15" s="19"/>
      <c r="F15" s="939"/>
    </row>
    <row r="16" spans="1:6">
      <c r="B16" s="939"/>
      <c r="C16" s="939"/>
      <c r="D16" s="19"/>
      <c r="E16" s="19"/>
      <c r="F16" s="939"/>
    </row>
    <row r="17" spans="2:6">
      <c r="B17" s="939"/>
      <c r="C17" s="939"/>
      <c r="D17" s="19"/>
      <c r="E17" s="19"/>
      <c r="F17" s="939"/>
    </row>
    <row r="18" spans="2:6">
      <c r="B18" s="939"/>
      <c r="C18" s="939"/>
      <c r="D18" s="19"/>
      <c r="E18" s="19"/>
      <c r="F18" s="939"/>
    </row>
    <row r="19" spans="2:6">
      <c r="B19" s="939"/>
      <c r="C19" s="939"/>
      <c r="D19" s="19"/>
      <c r="E19" s="19"/>
      <c r="F19" s="939"/>
    </row>
    <row r="20" spans="2:6">
      <c r="B20" s="939"/>
      <c r="C20" s="939"/>
      <c r="D20" s="19"/>
      <c r="E20" s="19"/>
      <c r="F20" s="939"/>
    </row>
    <row r="21" spans="2:6">
      <c r="B21" s="939"/>
      <c r="C21" s="939"/>
      <c r="D21" s="19"/>
      <c r="E21" s="19"/>
      <c r="F21" s="939"/>
    </row>
    <row r="22" spans="2:6">
      <c r="B22" s="939"/>
      <c r="C22" s="939"/>
      <c r="D22" s="19"/>
      <c r="E22" s="19"/>
      <c r="F22" s="939"/>
    </row>
    <row r="23" spans="2:6">
      <c r="B23" s="939"/>
      <c r="C23" s="939"/>
      <c r="D23" s="19"/>
      <c r="E23" s="19"/>
      <c r="F23" s="939"/>
    </row>
    <row r="24" spans="2:6">
      <c r="B24" s="939"/>
      <c r="C24" s="939"/>
      <c r="D24" s="19"/>
      <c r="E24" s="19"/>
      <c r="F24" s="939"/>
    </row>
    <row r="25" spans="2:6">
      <c r="B25" s="939"/>
      <c r="C25" s="939"/>
      <c r="D25" s="19"/>
      <c r="E25" s="19"/>
      <c r="F25" s="939"/>
    </row>
    <row r="26" spans="2:6">
      <c r="B26" s="939"/>
      <c r="C26" s="939"/>
      <c r="D26" s="19"/>
      <c r="E26" s="19"/>
      <c r="F26" s="939"/>
    </row>
    <row r="27" spans="2:6">
      <c r="B27" s="939"/>
      <c r="C27" s="939"/>
      <c r="D27" s="19"/>
      <c r="E27" s="19"/>
      <c r="F27" s="939"/>
    </row>
    <row r="28" spans="2:6">
      <c r="B28" s="939"/>
      <c r="C28" s="939"/>
      <c r="D28" s="19"/>
      <c r="E28" s="19"/>
      <c r="F28" s="939"/>
    </row>
    <row r="29" spans="2:6">
      <c r="B29" s="939"/>
      <c r="C29" s="939"/>
      <c r="D29" s="19"/>
      <c r="E29" s="19"/>
      <c r="F29" s="939"/>
    </row>
    <row r="30" spans="2:6">
      <c r="B30" s="939"/>
      <c r="C30" s="939"/>
      <c r="D30" s="19"/>
      <c r="E30" s="19"/>
      <c r="F30" s="939"/>
    </row>
    <row r="31" spans="2:6">
      <c r="B31" s="346"/>
      <c r="C31" s="346"/>
      <c r="D31" s="346"/>
      <c r="E31" s="346"/>
      <c r="F31" s="346"/>
    </row>
  </sheetData>
  <pageMargins left="0.405092592592593" right="0.47453703703703698" top="0.55118110236220497" bottom="0.94488188976377996" header="0.31496062992126" footer="0.31496062992126"/>
  <pageSetup fitToHeight="0" orientation="landscape" r:id="rId1"/>
  <headerFooter scaleWithDoc="0">
    <oddHeader>&amp;C&amp;G</oddHeader>
    <oddFooter>&amp;C&amp;G&amp;R&amp;P</oddFooter>
  </headerFooter>
  <drawing r:id="rId2"/>
  <legacyDrawingHF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tabColor rgb="FF7030A0"/>
    <pageSetUpPr fitToPage="1"/>
  </sheetPr>
  <dimension ref="A2:F31"/>
  <sheetViews>
    <sheetView showGridLines="0" view="pageLayout" topLeftCell="A7" zoomScale="80" zoomScaleNormal="100" zoomScalePageLayoutView="80" workbookViewId="0">
      <selection activeCell="H10" sqref="H10"/>
    </sheetView>
  </sheetViews>
  <sheetFormatPr baseColWidth="10" defaultColWidth="9.1640625" defaultRowHeight="15"/>
  <cols>
    <col min="1" max="1" width="3.33203125" style="364" customWidth="1"/>
    <col min="2" max="2" width="26" style="364" customWidth="1"/>
    <col min="3" max="3" width="35" style="364" bestFit="1" customWidth="1"/>
    <col min="4" max="4" width="5.33203125" style="364" customWidth="1"/>
    <col min="5" max="5" width="17.1640625" style="364" customWidth="1"/>
    <col min="6" max="6" width="4.83203125" style="364" customWidth="1"/>
    <col min="7" max="16384" width="9.1640625" style="364"/>
  </cols>
  <sheetData>
    <row r="2" spans="1:6" ht="20.25" customHeight="1">
      <c r="A2" s="900"/>
      <c r="B2" s="33"/>
      <c r="C2" s="33"/>
      <c r="D2" s="33"/>
    </row>
    <row r="3" spans="1:6" ht="15" customHeight="1">
      <c r="A3" s="33"/>
      <c r="B3" s="33"/>
      <c r="C3" s="33"/>
      <c r="D3" s="33"/>
    </row>
    <row r="4" spans="1:6">
      <c r="B4" s="904"/>
      <c r="C4" s="904"/>
      <c r="D4" s="19"/>
      <c r="E4" s="19"/>
      <c r="F4" s="904"/>
    </row>
    <row r="5" spans="1:6">
      <c r="B5" s="904"/>
      <c r="C5" s="904"/>
      <c r="D5" s="19"/>
      <c r="E5" s="19"/>
      <c r="F5" s="904"/>
    </row>
    <row r="6" spans="1:6">
      <c r="B6" s="904"/>
      <c r="C6" s="904"/>
      <c r="D6" s="19"/>
      <c r="E6" s="19"/>
      <c r="F6" s="904"/>
    </row>
    <row r="7" spans="1:6">
      <c r="B7" s="904"/>
      <c r="D7" s="19"/>
      <c r="E7" s="19"/>
      <c r="F7" s="904"/>
    </row>
    <row r="8" spans="1:6">
      <c r="B8" s="904"/>
      <c r="D8" s="19"/>
      <c r="E8" s="19"/>
      <c r="F8" s="904"/>
    </row>
    <row r="9" spans="1:6">
      <c r="B9" s="904"/>
      <c r="D9" s="19"/>
      <c r="E9" s="19"/>
      <c r="F9" s="904"/>
    </row>
    <row r="10" spans="1:6">
      <c r="B10" s="904"/>
      <c r="E10" s="19"/>
      <c r="F10" s="904"/>
    </row>
    <row r="11" spans="1:6">
      <c r="B11" s="904"/>
      <c r="E11" s="19"/>
      <c r="F11" s="904"/>
    </row>
    <row r="12" spans="1:6">
      <c r="B12" s="904"/>
      <c r="C12" s="904"/>
      <c r="D12" s="19"/>
      <c r="E12" s="19"/>
      <c r="F12" s="904"/>
    </row>
    <row r="13" spans="1:6">
      <c r="B13" s="904"/>
      <c r="C13" s="904"/>
      <c r="D13" s="19"/>
      <c r="E13" s="19"/>
      <c r="F13" s="904"/>
    </row>
    <row r="14" spans="1:6">
      <c r="B14" s="904"/>
      <c r="C14" s="904"/>
      <c r="D14" s="19"/>
      <c r="E14" s="19"/>
      <c r="F14" s="904"/>
    </row>
    <row r="15" spans="1:6">
      <c r="B15" s="904"/>
      <c r="C15" s="904"/>
      <c r="D15" s="19"/>
      <c r="E15" s="19"/>
      <c r="F15" s="904"/>
    </row>
    <row r="16" spans="1:6">
      <c r="B16" s="904"/>
      <c r="C16" s="904"/>
      <c r="D16" s="19"/>
      <c r="E16" s="19"/>
      <c r="F16" s="904"/>
    </row>
    <row r="17" spans="2:6">
      <c r="B17" s="904"/>
      <c r="C17" s="904"/>
      <c r="D17" s="19"/>
      <c r="E17" s="19"/>
      <c r="F17" s="904"/>
    </row>
    <row r="18" spans="2:6">
      <c r="B18" s="904"/>
      <c r="C18" s="904"/>
      <c r="D18" s="19"/>
      <c r="E18" s="19"/>
      <c r="F18" s="904"/>
    </row>
    <row r="19" spans="2:6">
      <c r="B19" s="904"/>
      <c r="C19" s="904"/>
      <c r="D19" s="19"/>
      <c r="E19" s="19"/>
      <c r="F19" s="904"/>
    </row>
    <row r="20" spans="2:6">
      <c r="B20" s="904"/>
      <c r="C20" s="904"/>
      <c r="D20" s="19"/>
      <c r="E20" s="19"/>
      <c r="F20" s="904"/>
    </row>
    <row r="21" spans="2:6">
      <c r="B21" s="904"/>
      <c r="C21" s="904"/>
      <c r="D21" s="19"/>
      <c r="E21" s="19"/>
      <c r="F21" s="904"/>
    </row>
    <row r="22" spans="2:6">
      <c r="B22" s="904"/>
      <c r="C22" s="904"/>
      <c r="D22" s="19"/>
      <c r="E22" s="19"/>
      <c r="F22" s="904"/>
    </row>
    <row r="23" spans="2:6">
      <c r="B23" s="904"/>
      <c r="C23" s="904"/>
      <c r="D23" s="19"/>
      <c r="E23" s="19"/>
      <c r="F23" s="904"/>
    </row>
    <row r="24" spans="2:6">
      <c r="B24" s="904"/>
      <c r="C24" s="904"/>
      <c r="D24" s="19"/>
      <c r="E24" s="19"/>
      <c r="F24" s="904"/>
    </row>
    <row r="25" spans="2:6">
      <c r="B25" s="904"/>
      <c r="C25" s="904"/>
      <c r="D25" s="19"/>
      <c r="E25" s="19"/>
      <c r="F25" s="904"/>
    </row>
    <row r="26" spans="2:6">
      <c r="B26" s="904"/>
      <c r="C26" s="904"/>
      <c r="D26" s="19"/>
      <c r="E26" s="19"/>
      <c r="F26" s="904"/>
    </row>
    <row r="27" spans="2:6">
      <c r="B27" s="904"/>
      <c r="C27" s="904"/>
      <c r="D27" s="19"/>
      <c r="E27" s="19"/>
      <c r="F27" s="904"/>
    </row>
    <row r="28" spans="2:6">
      <c r="B28" s="904"/>
      <c r="C28" s="904"/>
      <c r="D28" s="19"/>
      <c r="E28" s="19"/>
      <c r="F28" s="904"/>
    </row>
    <row r="29" spans="2:6">
      <c r="B29" s="904"/>
      <c r="C29" s="904"/>
      <c r="D29" s="19"/>
      <c r="E29" s="19"/>
      <c r="F29" s="904"/>
    </row>
    <row r="30" spans="2:6">
      <c r="B30" s="904"/>
      <c r="C30" s="904"/>
      <c r="D30" s="19"/>
      <c r="E30" s="19"/>
      <c r="F30" s="904"/>
    </row>
    <row r="31" spans="2:6">
      <c r="B31" s="346"/>
      <c r="C31" s="346"/>
      <c r="D31" s="346"/>
      <c r="E31" s="346"/>
      <c r="F31" s="346"/>
    </row>
  </sheetData>
  <pageMargins left="0.405092592592593" right="0.47453703703703698" top="0.55118110236220497" bottom="0.94488188976377996" header="0.31496062992126" footer="0.31496062992126"/>
  <pageSetup scale="82" fitToHeight="0" orientation="portrait" r:id="rId1"/>
  <headerFooter scaleWithDoc="0">
    <oddHeader>&amp;C&amp;G</oddHeader>
    <oddFooter>&amp;C&amp;G&amp;R&amp;P</oddFooter>
  </headerFooter>
  <drawing r:id="rId2"/>
  <legacyDrawingHF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35">
    <tabColor rgb="FFFF0000"/>
  </sheetPr>
  <dimension ref="A1:G63"/>
  <sheetViews>
    <sheetView showGridLines="0" view="pageLayout" zoomScaleNormal="100" workbookViewId="0">
      <selection activeCell="H10" sqref="H10"/>
    </sheetView>
  </sheetViews>
  <sheetFormatPr baseColWidth="10" defaultColWidth="9.1640625" defaultRowHeight="15"/>
  <cols>
    <col min="1" max="1" width="17.6640625" customWidth="1"/>
    <col min="2" max="2" width="9.33203125" customWidth="1"/>
    <col min="3" max="4" width="16.5" customWidth="1"/>
    <col min="5" max="7" width="14.5" customWidth="1"/>
  </cols>
  <sheetData>
    <row r="1" spans="1:7" ht="28.5" customHeight="1"/>
    <row r="2" spans="1:7" s="1" customFormat="1" ht="15" customHeight="1">
      <c r="A2" s="1004" t="s">
        <v>26</v>
      </c>
      <c r="B2" s="1149"/>
      <c r="C2" s="1149"/>
      <c r="D2" s="1149"/>
      <c r="E2" s="3"/>
      <c r="F2" s="3"/>
      <c r="G2" s="3"/>
    </row>
    <row r="3" spans="1:7" s="1" customFormat="1" ht="15" customHeight="1">
      <c r="A3" s="1004"/>
      <c r="B3" s="1149"/>
      <c r="C3" s="1149"/>
      <c r="D3" s="1149"/>
      <c r="E3" s="3"/>
      <c r="F3" s="3"/>
      <c r="G3" s="3"/>
    </row>
    <row r="4" spans="1:7" s="1" customFormat="1" ht="15" customHeight="1">
      <c r="A4" s="24"/>
      <c r="B4" s="24"/>
      <c r="C4" s="24"/>
      <c r="D4" s="24"/>
      <c r="E4" s="3"/>
      <c r="F4" s="3"/>
      <c r="G4" s="3"/>
    </row>
    <row r="5" spans="1:7" s="1" customFormat="1" ht="26">
      <c r="A5" s="490" t="s">
        <v>202</v>
      </c>
      <c r="B5" s="407" t="s">
        <v>340</v>
      </c>
      <c r="C5" s="407" t="s">
        <v>792</v>
      </c>
      <c r="D5" s="407" t="s">
        <v>53</v>
      </c>
      <c r="E5" s="407" t="s">
        <v>36</v>
      </c>
      <c r="F5" s="407" t="s">
        <v>203</v>
      </c>
      <c r="G5" s="408" t="s">
        <v>36</v>
      </c>
    </row>
    <row r="6" spans="1:7" s="1" customFormat="1" ht="15" customHeight="1">
      <c r="A6" s="734" t="str">
        <f>RenewalMonth &amp; " 1, " &amp; RenewalYear</f>
        <v>Month 1, Year</v>
      </c>
      <c r="B6" s="496">
        <f>'Additional Information'!B8</f>
        <v>0</v>
      </c>
      <c r="C6" s="435">
        <f>'Renewal Rates '!D161</f>
        <v>0</v>
      </c>
      <c r="D6" s="435">
        <f>'Renewal Rates '!I161</f>
        <v>0</v>
      </c>
      <c r="E6" s="398" t="e">
        <f t="shared" ref="E6:E11" si="0">D6/C6-1</f>
        <v>#DIV/0!</v>
      </c>
      <c r="F6" s="435" t="e">
        <f t="shared" ref="F6:F11" si="1">D6/B6</f>
        <v>#DIV/0!</v>
      </c>
      <c r="G6" s="398" t="e">
        <f>F6/F7-1</f>
        <v>#DIV/0!</v>
      </c>
    </row>
    <row r="7" spans="1:7" s="1" customFormat="1" ht="15" customHeight="1">
      <c r="A7" s="734" t="e">
        <f>EDATE(A6,-12)</f>
        <v>#VALUE!</v>
      </c>
      <c r="B7" s="496">
        <f>'Additional Information'!C8</f>
        <v>0</v>
      </c>
      <c r="C7" s="435">
        <v>0</v>
      </c>
      <c r="D7" s="435">
        <v>0</v>
      </c>
      <c r="E7" s="398" t="e">
        <f t="shared" si="0"/>
        <v>#DIV/0!</v>
      </c>
      <c r="F7" s="435" t="e">
        <f t="shared" si="1"/>
        <v>#DIV/0!</v>
      </c>
      <c r="G7" s="398" t="e">
        <f>F7/F8-1</f>
        <v>#DIV/0!</v>
      </c>
    </row>
    <row r="8" spans="1:7" s="1" customFormat="1" ht="15" customHeight="1">
      <c r="A8" s="734" t="e">
        <f t="shared" ref="A8:A11" si="2">EDATE(A7,-12)</f>
        <v>#VALUE!</v>
      </c>
      <c r="B8" s="438">
        <v>0</v>
      </c>
      <c r="C8" s="435">
        <v>0</v>
      </c>
      <c r="D8" s="435">
        <v>0</v>
      </c>
      <c r="E8" s="398" t="e">
        <f t="shared" si="0"/>
        <v>#DIV/0!</v>
      </c>
      <c r="F8" s="435" t="e">
        <f t="shared" si="1"/>
        <v>#DIV/0!</v>
      </c>
      <c r="G8" s="398" t="e">
        <f>F8/F9-1</f>
        <v>#DIV/0!</v>
      </c>
    </row>
    <row r="9" spans="1:7" s="1" customFormat="1" ht="15" customHeight="1">
      <c r="A9" s="734" t="e">
        <f t="shared" si="2"/>
        <v>#VALUE!</v>
      </c>
      <c r="B9" s="438">
        <v>0</v>
      </c>
      <c r="C9" s="435">
        <v>0</v>
      </c>
      <c r="D9" s="435">
        <v>0</v>
      </c>
      <c r="E9" s="398" t="e">
        <f t="shared" si="0"/>
        <v>#DIV/0!</v>
      </c>
      <c r="F9" s="435" t="e">
        <f t="shared" si="1"/>
        <v>#DIV/0!</v>
      </c>
      <c r="G9" s="398" t="e">
        <f>F9/F10-1</f>
        <v>#DIV/0!</v>
      </c>
    </row>
    <row r="10" spans="1:7" s="1" customFormat="1" ht="15" customHeight="1">
      <c r="A10" s="734" t="e">
        <f t="shared" si="2"/>
        <v>#VALUE!</v>
      </c>
      <c r="B10" s="438">
        <v>0</v>
      </c>
      <c r="C10" s="435">
        <v>0</v>
      </c>
      <c r="D10" s="435">
        <v>0</v>
      </c>
      <c r="E10" s="398" t="e">
        <f t="shared" si="0"/>
        <v>#DIV/0!</v>
      </c>
      <c r="F10" s="435" t="e">
        <f t="shared" si="1"/>
        <v>#DIV/0!</v>
      </c>
      <c r="G10" s="398" t="e">
        <f>F10/F11-1</f>
        <v>#DIV/0!</v>
      </c>
    </row>
    <row r="11" spans="1:7" s="1" customFormat="1" ht="15" customHeight="1">
      <c r="A11" s="734" t="e">
        <f t="shared" si="2"/>
        <v>#VALUE!</v>
      </c>
      <c r="B11" s="438">
        <v>0</v>
      </c>
      <c r="C11" s="435">
        <v>0</v>
      </c>
      <c r="D11" s="435">
        <v>0</v>
      </c>
      <c r="E11" s="398" t="e">
        <f t="shared" si="0"/>
        <v>#DIV/0!</v>
      </c>
      <c r="F11" s="435" t="e">
        <f t="shared" si="1"/>
        <v>#DIV/0!</v>
      </c>
      <c r="G11" s="438"/>
    </row>
    <row r="12" spans="1:7" s="1" customFormat="1" ht="15" customHeight="1">
      <c r="A12" s="24"/>
      <c r="B12" s="24"/>
      <c r="C12" s="24"/>
      <c r="D12" s="24"/>
      <c r="E12" s="3"/>
      <c r="F12" s="3"/>
      <c r="G12" s="3"/>
    </row>
    <row r="13" spans="1:7" s="1" customFormat="1" ht="15" customHeight="1">
      <c r="A13" s="24"/>
      <c r="B13" s="24"/>
      <c r="C13" s="24"/>
      <c r="D13" s="24"/>
      <c r="E13" s="3"/>
      <c r="F13" s="3"/>
      <c r="G13" s="3"/>
    </row>
    <row r="14" spans="1:7" s="1" customFormat="1" ht="15" customHeight="1">
      <c r="A14" s="45"/>
      <c r="B14" s="24"/>
      <c r="C14" s="24"/>
      <c r="D14" s="24"/>
      <c r="E14" s="3"/>
      <c r="F14" s="3"/>
      <c r="G14" s="3"/>
    </row>
    <row r="15" spans="1:7" s="1" customFormat="1" ht="15" customHeight="1">
      <c r="A15" s="24"/>
      <c r="B15" s="24"/>
      <c r="C15" s="24"/>
      <c r="D15" s="24"/>
      <c r="E15" s="3"/>
      <c r="F15" s="3"/>
      <c r="G15" s="3"/>
    </row>
    <row r="16" spans="1:7" s="1" customFormat="1" ht="15" customHeight="1">
      <c r="A16" s="24"/>
      <c r="B16" s="24"/>
      <c r="C16" s="24"/>
      <c r="D16" s="24"/>
      <c r="E16" s="3"/>
      <c r="F16" s="3"/>
      <c r="G16" s="3"/>
    </row>
    <row r="17" spans="1:7" s="1" customFormat="1" ht="15" customHeight="1">
      <c r="A17" s="24"/>
      <c r="B17" s="24"/>
      <c r="C17" s="24"/>
      <c r="D17" s="24"/>
      <c r="E17" s="3"/>
      <c r="F17" s="3"/>
      <c r="G17" s="3"/>
    </row>
    <row r="18" spans="1:7" s="1" customFormat="1" ht="15" customHeight="1">
      <c r="A18" s="24"/>
      <c r="B18" s="24"/>
      <c r="C18" s="24"/>
      <c r="D18" s="24"/>
      <c r="E18" s="3"/>
      <c r="F18" s="3"/>
      <c r="G18" s="3"/>
    </row>
    <row r="19" spans="1:7" s="1" customFormat="1" ht="15" customHeight="1">
      <c r="A19" s="24"/>
      <c r="B19" s="24"/>
      <c r="C19" s="24"/>
      <c r="D19" s="24"/>
      <c r="E19" s="3"/>
      <c r="F19" s="3"/>
      <c r="G19" s="3"/>
    </row>
    <row r="20" spans="1:7" s="1" customFormat="1" ht="15" customHeight="1">
      <c r="A20" s="24"/>
      <c r="B20" s="24"/>
      <c r="C20" s="24"/>
      <c r="D20" s="24"/>
      <c r="E20" s="3"/>
      <c r="F20" s="3"/>
      <c r="G20" s="3"/>
    </row>
    <row r="21" spans="1:7" s="1" customFormat="1" ht="15" customHeight="1">
      <c r="A21" s="24"/>
      <c r="B21" s="24"/>
      <c r="C21" s="24"/>
      <c r="D21" s="24"/>
      <c r="E21" s="3"/>
      <c r="F21" s="3"/>
      <c r="G21" s="3"/>
    </row>
    <row r="22" spans="1:7" s="1" customFormat="1" ht="15" customHeight="1">
      <c r="A22" s="24"/>
      <c r="B22" s="24"/>
      <c r="C22" s="211"/>
      <c r="D22" s="24"/>
      <c r="E22" s="3"/>
      <c r="F22" s="3"/>
      <c r="G22" s="3"/>
    </row>
    <row r="23" spans="1:7" s="1" customFormat="1" ht="15" customHeight="1">
      <c r="A23" s="24"/>
      <c r="B23" s="24"/>
      <c r="C23" s="24"/>
      <c r="D23" s="24"/>
      <c r="E23" s="3"/>
      <c r="F23" s="3"/>
      <c r="G23" s="3"/>
    </row>
    <row r="24" spans="1:7" s="1" customFormat="1" ht="15" customHeight="1">
      <c r="A24" s="24"/>
      <c r="B24" s="24"/>
      <c r="C24" s="24"/>
      <c r="D24" s="24"/>
      <c r="E24" s="3"/>
      <c r="F24" s="3"/>
      <c r="G24" s="3"/>
    </row>
    <row r="25" spans="1:7" s="1" customFormat="1" ht="15" customHeight="1">
      <c r="A25" s="24"/>
      <c r="B25" s="24"/>
      <c r="C25" s="24"/>
      <c r="D25" s="24"/>
      <c r="E25" s="3"/>
      <c r="F25" s="3"/>
      <c r="G25" s="3"/>
    </row>
    <row r="26" spans="1:7" s="1" customFormat="1" ht="15" customHeight="1">
      <c r="A26" s="24"/>
      <c r="B26" s="24"/>
      <c r="C26" s="24"/>
      <c r="D26" s="24"/>
      <c r="E26" s="3"/>
      <c r="F26" s="3"/>
      <c r="G26" s="3"/>
    </row>
    <row r="27" spans="1:7" s="1" customFormat="1" ht="15" customHeight="1">
      <c r="A27" s="24"/>
      <c r="B27" s="24"/>
      <c r="C27" s="24"/>
      <c r="D27" s="24"/>
      <c r="E27" s="3"/>
      <c r="F27" s="3"/>
      <c r="G27" s="3"/>
    </row>
    <row r="28" spans="1:7" s="1" customFormat="1" ht="15" customHeight="1">
      <c r="A28" s="24"/>
      <c r="B28" s="24"/>
      <c r="C28" s="24"/>
      <c r="D28" s="24"/>
      <c r="E28" s="3"/>
      <c r="F28" s="3"/>
      <c r="G28" s="3"/>
    </row>
    <row r="29" spans="1:7" s="1" customFormat="1" ht="15" customHeight="1">
      <c r="A29" s="24"/>
      <c r="B29" s="24"/>
      <c r="C29" s="24"/>
      <c r="D29" s="24"/>
      <c r="E29" s="3"/>
      <c r="F29" s="3"/>
      <c r="G29" s="3"/>
    </row>
    <row r="30" spans="1:7" s="1" customFormat="1" ht="15" customHeight="1">
      <c r="A30" s="24"/>
      <c r="B30" s="24"/>
      <c r="C30" s="24"/>
      <c r="D30" s="24"/>
      <c r="E30" s="3"/>
      <c r="F30" s="3"/>
      <c r="G30" s="3"/>
    </row>
    <row r="31" spans="1:7" s="1" customFormat="1" ht="15" customHeight="1">
      <c r="A31" s="24"/>
      <c r="B31" s="24"/>
      <c r="C31" s="24"/>
      <c r="D31" s="24"/>
      <c r="E31" s="3"/>
      <c r="F31" s="3"/>
      <c r="G31" s="3"/>
    </row>
    <row r="32" spans="1:7" s="1" customFormat="1" ht="15" customHeight="1">
      <c r="A32" s="24"/>
      <c r="B32" s="24"/>
      <c r="C32" s="24"/>
      <c r="D32" s="24"/>
      <c r="E32" s="3"/>
      <c r="F32" s="3"/>
      <c r="G32" s="3"/>
    </row>
    <row r="33" spans="1:7" s="1" customFormat="1" ht="15" customHeight="1">
      <c r="A33" s="24"/>
      <c r="B33" s="24"/>
      <c r="C33" s="24"/>
      <c r="D33" s="24"/>
      <c r="E33" s="3"/>
      <c r="F33" s="3"/>
      <c r="G33" s="3"/>
    </row>
    <row r="34" spans="1:7" s="1" customFormat="1" ht="15" customHeight="1">
      <c r="A34" s="24"/>
      <c r="B34" s="24"/>
      <c r="C34" s="24"/>
      <c r="D34" s="24"/>
      <c r="E34" s="3"/>
      <c r="F34" s="3"/>
      <c r="G34" s="3"/>
    </row>
    <row r="35" spans="1:7" s="1" customFormat="1" ht="15" customHeight="1">
      <c r="A35" s="24"/>
      <c r="B35" s="24"/>
      <c r="C35" s="24"/>
      <c r="D35" s="24"/>
      <c r="E35" s="3"/>
      <c r="F35" s="3"/>
      <c r="G35" s="3"/>
    </row>
    <row r="36" spans="1:7" s="1" customFormat="1" ht="15" customHeight="1">
      <c r="A36" s="24"/>
      <c r="B36" s="24"/>
      <c r="C36" s="24"/>
      <c r="D36" s="24"/>
      <c r="E36" s="3"/>
      <c r="F36" s="3"/>
      <c r="G36" s="3"/>
    </row>
    <row r="37" spans="1:7" s="1" customFormat="1" ht="15" customHeight="1">
      <c r="A37" s="24"/>
      <c r="B37" s="24"/>
      <c r="C37" s="24"/>
      <c r="D37" s="24"/>
      <c r="E37" s="3"/>
      <c r="F37" s="3"/>
      <c r="G37" s="3"/>
    </row>
    <row r="38" spans="1:7" s="1" customFormat="1" ht="15" customHeight="1">
      <c r="A38" s="24"/>
      <c r="B38" s="24"/>
      <c r="C38" s="24"/>
      <c r="D38" s="24"/>
      <c r="E38" s="3"/>
      <c r="F38" s="3"/>
      <c r="G38" s="3"/>
    </row>
    <row r="39" spans="1:7" s="1" customFormat="1" ht="15" customHeight="1">
      <c r="A39" s="24"/>
      <c r="B39" s="24"/>
      <c r="C39" s="24"/>
      <c r="D39" s="24"/>
      <c r="E39" s="3"/>
      <c r="F39" s="3"/>
      <c r="G39" s="3"/>
    </row>
    <row r="40" spans="1:7" s="1" customFormat="1" ht="15" customHeight="1">
      <c r="A40" s="24"/>
      <c r="B40" s="24"/>
      <c r="C40" s="24"/>
      <c r="D40" s="24"/>
      <c r="E40" s="3"/>
      <c r="F40" s="3"/>
      <c r="G40" s="3"/>
    </row>
    <row r="41" spans="1:7" s="1" customFormat="1" ht="15" customHeight="1">
      <c r="A41" s="24"/>
      <c r="B41" s="24"/>
      <c r="C41" s="24"/>
      <c r="D41" s="24"/>
      <c r="E41" s="3"/>
      <c r="F41" s="3"/>
      <c r="G41" s="3"/>
    </row>
    <row r="42" spans="1:7" s="1" customFormat="1" ht="15" customHeight="1">
      <c r="A42" s="24"/>
      <c r="B42" s="24"/>
      <c r="C42" s="24"/>
      <c r="D42" s="24"/>
      <c r="E42" s="3"/>
      <c r="F42" s="3"/>
      <c r="G42" s="3"/>
    </row>
    <row r="43" spans="1:7" s="1" customFormat="1" ht="15" customHeight="1">
      <c r="A43" s="24"/>
      <c r="B43" s="24"/>
      <c r="C43" s="24"/>
      <c r="D43" s="24"/>
      <c r="E43" s="3"/>
      <c r="F43" s="3"/>
      <c r="G43" s="3"/>
    </row>
    <row r="44" spans="1:7" s="1" customFormat="1" ht="15" customHeight="1">
      <c r="A44" s="24"/>
      <c r="B44" s="24"/>
      <c r="C44" s="24"/>
      <c r="D44" s="24"/>
      <c r="E44" s="3"/>
      <c r="F44" s="3"/>
      <c r="G44" s="3"/>
    </row>
    <row r="45" spans="1:7" s="1" customFormat="1" ht="15" customHeight="1">
      <c r="A45" s="24"/>
      <c r="B45" s="24"/>
      <c r="C45" s="24"/>
      <c r="D45" s="24"/>
      <c r="E45" s="3"/>
      <c r="F45" s="3"/>
      <c r="G45" s="3"/>
    </row>
    <row r="46" spans="1:7" s="1" customFormat="1" ht="15" customHeight="1">
      <c r="A46" s="24"/>
      <c r="B46" s="24"/>
      <c r="C46" s="24"/>
      <c r="D46" s="24"/>
      <c r="E46" s="3"/>
      <c r="F46" s="3"/>
      <c r="G46" s="3"/>
    </row>
    <row r="47" spans="1:7" ht="15" customHeight="1"/>
    <row r="48" spans="1: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sheetData>
  <mergeCells count="1">
    <mergeCell ref="A2:D3"/>
  </mergeCells>
  <pageMargins left="0.405092592592593" right="0.47453703703703698" top="0.55118110236220497" bottom="0.94488188976377996" header="0.31496062992126" footer="0.31496062992126"/>
  <pageSetup scale="94" orientation="portrait" r:id="rId1"/>
  <headerFooter scaleWithDoc="0">
    <oddHeader>&amp;C&amp;G</oddHeader>
    <oddFooter>&amp;C&amp;G&amp;R&amp;P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FF0000"/>
    <pageSetUpPr fitToPage="1"/>
  </sheetPr>
  <dimension ref="A1:K37"/>
  <sheetViews>
    <sheetView showGridLines="0" view="pageLayout" zoomScaleNormal="100" workbookViewId="0">
      <selection activeCell="H10" sqref="H10"/>
    </sheetView>
  </sheetViews>
  <sheetFormatPr baseColWidth="10" defaultColWidth="9.1640625" defaultRowHeight="15"/>
  <cols>
    <col min="1" max="1" width="13.5" customWidth="1"/>
    <col min="3" max="3" width="8.83203125" customWidth="1"/>
    <col min="4" max="4" width="5.33203125" customWidth="1"/>
    <col min="7" max="7" width="7.5" customWidth="1"/>
    <col min="9" max="9" width="9.1640625" customWidth="1"/>
    <col min="10" max="10" width="8.33203125" customWidth="1"/>
    <col min="11" max="11" width="0.1640625" customWidth="1"/>
    <col min="12" max="12" width="8.5" customWidth="1"/>
  </cols>
  <sheetData>
    <row r="1" spans="1:11" ht="18.75" customHeight="1">
      <c r="K1" s="28"/>
    </row>
    <row r="2" spans="1:11" s="1" customFormat="1" ht="15" customHeight="1">
      <c r="A2" s="1004" t="s">
        <v>2</v>
      </c>
      <c r="B2" s="1005"/>
      <c r="C2" s="1005"/>
      <c r="D2" s="3"/>
      <c r="E2" s="3"/>
      <c r="F2" s="3"/>
      <c r="G2" s="3"/>
      <c r="H2" s="3"/>
      <c r="I2" s="3"/>
      <c r="J2" s="3"/>
    </row>
    <row r="3" spans="1:11" s="1" customFormat="1" ht="15" customHeight="1">
      <c r="A3" s="1005"/>
      <c r="B3" s="1005"/>
      <c r="C3" s="1005"/>
      <c r="D3" s="3"/>
      <c r="E3" s="3"/>
      <c r="F3" s="3"/>
      <c r="G3" s="3"/>
      <c r="H3" s="3"/>
      <c r="I3" s="3"/>
      <c r="J3" s="3"/>
    </row>
    <row r="4" spans="1:11" s="1" customFormat="1" ht="7.5" customHeight="1">
      <c r="A4" s="3"/>
      <c r="B4" s="3"/>
      <c r="C4" s="3"/>
      <c r="D4" s="3"/>
      <c r="E4" s="3"/>
      <c r="F4" s="3"/>
      <c r="G4" s="3"/>
      <c r="H4" s="3"/>
      <c r="I4" s="3"/>
      <c r="J4" s="3"/>
    </row>
    <row r="5" spans="1:11" s="1" customFormat="1" ht="15" customHeight="1">
      <c r="A5" s="3"/>
      <c r="B5" s="3"/>
      <c r="C5" s="3"/>
      <c r="D5" s="3"/>
      <c r="E5" s="3"/>
      <c r="F5" s="3"/>
      <c r="G5" s="3"/>
      <c r="H5" s="3"/>
      <c r="I5" s="3"/>
      <c r="J5" s="3"/>
    </row>
    <row r="6" spans="1:11" s="1" customFormat="1" ht="15" customHeight="1">
      <c r="A6" s="392" t="s">
        <v>213</v>
      </c>
      <c r="B6" s="212"/>
      <c r="C6" s="212"/>
      <c r="D6" s="212"/>
      <c r="E6" s="212"/>
      <c r="F6" s="212"/>
      <c r="G6" s="392" t="s">
        <v>214</v>
      </c>
      <c r="H6" s="212"/>
      <c r="I6" s="212"/>
      <c r="J6" s="3"/>
    </row>
    <row r="7" spans="1:11" s="1" customFormat="1" ht="15" customHeight="1">
      <c r="A7" s="212"/>
      <c r="B7" s="212"/>
      <c r="C7" s="212"/>
      <c r="D7" s="212"/>
      <c r="E7" s="212"/>
      <c r="F7" s="212"/>
      <c r="G7" s="212"/>
      <c r="H7" s="212"/>
      <c r="I7" s="212"/>
      <c r="J7" s="3"/>
    </row>
    <row r="8" spans="1:11">
      <c r="A8" s="393" t="s">
        <v>730</v>
      </c>
      <c r="B8" s="263"/>
      <c r="C8" s="263"/>
      <c r="D8" s="263"/>
      <c r="E8" s="263"/>
      <c r="F8" s="263"/>
      <c r="G8" s="393" t="s">
        <v>731</v>
      </c>
      <c r="H8" s="263"/>
      <c r="I8" s="263"/>
    </row>
    <row r="9" spans="1:11" ht="15" customHeight="1">
      <c r="A9" s="393" t="s">
        <v>732</v>
      </c>
      <c r="B9" s="212"/>
      <c r="C9" s="212"/>
      <c r="D9" s="212"/>
      <c r="E9" s="212"/>
      <c r="F9" s="212"/>
      <c r="G9" s="393" t="s">
        <v>733</v>
      </c>
      <c r="H9" s="212"/>
      <c r="I9" s="212"/>
      <c r="J9" s="3"/>
    </row>
    <row r="10" spans="1:11">
      <c r="A10" s="393" t="s">
        <v>734</v>
      </c>
      <c r="B10" s="212"/>
      <c r="C10" s="212"/>
      <c r="D10" s="212"/>
      <c r="E10" s="212"/>
      <c r="F10" s="212"/>
      <c r="G10" s="393" t="s">
        <v>735</v>
      </c>
      <c r="H10" s="212"/>
      <c r="I10" s="212"/>
      <c r="J10" s="3"/>
    </row>
    <row r="11" spans="1:11">
      <c r="A11" s="393" t="s">
        <v>736</v>
      </c>
      <c r="B11" s="212"/>
      <c r="C11" s="212"/>
      <c r="D11" s="212"/>
      <c r="E11" s="212"/>
      <c r="F11" s="212"/>
      <c r="G11" s="393" t="s">
        <v>737</v>
      </c>
      <c r="H11" s="212"/>
      <c r="I11" s="212"/>
      <c r="J11" s="3"/>
    </row>
    <row r="12" spans="1:11">
      <c r="A12" s="393" t="s">
        <v>738</v>
      </c>
      <c r="B12" s="212"/>
      <c r="C12" s="212"/>
      <c r="D12" s="212"/>
      <c r="E12" s="212"/>
      <c r="F12" s="212"/>
      <c r="G12" s="393" t="s">
        <v>739</v>
      </c>
      <c r="H12" s="212"/>
      <c r="I12" s="212"/>
      <c r="J12" s="3"/>
    </row>
    <row r="13" spans="1:11">
      <c r="A13" s="393" t="s">
        <v>740</v>
      </c>
      <c r="B13" s="212"/>
      <c r="C13" s="212"/>
      <c r="D13" s="212"/>
      <c r="E13" s="212"/>
      <c r="F13" s="212"/>
      <c r="G13" s="393" t="s">
        <v>741</v>
      </c>
      <c r="H13" s="212"/>
      <c r="I13" s="212"/>
      <c r="J13" s="3"/>
    </row>
    <row r="14" spans="1:11">
      <c r="A14" s="3"/>
      <c r="B14" s="3"/>
      <c r="C14" s="3"/>
      <c r="D14" s="3"/>
      <c r="E14" s="3"/>
      <c r="F14" s="3"/>
      <c r="G14" s="3"/>
      <c r="H14" s="3"/>
      <c r="I14" s="3"/>
      <c r="J14" s="3"/>
    </row>
    <row r="15" spans="1:11">
      <c r="A15" s="3"/>
      <c r="B15" s="3"/>
      <c r="C15" s="3"/>
      <c r="D15" s="3"/>
      <c r="E15" s="3"/>
      <c r="F15" s="3"/>
      <c r="G15" s="3"/>
      <c r="H15" s="3"/>
      <c r="I15" s="3"/>
      <c r="J15" s="3"/>
    </row>
    <row r="16" spans="1:11" ht="15" customHeight="1">
      <c r="A16" s="392" t="s">
        <v>215</v>
      </c>
      <c r="B16" s="2"/>
      <c r="C16" s="2"/>
      <c r="D16" s="2"/>
      <c r="E16" s="2"/>
      <c r="F16" s="2"/>
      <c r="G16" s="2"/>
      <c r="H16" s="2"/>
      <c r="I16" s="2"/>
      <c r="J16" s="2"/>
    </row>
    <row r="17" spans="1:10" ht="15" customHeight="1">
      <c r="A17" s="3"/>
      <c r="B17" s="3"/>
      <c r="C17" s="3"/>
      <c r="D17" s="3"/>
      <c r="E17" s="3"/>
      <c r="F17" s="3"/>
      <c r="G17" s="3"/>
      <c r="H17" s="3"/>
      <c r="I17" s="3"/>
      <c r="J17" s="3"/>
    </row>
    <row r="18" spans="1:10">
      <c r="A18" s="3"/>
      <c r="B18" s="3"/>
      <c r="C18" s="3"/>
      <c r="D18" s="3"/>
      <c r="E18" s="3"/>
      <c r="F18" s="3"/>
      <c r="G18" s="3"/>
      <c r="H18" s="3"/>
      <c r="I18" s="3"/>
      <c r="J18" s="3"/>
    </row>
    <row r="19" spans="1:10">
      <c r="A19" s="31"/>
      <c r="B19" s="3"/>
      <c r="C19" s="3"/>
      <c r="D19" s="3"/>
      <c r="E19" s="3"/>
      <c r="F19" s="3"/>
      <c r="G19" s="3"/>
      <c r="H19" s="3"/>
      <c r="I19" s="3"/>
      <c r="J19" s="3"/>
    </row>
    <row r="20" spans="1:10">
      <c r="A20" s="3"/>
      <c r="B20" s="3"/>
      <c r="C20" s="3"/>
      <c r="D20" s="3"/>
      <c r="E20" s="3"/>
      <c r="F20" s="3"/>
      <c r="G20" s="3"/>
      <c r="H20" s="3"/>
      <c r="I20" s="3"/>
      <c r="J20" s="3"/>
    </row>
    <row r="21" spans="1:10">
      <c r="A21" s="3"/>
      <c r="B21" s="3"/>
      <c r="C21" s="3"/>
      <c r="D21" s="3"/>
      <c r="E21" s="3"/>
      <c r="F21" s="3"/>
      <c r="G21" s="3"/>
      <c r="H21" s="3"/>
      <c r="I21" s="3"/>
      <c r="J21" s="3"/>
    </row>
    <row r="22" spans="1:10">
      <c r="A22" s="3"/>
      <c r="B22" s="3"/>
      <c r="C22" s="212"/>
      <c r="D22" s="3"/>
      <c r="E22" s="3"/>
      <c r="F22" s="3"/>
      <c r="G22" s="3"/>
      <c r="H22" s="3"/>
      <c r="I22" s="3"/>
      <c r="J22" s="3"/>
    </row>
    <row r="23" spans="1:10">
      <c r="A23" s="3"/>
      <c r="B23" s="3"/>
      <c r="C23" s="3"/>
      <c r="D23" s="3"/>
      <c r="E23" s="3"/>
      <c r="F23" s="3"/>
      <c r="G23" s="3"/>
      <c r="H23" s="3"/>
      <c r="I23" s="3"/>
      <c r="J23" s="3"/>
    </row>
    <row r="24" spans="1:10">
      <c r="A24" s="3"/>
      <c r="B24" s="3"/>
      <c r="C24" s="3"/>
      <c r="D24" s="3"/>
      <c r="E24" s="3"/>
      <c r="F24" s="3"/>
      <c r="G24" s="3"/>
      <c r="H24" s="3"/>
      <c r="I24" s="3"/>
      <c r="J24" s="3"/>
    </row>
    <row r="25" spans="1:10">
      <c r="A25" s="3"/>
      <c r="B25" s="3"/>
      <c r="C25" s="3"/>
      <c r="D25" s="3"/>
      <c r="E25" s="3"/>
      <c r="F25" s="3"/>
      <c r="G25" s="3"/>
      <c r="H25" s="3"/>
      <c r="I25" s="3"/>
      <c r="J25" s="3"/>
    </row>
    <row r="26" spans="1:10">
      <c r="A26" s="3"/>
      <c r="B26" s="3"/>
      <c r="C26" s="3"/>
      <c r="D26" s="3"/>
      <c r="E26" s="3"/>
      <c r="F26" s="3"/>
      <c r="G26" s="3"/>
      <c r="H26" s="3"/>
      <c r="I26" s="3"/>
      <c r="J26" s="3"/>
    </row>
    <row r="27" spans="1:10">
      <c r="A27" s="3"/>
      <c r="B27" s="3"/>
      <c r="C27" s="3"/>
      <c r="D27" s="3"/>
      <c r="E27" s="3"/>
      <c r="F27" s="3"/>
      <c r="G27" s="3"/>
      <c r="H27" s="3"/>
      <c r="I27" s="3"/>
      <c r="J27" s="3"/>
    </row>
    <row r="28" spans="1:10">
      <c r="A28" s="3"/>
      <c r="B28" s="3"/>
      <c r="C28" s="3"/>
      <c r="D28" s="3"/>
      <c r="E28" s="3"/>
      <c r="F28" s="3"/>
      <c r="G28" s="3"/>
      <c r="H28" s="3"/>
      <c r="I28" s="3"/>
      <c r="J28" s="3"/>
    </row>
    <row r="29" spans="1:10">
      <c r="A29" s="3"/>
      <c r="B29" s="3"/>
      <c r="C29" s="3"/>
      <c r="D29" s="3"/>
      <c r="E29" s="3"/>
      <c r="F29" s="3"/>
      <c r="G29" s="3"/>
      <c r="H29" s="3"/>
      <c r="I29" s="3"/>
      <c r="J29" s="3"/>
    </row>
    <row r="30" spans="1:10">
      <c r="A30" s="3"/>
      <c r="B30" s="3"/>
      <c r="C30" s="3"/>
      <c r="D30" s="3"/>
      <c r="E30" s="3"/>
      <c r="F30" s="3"/>
      <c r="G30" s="3"/>
      <c r="H30" s="3"/>
      <c r="I30" s="3"/>
      <c r="J30" s="3"/>
    </row>
    <row r="31" spans="1:10">
      <c r="A31" s="3"/>
      <c r="B31" s="3"/>
      <c r="C31" s="3"/>
      <c r="D31" s="3"/>
      <c r="E31" s="3"/>
      <c r="F31" s="3"/>
      <c r="G31" s="3"/>
      <c r="H31" s="3"/>
      <c r="I31" s="3"/>
      <c r="J31" s="3"/>
    </row>
    <row r="32" spans="1:10">
      <c r="A32" s="3"/>
      <c r="B32" s="3"/>
      <c r="C32" s="3"/>
      <c r="D32" s="3"/>
      <c r="E32" s="3"/>
      <c r="F32" s="3"/>
      <c r="G32" s="3"/>
      <c r="H32" s="3"/>
      <c r="I32" s="3"/>
      <c r="J32" s="3"/>
    </row>
    <row r="33" spans="1:10">
      <c r="A33" s="3"/>
      <c r="B33" s="3"/>
      <c r="C33" s="3"/>
      <c r="D33" s="3"/>
      <c r="E33" s="3"/>
      <c r="F33" s="3"/>
      <c r="G33" s="3"/>
      <c r="H33" s="3"/>
      <c r="I33" s="3"/>
      <c r="J33" s="3"/>
    </row>
    <row r="34" spans="1:10">
      <c r="A34" s="2"/>
      <c r="B34" s="2"/>
      <c r="C34" s="2"/>
      <c r="D34" s="2"/>
      <c r="E34" s="2"/>
      <c r="F34" s="2"/>
      <c r="G34" s="2"/>
      <c r="H34" s="2"/>
      <c r="I34" s="2"/>
      <c r="J34" s="2"/>
    </row>
    <row r="35" spans="1:10">
      <c r="A35" s="2"/>
      <c r="B35" s="2"/>
      <c r="C35" s="2"/>
      <c r="D35" s="2"/>
      <c r="E35" s="2"/>
      <c r="F35" s="2"/>
      <c r="G35" s="2"/>
      <c r="H35" s="2"/>
      <c r="I35" s="2"/>
      <c r="J35" s="2"/>
    </row>
    <row r="36" spans="1:10">
      <c r="A36" s="2"/>
      <c r="B36" s="2"/>
      <c r="C36" s="2"/>
      <c r="D36" s="2"/>
      <c r="E36" s="2"/>
      <c r="F36" s="2"/>
      <c r="G36" s="2"/>
      <c r="H36" s="2"/>
      <c r="I36" s="2"/>
      <c r="J36" s="2"/>
    </row>
    <row r="37" spans="1:10">
      <c r="A37" s="2"/>
      <c r="B37" s="2"/>
      <c r="C37" s="2"/>
      <c r="D37" s="2"/>
      <c r="E37" s="2"/>
      <c r="F37" s="2"/>
      <c r="G37" s="2"/>
      <c r="H37" s="2"/>
      <c r="I37" s="2"/>
      <c r="J37" s="2"/>
    </row>
  </sheetData>
  <mergeCells count="1">
    <mergeCell ref="A2:C3"/>
  </mergeCells>
  <printOptions horizontalCentered="1"/>
  <pageMargins left="0.405092592592593" right="0.47453703703703698" top="0.55118110236220497" bottom="0.94488188976377996" header="0.31496062992126" footer="0.31496062992126"/>
  <pageSetup scale="93" orientation="portrait" r:id="rId1"/>
  <headerFooter scaleWithDoc="0">
    <oddHeader>&amp;C&amp;G</oddHeader>
    <oddFooter>&amp;C&amp;G&amp;R&amp;P</oddFooter>
  </headerFooter>
  <drawing r:id="rId2"/>
  <legacyDrawingHF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1"/>
  </sheetPr>
  <dimension ref="A1:J67"/>
  <sheetViews>
    <sheetView topLeftCell="A7" workbookViewId="0">
      <selection activeCell="C50" sqref="C50"/>
    </sheetView>
  </sheetViews>
  <sheetFormatPr baseColWidth="10" defaultColWidth="8.83203125" defaultRowHeight="15"/>
  <sheetData>
    <row r="1" spans="1:10">
      <c r="A1" t="str">
        <f>GroupName</f>
        <v>Group Name</v>
      </c>
    </row>
    <row r="3" spans="1:10" ht="23">
      <c r="A3" s="1235" t="s">
        <v>709</v>
      </c>
      <c r="B3" s="1236"/>
      <c r="C3" s="1236"/>
      <c r="D3" s="1236"/>
      <c r="E3" s="1236"/>
      <c r="F3" s="1236"/>
      <c r="G3" s="1236"/>
      <c r="H3" s="1236"/>
      <c r="I3" s="1236"/>
      <c r="J3" s="1237"/>
    </row>
    <row r="5" spans="1:10">
      <c r="A5" s="1238" t="s">
        <v>710</v>
      </c>
      <c r="B5" s="1238"/>
      <c r="C5" s="1238"/>
      <c r="D5" s="1238"/>
      <c r="E5" s="1238"/>
      <c r="F5" s="1238"/>
      <c r="G5" s="1238"/>
      <c r="H5" s="1238"/>
      <c r="I5" s="1238"/>
      <c r="J5" s="1238"/>
    </row>
    <row r="8" spans="1:10" ht="23">
      <c r="A8" s="1235" t="s">
        <v>27</v>
      </c>
      <c r="B8" s="1236"/>
      <c r="C8" s="1236"/>
      <c r="D8" s="1236"/>
      <c r="E8" s="1236"/>
      <c r="F8" s="1236"/>
      <c r="G8" s="1236"/>
      <c r="H8" s="1236"/>
      <c r="I8" s="1236"/>
      <c r="J8" s="1237"/>
    </row>
    <row r="9" spans="1:10">
      <c r="A9" s="328"/>
      <c r="B9" s="328"/>
      <c r="C9" s="328"/>
      <c r="D9" s="328"/>
      <c r="E9" s="328"/>
      <c r="F9" s="328"/>
      <c r="G9" s="328"/>
      <c r="H9" s="328"/>
      <c r="I9" s="328"/>
      <c r="J9" s="328"/>
    </row>
    <row r="10" spans="1:10">
      <c r="A10" s="1239" t="s">
        <v>6</v>
      </c>
      <c r="B10" s="1240"/>
      <c r="C10" s="1240"/>
      <c r="D10" s="1241"/>
      <c r="E10" s="1239" t="s">
        <v>711</v>
      </c>
      <c r="F10" s="1240"/>
      <c r="G10" s="1241"/>
      <c r="H10" s="1239" t="s">
        <v>712</v>
      </c>
      <c r="I10" s="1240"/>
      <c r="J10" s="1241"/>
    </row>
    <row r="11" spans="1:10" hidden="1">
      <c r="A11" s="1242" t="str">
        <f>('Rate History '!$A$6) &amp; " " &amp; ('Rate History '!B6)</f>
        <v>Life Class A</v>
      </c>
      <c r="B11" s="1243"/>
      <c r="C11" s="1243"/>
      <c r="D11" s="1244"/>
      <c r="E11" s="1245">
        <f>'Rate History '!G6</f>
        <v>0</v>
      </c>
      <c r="F11" s="1246"/>
      <c r="G11" s="1247"/>
      <c r="H11" s="1248">
        <f>'Rate History '!H6</f>
        <v>0</v>
      </c>
      <c r="I11" s="1249"/>
      <c r="J11" s="1250"/>
    </row>
    <row r="12" spans="1:10" s="364" customFormat="1" hidden="1">
      <c r="A12" s="1242" t="str">
        <f>('Rate History '!$A$6) &amp; " " &amp; ('Rate History '!B7)</f>
        <v>Life Class B</v>
      </c>
      <c r="B12" s="1243"/>
      <c r="C12" s="1243"/>
      <c r="D12" s="1244"/>
      <c r="E12" s="1245">
        <f>'Rate History '!G7</f>
        <v>0</v>
      </c>
      <c r="F12" s="1246"/>
      <c r="G12" s="1247"/>
      <c r="H12" s="1248">
        <f>'Rate History '!H7</f>
        <v>0</v>
      </c>
      <c r="I12" s="1249"/>
      <c r="J12" s="1250"/>
    </row>
    <row r="13" spans="1:10" s="364" customFormat="1" hidden="1">
      <c r="A13" s="1242" t="str">
        <f>('Rate History '!$A$6) &amp; " " &amp; ('Rate History '!B8)</f>
        <v>Life Class C</v>
      </c>
      <c r="B13" s="1243"/>
      <c r="C13" s="1243"/>
      <c r="D13" s="1244"/>
      <c r="E13" s="1245">
        <f>'Rate History '!G8</f>
        <v>0</v>
      </c>
      <c r="F13" s="1246"/>
      <c r="G13" s="1247"/>
      <c r="H13" s="1248">
        <f>'Rate History '!H8</f>
        <v>0</v>
      </c>
      <c r="I13" s="1249"/>
      <c r="J13" s="1250"/>
    </row>
    <row r="14" spans="1:10" s="364" customFormat="1" hidden="1">
      <c r="A14" s="1242" t="str">
        <f>('Rate History '!$A$6) &amp; " " &amp; ('Rate History '!B9)</f>
        <v>Life Class D</v>
      </c>
      <c r="B14" s="1243"/>
      <c r="C14" s="1243"/>
      <c r="D14" s="1244"/>
      <c r="E14" s="1245">
        <f>'Rate History '!G9</f>
        <v>0</v>
      </c>
      <c r="F14" s="1246"/>
      <c r="G14" s="1247"/>
      <c r="H14" s="1248">
        <f>'Rate History '!H9</f>
        <v>0</v>
      </c>
      <c r="I14" s="1249"/>
      <c r="J14" s="1250"/>
    </row>
    <row r="15" spans="1:10" s="364" customFormat="1">
      <c r="A15" s="1242" t="str">
        <f>('Rate History '!$A$6) &amp; " " &amp; ('Rate History '!B10)</f>
        <v>Life All Employees</v>
      </c>
      <c r="B15" s="1243"/>
      <c r="C15" s="1243"/>
      <c r="D15" s="1244"/>
      <c r="E15" s="1245">
        <f>'Rate History '!G10</f>
        <v>0</v>
      </c>
      <c r="F15" s="1246"/>
      <c r="G15" s="1247"/>
      <c r="H15" s="1248">
        <f>'Rate History '!H10</f>
        <v>0</v>
      </c>
      <c r="I15" s="1249"/>
      <c r="J15" s="1250"/>
    </row>
    <row r="16" spans="1:10" s="364" customFormat="1" hidden="1">
      <c r="A16" s="1242" t="str">
        <f>('Rate History '!$A$11) &amp; " " &amp; ('Rate History '!B11)</f>
        <v>AD&amp;D Class A</v>
      </c>
      <c r="B16" s="1243"/>
      <c r="C16" s="1243"/>
      <c r="D16" s="1244"/>
      <c r="E16" s="1245">
        <f>'Rate History '!G11</f>
        <v>0</v>
      </c>
      <c r="F16" s="1246"/>
      <c r="G16" s="1247"/>
      <c r="H16" s="1248">
        <f>'Rate History '!H11</f>
        <v>0</v>
      </c>
      <c r="I16" s="1249"/>
      <c r="J16" s="1250"/>
    </row>
    <row r="17" spans="1:10" s="364" customFormat="1" hidden="1">
      <c r="A17" s="1242" t="str">
        <f>('Rate History '!$A$11) &amp; " " &amp; ('Rate History '!B12)</f>
        <v>AD&amp;D Class B</v>
      </c>
      <c r="B17" s="1243"/>
      <c r="C17" s="1243"/>
      <c r="D17" s="1244"/>
      <c r="E17" s="1245">
        <f>'Rate History '!G12</f>
        <v>0</v>
      </c>
      <c r="F17" s="1246"/>
      <c r="G17" s="1247"/>
      <c r="H17" s="1248">
        <f>'Rate History '!H12</f>
        <v>0</v>
      </c>
      <c r="I17" s="1249"/>
      <c r="J17" s="1250"/>
    </row>
    <row r="18" spans="1:10" s="364" customFormat="1" hidden="1">
      <c r="A18" s="1242" t="str">
        <f>('Rate History '!$A$11) &amp; " " &amp; ('Rate History '!B13)</f>
        <v>AD&amp;D Class C</v>
      </c>
      <c r="B18" s="1243"/>
      <c r="C18" s="1243"/>
      <c r="D18" s="1244"/>
      <c r="E18" s="1245">
        <f>'Rate History '!G13</f>
        <v>0</v>
      </c>
      <c r="F18" s="1246"/>
      <c r="G18" s="1247"/>
      <c r="H18" s="1248">
        <f>'Rate History '!H13</f>
        <v>0</v>
      </c>
      <c r="I18" s="1249"/>
      <c r="J18" s="1250"/>
    </row>
    <row r="19" spans="1:10" s="364" customFormat="1" hidden="1">
      <c r="A19" s="1242" t="str">
        <f>('Rate History '!$A$11) &amp; " " &amp; ('Rate History '!B14)</f>
        <v>AD&amp;D Class D</v>
      </c>
      <c r="B19" s="1243"/>
      <c r="C19" s="1243"/>
      <c r="D19" s="1244"/>
      <c r="E19" s="1245">
        <f>'Rate History '!G14</f>
        <v>0</v>
      </c>
      <c r="F19" s="1246"/>
      <c r="G19" s="1247"/>
      <c r="H19" s="1248">
        <f>'Rate History '!H14</f>
        <v>0</v>
      </c>
      <c r="I19" s="1249"/>
      <c r="J19" s="1250"/>
    </row>
    <row r="20" spans="1:10" s="364" customFormat="1">
      <c r="A20" s="1242" t="str">
        <f>('Rate History '!$A$11) &amp; " " &amp; ('Rate History '!B15)</f>
        <v>AD&amp;D All Employees</v>
      </c>
      <c r="B20" s="1243"/>
      <c r="C20" s="1243"/>
      <c r="D20" s="1244"/>
      <c r="E20" s="1245">
        <f>'Rate History '!G15</f>
        <v>0</v>
      </c>
      <c r="F20" s="1246"/>
      <c r="G20" s="1247"/>
      <c r="H20" s="1248">
        <f>'Rate History '!H15</f>
        <v>0</v>
      </c>
      <c r="I20" s="1249"/>
      <c r="J20" s="1250"/>
    </row>
    <row r="21" spans="1:10" s="364" customFormat="1" hidden="1">
      <c r="A21" s="1242" t="str">
        <f>('Rate History '!$A$16) &amp; " " &amp; ('Rate History '!B16)</f>
        <v>Dependent Life Class A</v>
      </c>
      <c r="B21" s="1243"/>
      <c r="C21" s="1243"/>
      <c r="D21" s="1244"/>
      <c r="E21" s="1245">
        <f>'Rate History '!G16</f>
        <v>0</v>
      </c>
      <c r="F21" s="1246"/>
      <c r="G21" s="1247"/>
      <c r="H21" s="1248">
        <f>'Rate History '!H16</f>
        <v>0</v>
      </c>
      <c r="I21" s="1249"/>
      <c r="J21" s="1250"/>
    </row>
    <row r="22" spans="1:10" s="364" customFormat="1" hidden="1">
      <c r="A22" s="1242" t="str">
        <f>('Rate History '!$A$16) &amp; " " &amp; ('Rate History '!B17)</f>
        <v>Dependent Life Class B</v>
      </c>
      <c r="B22" s="1243"/>
      <c r="C22" s="1243"/>
      <c r="D22" s="1244"/>
      <c r="E22" s="1245">
        <f>'Rate History '!G17</f>
        <v>0</v>
      </c>
      <c r="F22" s="1246"/>
      <c r="G22" s="1247"/>
      <c r="H22" s="1248">
        <f>'Rate History '!H17</f>
        <v>0</v>
      </c>
      <c r="I22" s="1249"/>
      <c r="J22" s="1250"/>
    </row>
    <row r="23" spans="1:10" s="364" customFormat="1" hidden="1">
      <c r="A23" s="1242" t="str">
        <f>('Rate History '!$A$16) &amp; " " &amp; ('Rate History '!B18)</f>
        <v>Dependent Life Class C</v>
      </c>
      <c r="B23" s="1243"/>
      <c r="C23" s="1243"/>
      <c r="D23" s="1244"/>
      <c r="E23" s="1245">
        <f>'Rate History '!G18</f>
        <v>0</v>
      </c>
      <c r="F23" s="1246"/>
      <c r="G23" s="1247"/>
      <c r="H23" s="1248">
        <f>'Rate History '!H18</f>
        <v>0</v>
      </c>
      <c r="I23" s="1249"/>
      <c r="J23" s="1250"/>
    </row>
    <row r="24" spans="1:10" s="364" customFormat="1" hidden="1">
      <c r="A24" s="1242" t="str">
        <f>('Rate History '!$A$16) &amp; " " &amp; ('Rate History '!B19)</f>
        <v>Dependent Life Class D</v>
      </c>
      <c r="B24" s="1243"/>
      <c r="C24" s="1243"/>
      <c r="D24" s="1244"/>
      <c r="E24" s="1245">
        <f>'Rate History '!G19</f>
        <v>0</v>
      </c>
      <c r="F24" s="1246"/>
      <c r="G24" s="1247"/>
      <c r="H24" s="1248">
        <f>'Rate History '!H19</f>
        <v>0</v>
      </c>
      <c r="I24" s="1249"/>
      <c r="J24" s="1250"/>
    </row>
    <row r="25" spans="1:10" s="364" customFormat="1">
      <c r="A25" s="1242" t="str">
        <f>('Rate History '!$A$16) &amp; " " &amp; ('Rate History '!B20)</f>
        <v>Dependent Life All Employees</v>
      </c>
      <c r="B25" s="1243"/>
      <c r="C25" s="1243"/>
      <c r="D25" s="1244"/>
      <c r="E25" s="1245">
        <f>'Rate History '!G20</f>
        <v>0</v>
      </c>
      <c r="F25" s="1246"/>
      <c r="G25" s="1247"/>
      <c r="H25" s="1248">
        <f>'Rate History '!H20</f>
        <v>0</v>
      </c>
      <c r="I25" s="1249"/>
      <c r="J25" s="1250"/>
    </row>
    <row r="26" spans="1:10" hidden="1">
      <c r="A26" s="1242" t="str">
        <f>('Rate History '!$A$21) &amp; " " &amp; ('Rate History '!B21)</f>
        <v>LTD Class A</v>
      </c>
      <c r="B26" s="1243"/>
      <c r="C26" s="1243"/>
      <c r="D26" s="1244"/>
      <c r="E26" s="1245">
        <f>'Rate History '!G21</f>
        <v>0</v>
      </c>
      <c r="F26" s="1246"/>
      <c r="G26" s="1247"/>
      <c r="H26" s="1248">
        <f>'Rate History '!H21</f>
        <v>0</v>
      </c>
      <c r="I26" s="1249"/>
      <c r="J26" s="1250"/>
    </row>
    <row r="27" spans="1:10" hidden="1">
      <c r="A27" s="1242" t="str">
        <f>('Rate History '!$A$21) &amp; " " &amp; ('Rate History '!B22)</f>
        <v>LTD Class B</v>
      </c>
      <c r="B27" s="1243"/>
      <c r="C27" s="1243"/>
      <c r="D27" s="1244"/>
      <c r="E27" s="1245">
        <f>'Rate History '!G22</f>
        <v>0</v>
      </c>
      <c r="F27" s="1246"/>
      <c r="G27" s="1247"/>
      <c r="H27" s="1248">
        <f>'Rate History '!H22</f>
        <v>0</v>
      </c>
      <c r="I27" s="1249"/>
      <c r="J27" s="1250"/>
    </row>
    <row r="28" spans="1:10" s="364" customFormat="1" hidden="1">
      <c r="A28" s="1242" t="str">
        <f>('Rate History '!$A$21) &amp; " " &amp; ('Rate History '!B23)</f>
        <v>LTD Class C</v>
      </c>
      <c r="B28" s="1243"/>
      <c r="C28" s="1243"/>
      <c r="D28" s="1244"/>
      <c r="E28" s="1245">
        <f>'Rate History '!G23</f>
        <v>0</v>
      </c>
      <c r="F28" s="1246"/>
      <c r="G28" s="1247"/>
      <c r="H28" s="1248">
        <f>'Rate History '!H23</f>
        <v>0</v>
      </c>
      <c r="I28" s="1249"/>
      <c r="J28" s="1250"/>
    </row>
    <row r="29" spans="1:10" s="364" customFormat="1" hidden="1">
      <c r="A29" s="1242" t="str">
        <f>('Rate History '!$A$21) &amp; " " &amp; ('Rate History '!B24)</f>
        <v>LTD Class D</v>
      </c>
      <c r="B29" s="1243"/>
      <c r="C29" s="1243"/>
      <c r="D29" s="1244"/>
      <c r="E29" s="1245">
        <f>'Rate History '!G24</f>
        <v>0</v>
      </c>
      <c r="F29" s="1246"/>
      <c r="G29" s="1247"/>
      <c r="H29" s="1248">
        <f>'Rate History '!H24</f>
        <v>0</v>
      </c>
      <c r="I29" s="1249"/>
      <c r="J29" s="1250"/>
    </row>
    <row r="30" spans="1:10" s="364" customFormat="1">
      <c r="A30" s="1242" t="str">
        <f>('Rate History '!$A$21) &amp; " " &amp; ('Rate History '!B25)</f>
        <v>LTD All Employees</v>
      </c>
      <c r="B30" s="1243"/>
      <c r="C30" s="1243"/>
      <c r="D30" s="1244"/>
      <c r="E30" s="1245">
        <f>'Rate History '!G25</f>
        <v>0</v>
      </c>
      <c r="F30" s="1246"/>
      <c r="G30" s="1247"/>
      <c r="H30" s="1248">
        <f>'Rate History '!H25</f>
        <v>0</v>
      </c>
      <c r="I30" s="1249"/>
      <c r="J30" s="1250"/>
    </row>
    <row r="31" spans="1:10" s="364" customFormat="1" hidden="1">
      <c r="A31" s="1242" t="str">
        <f>('Rate History '!$A$26) &amp; " " &amp; ('Rate History '!B26)</f>
        <v>Critical Illness Class A</v>
      </c>
      <c r="B31" s="1243"/>
      <c r="C31" s="1243"/>
      <c r="D31" s="1244"/>
      <c r="E31" s="1245">
        <f>'Rate History '!G26</f>
        <v>0</v>
      </c>
      <c r="F31" s="1246"/>
      <c r="G31" s="1247"/>
      <c r="H31" s="1248">
        <f>'Rate History '!H26</f>
        <v>0</v>
      </c>
      <c r="I31" s="1249"/>
      <c r="J31" s="1250"/>
    </row>
    <row r="32" spans="1:10" s="364" customFormat="1" hidden="1">
      <c r="A32" s="1242" t="str">
        <f>('Rate History '!$A$26) &amp; " " &amp; ('Rate History '!B27)</f>
        <v>Critical Illness Class B</v>
      </c>
      <c r="B32" s="1243"/>
      <c r="C32" s="1243"/>
      <c r="D32" s="1244"/>
      <c r="E32" s="1245">
        <f>'Rate History '!G27</f>
        <v>0</v>
      </c>
      <c r="F32" s="1246"/>
      <c r="G32" s="1247"/>
      <c r="H32" s="1248">
        <f>'Rate History '!H27</f>
        <v>0</v>
      </c>
      <c r="I32" s="1249"/>
      <c r="J32" s="1250"/>
    </row>
    <row r="33" spans="1:10" s="364" customFormat="1" hidden="1">
      <c r="A33" s="1242" t="str">
        <f>('Rate History '!$A$26) &amp; " " &amp; ('Rate History '!B28)</f>
        <v>Critical Illness Class C</v>
      </c>
      <c r="B33" s="1243"/>
      <c r="C33" s="1243"/>
      <c r="D33" s="1244"/>
      <c r="E33" s="1245">
        <f>'Rate History '!G28</f>
        <v>0</v>
      </c>
      <c r="F33" s="1246"/>
      <c r="G33" s="1247"/>
      <c r="H33" s="1248">
        <f>'Rate History '!H28</f>
        <v>0</v>
      </c>
      <c r="I33" s="1249"/>
      <c r="J33" s="1250"/>
    </row>
    <row r="34" spans="1:10" s="364" customFormat="1" hidden="1">
      <c r="A34" s="1242" t="str">
        <f>('Rate History '!$A$26) &amp; " " &amp; ('Rate History '!B29)</f>
        <v>Critical Illness Class D</v>
      </c>
      <c r="B34" s="1243"/>
      <c r="C34" s="1243"/>
      <c r="D34" s="1244"/>
      <c r="E34" s="1245">
        <f>'Rate History '!G29</f>
        <v>0</v>
      </c>
      <c r="F34" s="1246"/>
      <c r="G34" s="1247"/>
      <c r="H34" s="1248">
        <f>'Rate History '!H29</f>
        <v>0</v>
      </c>
      <c r="I34" s="1249"/>
      <c r="J34" s="1250"/>
    </row>
    <row r="35" spans="1:10" s="364" customFormat="1">
      <c r="A35" s="1242" t="str">
        <f>('Rate History '!$A$26) &amp; " " &amp; ('Rate History '!B30)</f>
        <v>Critical Illness All Employees</v>
      </c>
      <c r="B35" s="1243"/>
      <c r="C35" s="1243"/>
      <c r="D35" s="1244"/>
      <c r="E35" s="1245">
        <f>'Rate History '!G30</f>
        <v>0</v>
      </c>
      <c r="F35" s="1246"/>
      <c r="G35" s="1247"/>
      <c r="H35" s="1248">
        <f>'Rate History '!H30</f>
        <v>0</v>
      </c>
      <c r="I35" s="1249"/>
      <c r="J35" s="1250"/>
    </row>
    <row r="36" spans="1:10" s="364" customFormat="1" hidden="1">
      <c r="A36" s="1242" t="str">
        <f>('Rate History '!$A$31) &amp; " " &amp; ('Rate History '!B31)</f>
        <v>STD Class A</v>
      </c>
      <c r="B36" s="1243"/>
      <c r="C36" s="1243"/>
      <c r="D36" s="1244"/>
      <c r="E36" s="1245">
        <f>'Rate History '!G31</f>
        <v>0</v>
      </c>
      <c r="F36" s="1246"/>
      <c r="G36" s="1247"/>
      <c r="H36" s="1248">
        <f>'Rate History '!H31</f>
        <v>0</v>
      </c>
      <c r="I36" s="1249"/>
      <c r="J36" s="1250"/>
    </row>
    <row r="37" spans="1:10" s="364" customFormat="1" hidden="1">
      <c r="A37" s="1242" t="str">
        <f>('Rate History '!$A$31) &amp; " " &amp; ('Rate History '!B32)</f>
        <v>STD Class B</v>
      </c>
      <c r="B37" s="1243"/>
      <c r="C37" s="1243"/>
      <c r="D37" s="1244"/>
      <c r="E37" s="1245">
        <f>'Rate History '!G32</f>
        <v>0</v>
      </c>
      <c r="F37" s="1246"/>
      <c r="G37" s="1247"/>
      <c r="H37" s="1248">
        <f>'Rate History '!H32</f>
        <v>0</v>
      </c>
      <c r="I37" s="1249"/>
      <c r="J37" s="1250"/>
    </row>
    <row r="38" spans="1:10" s="364" customFormat="1" hidden="1">
      <c r="A38" s="1242" t="str">
        <f>('Rate History '!$A$31) &amp; " " &amp; ('Rate History '!B33)</f>
        <v>STD Class C</v>
      </c>
      <c r="B38" s="1243"/>
      <c r="C38" s="1243"/>
      <c r="D38" s="1244"/>
      <c r="E38" s="1245">
        <f>'Rate History '!G33</f>
        <v>0</v>
      </c>
      <c r="F38" s="1246"/>
      <c r="G38" s="1247"/>
      <c r="H38" s="1248">
        <f>'Rate History '!H33</f>
        <v>0</v>
      </c>
      <c r="I38" s="1249"/>
      <c r="J38" s="1250"/>
    </row>
    <row r="39" spans="1:10" s="364" customFormat="1" hidden="1">
      <c r="A39" s="1242" t="str">
        <f>('Rate History '!$A$31) &amp; " " &amp; ('Rate History '!B34)</f>
        <v>STD Class D</v>
      </c>
      <c r="B39" s="1243"/>
      <c r="C39" s="1243"/>
      <c r="D39" s="1244"/>
      <c r="E39" s="1245">
        <f>'Rate History '!G34</f>
        <v>0</v>
      </c>
      <c r="F39" s="1246"/>
      <c r="G39" s="1247"/>
      <c r="H39" s="1248">
        <f>'Rate History '!H34</f>
        <v>0</v>
      </c>
      <c r="I39" s="1249"/>
      <c r="J39" s="1250"/>
    </row>
    <row r="40" spans="1:10" s="364" customFormat="1">
      <c r="A40" s="1279" t="str">
        <f>('Rate History '!$A$31) &amp; " " &amp; ('Rate History '!B35)</f>
        <v>STD All Employees</v>
      </c>
      <c r="B40" s="1280"/>
      <c r="C40" s="1280"/>
      <c r="D40" s="1281"/>
      <c r="E40" s="1282">
        <f>'Rate History '!G35</f>
        <v>0</v>
      </c>
      <c r="F40" s="1283"/>
      <c r="G40" s="1284"/>
      <c r="H40" s="1285">
        <f>'Rate History '!H35</f>
        <v>0</v>
      </c>
      <c r="I40" s="1286"/>
      <c r="J40" s="1287"/>
    </row>
    <row r="41" spans="1:10" hidden="1">
      <c r="A41" s="1263"/>
      <c r="B41" s="1264"/>
      <c r="C41" s="1264"/>
      <c r="D41" s="1265"/>
      <c r="E41" s="1266"/>
      <c r="F41" s="1267"/>
      <c r="G41" s="1268"/>
      <c r="H41" s="1269"/>
      <c r="I41" s="1270"/>
      <c r="J41" s="1271"/>
    </row>
    <row r="43" spans="1:10" s="364" customFormat="1">
      <c r="A43" s="364" t="str">
        <f>'Rate History '!B48</f>
        <v>All Employees</v>
      </c>
    </row>
    <row r="44" spans="1:10" ht="30">
      <c r="A44" s="329" t="s">
        <v>102</v>
      </c>
      <c r="B44" s="1251" t="s">
        <v>209</v>
      </c>
      <c r="C44" s="1252"/>
      <c r="D44" s="1253"/>
      <c r="E44" s="330" t="s">
        <v>713</v>
      </c>
      <c r="F44" s="330" t="s">
        <v>714</v>
      </c>
      <c r="G44" s="331"/>
      <c r="H44" s="330" t="s">
        <v>715</v>
      </c>
      <c r="I44" s="330" t="s">
        <v>716</v>
      </c>
      <c r="J44" s="329"/>
    </row>
    <row r="45" spans="1:10">
      <c r="A45" s="332"/>
      <c r="B45" s="1254" t="str">
        <f>'Rate History '!$H$5</f>
        <v>Month 1, Year</v>
      </c>
      <c r="C45" s="1255"/>
      <c r="D45" s="1256"/>
      <c r="E45" s="333">
        <f>'Rate History '!H49</f>
        <v>0</v>
      </c>
      <c r="F45" s="333">
        <f>'Rate History '!H50</f>
        <v>0</v>
      </c>
      <c r="G45" s="334"/>
      <c r="H45" s="333"/>
      <c r="I45" s="333"/>
      <c r="J45" s="335"/>
    </row>
    <row r="46" spans="1:10">
      <c r="A46" s="336"/>
      <c r="B46" s="1257" t="e">
        <f>'Rate History '!$G$5</f>
        <v>#VALUE!</v>
      </c>
      <c r="C46" s="1258"/>
      <c r="D46" s="1259"/>
      <c r="E46" s="337"/>
      <c r="F46" s="337"/>
      <c r="G46" s="338"/>
      <c r="H46" s="337"/>
      <c r="I46" s="337"/>
      <c r="J46" s="339"/>
    </row>
    <row r="47" spans="1:10">
      <c r="A47" s="336"/>
      <c r="B47" s="1257" t="e">
        <f>'Rate History '!$F$5</f>
        <v>#VALUE!</v>
      </c>
      <c r="C47" s="1258"/>
      <c r="D47" s="1259"/>
      <c r="E47" s="336"/>
      <c r="F47" s="336"/>
      <c r="G47" s="340"/>
      <c r="H47" s="336"/>
      <c r="I47" s="336"/>
      <c r="J47" s="339"/>
    </row>
    <row r="48" spans="1:10">
      <c r="A48" s="341"/>
      <c r="B48" s="1260" t="e">
        <f>'Rate History '!$E$5</f>
        <v>#VALUE!</v>
      </c>
      <c r="C48" s="1261"/>
      <c r="D48" s="1262"/>
      <c r="E48" s="341"/>
      <c r="F48" s="341"/>
      <c r="G48" s="342"/>
      <c r="H48" s="343"/>
      <c r="I48" s="341"/>
      <c r="J48" s="344"/>
    </row>
    <row r="51" spans="1:10" ht="23">
      <c r="A51" s="1235" t="s">
        <v>717</v>
      </c>
      <c r="B51" s="1236"/>
      <c r="C51" s="1236"/>
      <c r="D51" s="1236"/>
      <c r="E51" s="1236"/>
      <c r="F51" s="1236"/>
      <c r="G51" s="1236"/>
      <c r="H51" s="1236"/>
      <c r="I51" s="1236"/>
      <c r="J51" s="1237"/>
    </row>
    <row r="52" spans="1:10">
      <c r="A52" s="346"/>
      <c r="B52" s="346"/>
      <c r="C52" s="346"/>
      <c r="D52" s="346"/>
      <c r="E52" s="346"/>
      <c r="F52" s="346"/>
      <c r="G52" s="346"/>
      <c r="H52" s="346"/>
      <c r="I52" s="346"/>
      <c r="J52" s="346"/>
    </row>
    <row r="53" spans="1:10" ht="32">
      <c r="A53" s="347" t="s">
        <v>102</v>
      </c>
      <c r="B53" s="1251" t="s">
        <v>718</v>
      </c>
      <c r="C53" s="1252"/>
      <c r="D53" s="1253"/>
      <c r="E53" s="348" t="s">
        <v>719</v>
      </c>
      <c r="F53" s="348" t="s">
        <v>720</v>
      </c>
      <c r="G53" s="349" t="s">
        <v>721</v>
      </c>
      <c r="H53" s="348" t="s">
        <v>722</v>
      </c>
      <c r="I53" s="348" t="s">
        <v>723</v>
      </c>
      <c r="J53" s="348" t="s">
        <v>721</v>
      </c>
    </row>
    <row r="54" spans="1:10">
      <c r="A54" s="350"/>
      <c r="B54" s="1276"/>
      <c r="C54" s="1255"/>
      <c r="D54" s="1256"/>
      <c r="E54" s="351"/>
      <c r="F54" s="352"/>
      <c r="G54" s="353" t="e">
        <v>#DIV/0!</v>
      </c>
      <c r="H54" s="354"/>
      <c r="I54" s="352"/>
      <c r="J54" s="353" t="e">
        <v>#DIV/0!</v>
      </c>
    </row>
    <row r="55" spans="1:10">
      <c r="A55" s="355"/>
      <c r="B55" s="1277"/>
      <c r="C55" s="1258"/>
      <c r="D55" s="1259"/>
      <c r="E55" s="356"/>
      <c r="F55" s="357"/>
      <c r="G55" s="353" t="e">
        <v>#DIV/0!</v>
      </c>
      <c r="H55" s="358"/>
      <c r="I55" s="357"/>
      <c r="J55" s="353" t="e">
        <v>#DIV/0!</v>
      </c>
    </row>
    <row r="56" spans="1:10">
      <c r="A56" s="359"/>
      <c r="B56" s="1278"/>
      <c r="C56" s="1261"/>
      <c r="D56" s="1262"/>
      <c r="E56" s="360"/>
      <c r="F56" s="361"/>
      <c r="G56" s="362" t="e">
        <v>#DIV/0!</v>
      </c>
      <c r="H56" s="363"/>
      <c r="I56" s="361"/>
      <c r="J56" s="362" t="e">
        <v>#DIV/0!</v>
      </c>
    </row>
    <row r="59" spans="1:10">
      <c r="A59" s="1272" t="s">
        <v>727</v>
      </c>
      <c r="B59" s="1272"/>
      <c r="C59" s="1272"/>
      <c r="D59" s="1272"/>
      <c r="E59" s="1272"/>
      <c r="F59" s="1272"/>
      <c r="G59" s="1272"/>
      <c r="H59" s="1272"/>
      <c r="I59" s="1272"/>
      <c r="J59" s="1272"/>
    </row>
    <row r="60" spans="1:10">
      <c r="A60" s="1238" t="s">
        <v>724</v>
      </c>
      <c r="B60" s="1272"/>
      <c r="C60" s="1272"/>
      <c r="D60" s="1272"/>
      <c r="E60" s="1272"/>
      <c r="F60" s="1272"/>
      <c r="G60" s="1272"/>
      <c r="H60" s="1272"/>
      <c r="I60" s="1272"/>
      <c r="J60" s="1272"/>
    </row>
    <row r="61" spans="1:10" s="364" customFormat="1">
      <c r="A61" s="1275" t="str">
        <f>EP_Current</f>
        <v>MMM DD YYY - MMM DD YYYY</v>
      </c>
      <c r="B61" s="1275"/>
      <c r="C61" s="1275"/>
      <c r="D61" s="1275"/>
      <c r="E61" s="366">
        <f>'Stop Loss '!E11</f>
        <v>0</v>
      </c>
      <c r="F61" s="365"/>
      <c r="G61" s="365"/>
      <c r="H61" s="365"/>
      <c r="I61" s="365"/>
      <c r="J61" s="365"/>
    </row>
    <row r="62" spans="1:10" s="364" customFormat="1">
      <c r="A62" s="1275" t="str">
        <f>'General Information - DNP'!B15</f>
        <v>MMM DD YYY - MMM DD YYYY</v>
      </c>
      <c r="B62" s="1275"/>
      <c r="C62" s="1275"/>
      <c r="D62" s="1275"/>
      <c r="E62" s="366">
        <f>'Stop Loss '!E12</f>
        <v>0</v>
      </c>
      <c r="F62" s="365"/>
      <c r="G62" s="365"/>
      <c r="H62" s="365"/>
      <c r="I62" s="365"/>
      <c r="J62" s="365"/>
    </row>
    <row r="63" spans="1:10" s="364" customFormat="1">
      <c r="A63" s="1275" t="str">
        <f>'General Information - DNP'!B16</f>
        <v>MMM DD YYY - MMM DD YYYY</v>
      </c>
      <c r="B63" s="1275"/>
      <c r="C63" s="1275"/>
      <c r="D63" s="1275"/>
      <c r="E63" s="366">
        <f>'Stop Loss '!E13</f>
        <v>0</v>
      </c>
      <c r="F63" s="365"/>
      <c r="G63" s="365"/>
      <c r="H63" s="365"/>
      <c r="I63" s="365"/>
      <c r="J63" s="365"/>
    </row>
    <row r="64" spans="1:10">
      <c r="A64" s="1272" t="s">
        <v>725</v>
      </c>
      <c r="B64" s="1272"/>
      <c r="C64" s="1272"/>
      <c r="D64" s="1272"/>
      <c r="E64" s="1272"/>
      <c r="F64" s="1272"/>
      <c r="G64" s="1272"/>
      <c r="H64" s="1272"/>
      <c r="I64" s="1272"/>
      <c r="J64" s="1272"/>
    </row>
    <row r="65" spans="1:10">
      <c r="A65" s="1273" t="str">
        <f>"Current carrier's stop loss amount: " &amp;('Additional Information'!B9) &amp; " " &amp; ('Additional Information'!B10)</f>
        <v>Current carrier's stop loss amount: 10000 Per Individual</v>
      </c>
      <c r="B65" s="1272"/>
      <c r="C65" s="1272"/>
      <c r="D65" s="1272"/>
      <c r="E65" s="1272"/>
      <c r="F65" s="1272"/>
      <c r="G65" s="1272"/>
      <c r="H65" s="1272"/>
      <c r="I65" s="1272"/>
      <c r="J65" s="1272"/>
    </row>
    <row r="66" spans="1:10">
      <c r="A66" s="345"/>
      <c r="B66" s="345"/>
      <c r="C66" s="345"/>
      <c r="D66" s="345"/>
      <c r="E66" s="345"/>
      <c r="F66" s="345"/>
      <c r="G66" s="345"/>
      <c r="H66" s="345"/>
      <c r="I66" s="345"/>
      <c r="J66" s="345"/>
    </row>
    <row r="67" spans="1:10">
      <c r="A67" s="1274" t="s">
        <v>726</v>
      </c>
      <c r="B67" s="1274"/>
      <c r="C67" s="1274"/>
      <c r="D67" s="1274"/>
      <c r="E67" s="1274"/>
      <c r="F67" s="1274"/>
      <c r="G67" s="1274"/>
      <c r="H67" s="1274"/>
      <c r="I67" s="1274"/>
      <c r="J67" s="1274"/>
    </row>
  </sheetData>
  <mergeCells count="117">
    <mergeCell ref="A40:D40"/>
    <mergeCell ref="E40:G40"/>
    <mergeCell ref="H40:J40"/>
    <mergeCell ref="A37:D37"/>
    <mergeCell ref="E37:G37"/>
    <mergeCell ref="H37:J37"/>
    <mergeCell ref="A38:D38"/>
    <mergeCell ref="E38:G38"/>
    <mergeCell ref="H38:J38"/>
    <mergeCell ref="E39:G39"/>
    <mergeCell ref="H39:J39"/>
    <mergeCell ref="A18:D18"/>
    <mergeCell ref="E18:G18"/>
    <mergeCell ref="H18:J18"/>
    <mergeCell ref="A19:D19"/>
    <mergeCell ref="E19:G19"/>
    <mergeCell ref="H19:J19"/>
    <mergeCell ref="E22:G22"/>
    <mergeCell ref="H22:J22"/>
    <mergeCell ref="A35:D35"/>
    <mergeCell ref="E35:G35"/>
    <mergeCell ref="H35:J35"/>
    <mergeCell ref="A33:D33"/>
    <mergeCell ref="E33:G33"/>
    <mergeCell ref="H33:J33"/>
    <mergeCell ref="A34:D34"/>
    <mergeCell ref="E34:G34"/>
    <mergeCell ref="H34:J34"/>
    <mergeCell ref="A31:D31"/>
    <mergeCell ref="E31:G31"/>
    <mergeCell ref="H31:J31"/>
    <mergeCell ref="A32:D32"/>
    <mergeCell ref="E32:G32"/>
    <mergeCell ref="H32:J32"/>
    <mergeCell ref="A20:D20"/>
    <mergeCell ref="E16:G16"/>
    <mergeCell ref="H16:J16"/>
    <mergeCell ref="A17:D17"/>
    <mergeCell ref="E17:G17"/>
    <mergeCell ref="H17:J17"/>
    <mergeCell ref="A23:D23"/>
    <mergeCell ref="E23:G23"/>
    <mergeCell ref="H23:J23"/>
    <mergeCell ref="A12:D12"/>
    <mergeCell ref="E12:G12"/>
    <mergeCell ref="H12:J12"/>
    <mergeCell ref="A13:D13"/>
    <mergeCell ref="E13:G13"/>
    <mergeCell ref="H13:J13"/>
    <mergeCell ref="A14:D14"/>
    <mergeCell ref="E14:G14"/>
    <mergeCell ref="H14:J14"/>
    <mergeCell ref="A15:D15"/>
    <mergeCell ref="E15:G15"/>
    <mergeCell ref="H15:J15"/>
    <mergeCell ref="A16:D16"/>
    <mergeCell ref="E21:G21"/>
    <mergeCell ref="H21:J21"/>
    <mergeCell ref="A22:D22"/>
    <mergeCell ref="A64:J64"/>
    <mergeCell ref="A65:J65"/>
    <mergeCell ref="A67:J67"/>
    <mergeCell ref="A59:J59"/>
    <mergeCell ref="A60:J60"/>
    <mergeCell ref="A61:D61"/>
    <mergeCell ref="A62:D62"/>
    <mergeCell ref="A63:D63"/>
    <mergeCell ref="A51:J51"/>
    <mergeCell ref="B53:D53"/>
    <mergeCell ref="B54:D54"/>
    <mergeCell ref="B55:D55"/>
    <mergeCell ref="B56:D56"/>
    <mergeCell ref="E20:G20"/>
    <mergeCell ref="H20:J20"/>
    <mergeCell ref="A21:D21"/>
    <mergeCell ref="A26:D26"/>
    <mergeCell ref="E26:G26"/>
    <mergeCell ref="H26:J26"/>
    <mergeCell ref="A24:D24"/>
    <mergeCell ref="E24:G24"/>
    <mergeCell ref="H24:J24"/>
    <mergeCell ref="A25:D25"/>
    <mergeCell ref="E25:G25"/>
    <mergeCell ref="H25:J25"/>
    <mergeCell ref="B44:D44"/>
    <mergeCell ref="B45:D45"/>
    <mergeCell ref="B46:D46"/>
    <mergeCell ref="B47:D47"/>
    <mergeCell ref="B48:D48"/>
    <mergeCell ref="A27:D27"/>
    <mergeCell ref="E27:G27"/>
    <mergeCell ref="H27:J27"/>
    <mergeCell ref="A41:D41"/>
    <mergeCell ref="E41:G41"/>
    <mergeCell ref="H41:J41"/>
    <mergeCell ref="A28:D28"/>
    <mergeCell ref="E28:G28"/>
    <mergeCell ref="H28:J28"/>
    <mergeCell ref="A29:D29"/>
    <mergeCell ref="E29:G29"/>
    <mergeCell ref="H29:J29"/>
    <mergeCell ref="A30:D30"/>
    <mergeCell ref="E30:G30"/>
    <mergeCell ref="H30:J30"/>
    <mergeCell ref="A36:D36"/>
    <mergeCell ref="E36:G36"/>
    <mergeCell ref="H36:J36"/>
    <mergeCell ref="A39:D39"/>
    <mergeCell ref="A3:J3"/>
    <mergeCell ref="A5:J5"/>
    <mergeCell ref="A8:J8"/>
    <mergeCell ref="A10:D10"/>
    <mergeCell ref="E10:G10"/>
    <mergeCell ref="H10:J10"/>
    <mergeCell ref="A11:D11"/>
    <mergeCell ref="E11:G11"/>
    <mergeCell ref="H11:J11"/>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36">
    <tabColor rgb="FFFF0000"/>
  </sheetPr>
  <dimension ref="A1:H181"/>
  <sheetViews>
    <sheetView showGridLines="0" view="pageLayout" zoomScaleNormal="100" workbookViewId="0">
      <selection activeCell="H10" sqref="H10"/>
    </sheetView>
  </sheetViews>
  <sheetFormatPr baseColWidth="10" defaultColWidth="9.1640625" defaultRowHeight="15" outlineLevelRow="2"/>
  <cols>
    <col min="1" max="1" width="14" style="318" customWidth="1"/>
    <col min="2" max="2" width="13" style="214" customWidth="1"/>
    <col min="3" max="8" width="11.1640625" style="223" customWidth="1"/>
  </cols>
  <sheetData>
    <row r="1" spans="1:8" ht="18.75" customHeight="1"/>
    <row r="2" spans="1:8" s="1" customFormat="1" ht="15" customHeight="1">
      <c r="A2" s="1004" t="s">
        <v>27</v>
      </c>
      <c r="B2" s="1004"/>
      <c r="C2" s="1004"/>
      <c r="D2" s="1004"/>
      <c r="E2" s="316"/>
      <c r="F2" s="316"/>
      <c r="G2" s="316"/>
      <c r="H2" s="316"/>
    </row>
    <row r="3" spans="1:8" s="1" customFormat="1" ht="15" customHeight="1">
      <c r="A3" s="1004"/>
      <c r="B3" s="1004"/>
      <c r="C3" s="1004"/>
      <c r="D3" s="1004"/>
      <c r="E3" s="316"/>
      <c r="F3" s="316"/>
      <c r="G3" s="316"/>
      <c r="H3" s="316"/>
    </row>
    <row r="4" spans="1:8" s="1" customFormat="1" ht="10.5" customHeight="1">
      <c r="A4" s="291"/>
      <c r="B4" s="315"/>
      <c r="C4" s="291"/>
      <c r="D4" s="291"/>
      <c r="E4" s="316"/>
      <c r="F4" s="316"/>
      <c r="G4" s="316"/>
      <c r="H4" s="316"/>
    </row>
    <row r="5" spans="1:8" s="1" customFormat="1" ht="24" customHeight="1">
      <c r="A5" s="490" t="s">
        <v>34</v>
      </c>
      <c r="B5" s="575" t="s">
        <v>693</v>
      </c>
      <c r="C5" s="574" t="e">
        <f t="shared" ref="C5:E5" si="0">EDATE(D5,-12)</f>
        <v>#VALUE!</v>
      </c>
      <c r="D5" s="574" t="e">
        <f t="shared" si="0"/>
        <v>#VALUE!</v>
      </c>
      <c r="E5" s="574" t="e">
        <f t="shared" si="0"/>
        <v>#VALUE!</v>
      </c>
      <c r="F5" s="574" t="e">
        <f>EDATE(G5,-12)</f>
        <v>#VALUE!</v>
      </c>
      <c r="G5" s="574" t="e">
        <f>EDATE(H5,-12)</f>
        <v>#VALUE!</v>
      </c>
      <c r="H5" s="760" t="str">
        <f>RenewalMonth &amp; " 1, " &amp; RenewalYear</f>
        <v>Month 1, Year</v>
      </c>
    </row>
    <row r="6" spans="1:8" s="1" customFormat="1" ht="15" hidden="1" customHeight="1" outlineLevel="1">
      <c r="A6" s="1035" t="s">
        <v>37</v>
      </c>
      <c r="B6" s="777" t="str">
        <f>'Renewal Rates '!A7</f>
        <v>Class A</v>
      </c>
      <c r="C6" s="588">
        <v>0</v>
      </c>
      <c r="D6" s="588">
        <v>0</v>
      </c>
      <c r="E6" s="589">
        <v>0</v>
      </c>
      <c r="F6" s="589">
        <v>0</v>
      </c>
      <c r="G6" s="589">
        <f>'Renewal Rates '!C7</f>
        <v>0</v>
      </c>
      <c r="H6" s="589">
        <f>'Renewal Rates '!H7</f>
        <v>0</v>
      </c>
    </row>
    <row r="7" spans="1:8" s="1" customFormat="1" ht="15" hidden="1" customHeight="1" outlineLevel="1">
      <c r="A7" s="1035"/>
      <c r="B7" s="777" t="str">
        <f>'Renewal Rates '!A8</f>
        <v>Class B</v>
      </c>
      <c r="C7" s="588">
        <v>0</v>
      </c>
      <c r="D7" s="588">
        <v>0</v>
      </c>
      <c r="E7" s="589">
        <v>0</v>
      </c>
      <c r="F7" s="589">
        <v>0</v>
      </c>
      <c r="G7" s="589">
        <f>'Renewal Rates '!C8</f>
        <v>0</v>
      </c>
      <c r="H7" s="589">
        <f>'Renewal Rates '!H8</f>
        <v>0</v>
      </c>
    </row>
    <row r="8" spans="1:8" s="1" customFormat="1" ht="15" hidden="1" customHeight="1" outlineLevel="1">
      <c r="A8" s="1035"/>
      <c r="B8" s="777" t="str">
        <f>'Renewal Rates '!A9</f>
        <v>Class C</v>
      </c>
      <c r="C8" s="588">
        <v>0</v>
      </c>
      <c r="D8" s="588">
        <v>0</v>
      </c>
      <c r="E8" s="589">
        <v>0</v>
      </c>
      <c r="F8" s="589">
        <v>0</v>
      </c>
      <c r="G8" s="589">
        <f>'Renewal Rates '!C9</f>
        <v>0</v>
      </c>
      <c r="H8" s="589">
        <f>'Renewal Rates '!H9</f>
        <v>0</v>
      </c>
    </row>
    <row r="9" spans="1:8" s="1" customFormat="1" ht="15" hidden="1" customHeight="1" outlineLevel="1">
      <c r="A9" s="1035"/>
      <c r="B9" s="777" t="str">
        <f>'Renewal Rates '!A10</f>
        <v>Class D</v>
      </c>
      <c r="C9" s="588">
        <v>0</v>
      </c>
      <c r="D9" s="588">
        <v>0</v>
      </c>
      <c r="E9" s="589">
        <v>0</v>
      </c>
      <c r="F9" s="589">
        <v>0</v>
      </c>
      <c r="G9" s="589">
        <f>'Renewal Rates '!C10</f>
        <v>0</v>
      </c>
      <c r="H9" s="589">
        <f>'Renewal Rates '!H10</f>
        <v>0</v>
      </c>
    </row>
    <row r="10" spans="1:8" s="1" customFormat="1" ht="15" customHeight="1" collapsed="1">
      <c r="A10" s="1035"/>
      <c r="B10" s="479" t="str">
        <f>'Renewal Rates '!A11</f>
        <v>All Employees</v>
      </c>
      <c r="C10" s="588">
        <v>0</v>
      </c>
      <c r="D10" s="588">
        <v>0</v>
      </c>
      <c r="E10" s="589">
        <v>0</v>
      </c>
      <c r="F10" s="589">
        <v>0</v>
      </c>
      <c r="G10" s="589">
        <f>'Renewal Rates '!C11</f>
        <v>0</v>
      </c>
      <c r="H10" s="589">
        <f>'Renewal Rates '!H11</f>
        <v>0</v>
      </c>
    </row>
    <row r="11" spans="1:8" s="1" customFormat="1" ht="15" hidden="1" customHeight="1" outlineLevel="1">
      <c r="A11" s="1035" t="s">
        <v>38</v>
      </c>
      <c r="B11" s="479" t="str">
        <f>'Renewal Rates '!A14</f>
        <v>Class A</v>
      </c>
      <c r="C11" s="588">
        <v>0</v>
      </c>
      <c r="D11" s="588">
        <v>0</v>
      </c>
      <c r="E11" s="589">
        <v>0</v>
      </c>
      <c r="F11" s="589">
        <v>0</v>
      </c>
      <c r="G11" s="589">
        <f>'Renewal Rates '!C14</f>
        <v>0</v>
      </c>
      <c r="H11" s="589">
        <f>'Renewal Rates '!H14</f>
        <v>0</v>
      </c>
    </row>
    <row r="12" spans="1:8" s="1" customFormat="1" ht="15" hidden="1" customHeight="1" outlineLevel="1">
      <c r="A12" s="1035"/>
      <c r="B12" s="479" t="str">
        <f>'Renewal Rates '!A15</f>
        <v>Class B</v>
      </c>
      <c r="C12" s="588">
        <v>0</v>
      </c>
      <c r="D12" s="588">
        <v>0</v>
      </c>
      <c r="E12" s="589">
        <v>0</v>
      </c>
      <c r="F12" s="589">
        <v>0</v>
      </c>
      <c r="G12" s="589">
        <f>'Renewal Rates '!C15</f>
        <v>0</v>
      </c>
      <c r="H12" s="589">
        <f>'Renewal Rates '!H15</f>
        <v>0</v>
      </c>
    </row>
    <row r="13" spans="1:8" s="1" customFormat="1" ht="15" hidden="1" customHeight="1" outlineLevel="1">
      <c r="A13" s="1035"/>
      <c r="B13" s="479" t="str">
        <f>'Renewal Rates '!A16</f>
        <v>Class C</v>
      </c>
      <c r="C13" s="588">
        <v>0</v>
      </c>
      <c r="D13" s="588">
        <v>0</v>
      </c>
      <c r="E13" s="589">
        <v>0</v>
      </c>
      <c r="F13" s="589">
        <v>0</v>
      </c>
      <c r="G13" s="589">
        <f>'Renewal Rates '!C16</f>
        <v>0</v>
      </c>
      <c r="H13" s="589">
        <f>'Renewal Rates '!H16</f>
        <v>0</v>
      </c>
    </row>
    <row r="14" spans="1:8" s="1" customFormat="1" ht="15" hidden="1" customHeight="1" outlineLevel="1">
      <c r="A14" s="1035"/>
      <c r="B14" s="479" t="str">
        <f>'Renewal Rates '!A17</f>
        <v>Class D</v>
      </c>
      <c r="C14" s="588">
        <v>0</v>
      </c>
      <c r="D14" s="588">
        <v>0</v>
      </c>
      <c r="E14" s="589">
        <v>0</v>
      </c>
      <c r="F14" s="589">
        <v>0</v>
      </c>
      <c r="G14" s="589">
        <f>'Renewal Rates '!C17</f>
        <v>0</v>
      </c>
      <c r="H14" s="589">
        <f>'Renewal Rates '!H17</f>
        <v>0</v>
      </c>
    </row>
    <row r="15" spans="1:8" s="1" customFormat="1" ht="15" customHeight="1" collapsed="1">
      <c r="A15" s="1035"/>
      <c r="B15" s="479" t="str">
        <f>'Renewal Rates '!A18</f>
        <v>All Employees</v>
      </c>
      <c r="C15" s="588">
        <v>0</v>
      </c>
      <c r="D15" s="588">
        <v>0</v>
      </c>
      <c r="E15" s="589">
        <v>0</v>
      </c>
      <c r="F15" s="589">
        <v>0</v>
      </c>
      <c r="G15" s="589">
        <f>'Renewal Rates '!C18</f>
        <v>0</v>
      </c>
      <c r="H15" s="589">
        <f>'Renewal Rates '!H18</f>
        <v>0</v>
      </c>
    </row>
    <row r="16" spans="1:8" s="1" customFormat="1" ht="15" hidden="1" customHeight="1" outlineLevel="1" thickBot="1">
      <c r="A16" s="1035" t="s">
        <v>9</v>
      </c>
      <c r="B16" s="479" t="str">
        <f>'Renewal Rates '!A21</f>
        <v>Class A</v>
      </c>
      <c r="C16" s="465">
        <v>0</v>
      </c>
      <c r="D16" s="465">
        <v>0</v>
      </c>
      <c r="E16" s="590">
        <v>0</v>
      </c>
      <c r="F16" s="590">
        <v>0</v>
      </c>
      <c r="G16" s="590">
        <f>'Renewal Rates '!C21</f>
        <v>0</v>
      </c>
      <c r="H16" s="590">
        <f>'Renewal Rates '!H21</f>
        <v>0</v>
      </c>
    </row>
    <row r="17" spans="1:8" s="1" customFormat="1" ht="15" hidden="1" customHeight="1" outlineLevel="1" thickBot="1">
      <c r="A17" s="1035"/>
      <c r="B17" s="479" t="str">
        <f>'Renewal Rates '!A22</f>
        <v>Class B</v>
      </c>
      <c r="C17" s="465">
        <v>0</v>
      </c>
      <c r="D17" s="465">
        <v>0</v>
      </c>
      <c r="E17" s="590">
        <v>0</v>
      </c>
      <c r="F17" s="590">
        <v>0</v>
      </c>
      <c r="G17" s="590">
        <f>'Renewal Rates '!C22</f>
        <v>0</v>
      </c>
      <c r="H17" s="590">
        <f>'Renewal Rates '!H22</f>
        <v>0</v>
      </c>
    </row>
    <row r="18" spans="1:8" s="1" customFormat="1" ht="15" hidden="1" customHeight="1" outlineLevel="1" thickBot="1">
      <c r="A18" s="1035"/>
      <c r="B18" s="479" t="str">
        <f>'Renewal Rates '!A23</f>
        <v>Class C</v>
      </c>
      <c r="C18" s="465">
        <v>0</v>
      </c>
      <c r="D18" s="465">
        <v>0</v>
      </c>
      <c r="E18" s="590">
        <v>0</v>
      </c>
      <c r="F18" s="590">
        <v>0</v>
      </c>
      <c r="G18" s="590">
        <f>'Renewal Rates '!C23</f>
        <v>0</v>
      </c>
      <c r="H18" s="590">
        <f>'Renewal Rates '!H23</f>
        <v>0</v>
      </c>
    </row>
    <row r="19" spans="1:8" s="1" customFormat="1" ht="15" hidden="1" customHeight="1" outlineLevel="1" thickBot="1">
      <c r="A19" s="1035"/>
      <c r="B19" s="479" t="str">
        <f>'Renewal Rates '!A24</f>
        <v>Class D</v>
      </c>
      <c r="C19" s="465">
        <v>0</v>
      </c>
      <c r="D19" s="465">
        <v>0</v>
      </c>
      <c r="E19" s="590">
        <v>0</v>
      </c>
      <c r="F19" s="590">
        <v>0</v>
      </c>
      <c r="G19" s="590">
        <f>'Renewal Rates '!C24</f>
        <v>0</v>
      </c>
      <c r="H19" s="590">
        <f>'Renewal Rates '!H24</f>
        <v>0</v>
      </c>
    </row>
    <row r="20" spans="1:8" s="1" customFormat="1" ht="15" customHeight="1" collapsed="1">
      <c r="A20" s="1035"/>
      <c r="B20" s="479" t="str">
        <f>'Renewal Rates '!A25</f>
        <v>All Employees</v>
      </c>
      <c r="C20" s="465">
        <v>0</v>
      </c>
      <c r="D20" s="465">
        <v>0</v>
      </c>
      <c r="E20" s="590">
        <v>0</v>
      </c>
      <c r="F20" s="590">
        <v>0</v>
      </c>
      <c r="G20" s="590">
        <f>'Renewal Rates '!C25</f>
        <v>0</v>
      </c>
      <c r="H20" s="590">
        <f>'Renewal Rates '!H25</f>
        <v>0</v>
      </c>
    </row>
    <row r="21" spans="1:8" s="1" customFormat="1" ht="15" hidden="1" customHeight="1" outlineLevel="1" thickBot="1">
      <c r="A21" s="1035" t="s">
        <v>39</v>
      </c>
      <c r="B21" s="479" t="str">
        <f>'Renewal Rates '!A28</f>
        <v>Class A</v>
      </c>
      <c r="C21" s="588">
        <v>0</v>
      </c>
      <c r="D21" s="588">
        <v>0</v>
      </c>
      <c r="E21" s="589">
        <v>0</v>
      </c>
      <c r="F21" s="589">
        <v>0</v>
      </c>
      <c r="G21" s="589">
        <f>'Renewal Rates '!C28</f>
        <v>0</v>
      </c>
      <c r="H21" s="589">
        <f>'Renewal Rates '!H28</f>
        <v>0</v>
      </c>
    </row>
    <row r="22" spans="1:8" s="1" customFormat="1" ht="15" hidden="1" customHeight="1" outlineLevel="1" thickBot="1">
      <c r="A22" s="1035"/>
      <c r="B22" s="479" t="str">
        <f>'Renewal Rates '!A29</f>
        <v>Class B</v>
      </c>
      <c r="C22" s="588">
        <v>0</v>
      </c>
      <c r="D22" s="588">
        <v>0</v>
      </c>
      <c r="E22" s="589">
        <v>0</v>
      </c>
      <c r="F22" s="589">
        <v>0</v>
      </c>
      <c r="G22" s="589">
        <f>'Renewal Rates '!C29</f>
        <v>0</v>
      </c>
      <c r="H22" s="589">
        <f>'Renewal Rates '!H29</f>
        <v>0</v>
      </c>
    </row>
    <row r="23" spans="1:8" s="1" customFormat="1" ht="15" hidden="1" customHeight="1" outlineLevel="1" thickBot="1">
      <c r="A23" s="1035"/>
      <c r="B23" s="479" t="str">
        <f>'Renewal Rates '!A30</f>
        <v>Class C</v>
      </c>
      <c r="C23" s="588">
        <v>0</v>
      </c>
      <c r="D23" s="588">
        <v>0</v>
      </c>
      <c r="E23" s="589">
        <v>0</v>
      </c>
      <c r="F23" s="589">
        <v>0</v>
      </c>
      <c r="G23" s="589">
        <f>'Renewal Rates '!C30</f>
        <v>0</v>
      </c>
      <c r="H23" s="589">
        <f>'Renewal Rates '!H30</f>
        <v>0</v>
      </c>
    </row>
    <row r="24" spans="1:8" s="1" customFormat="1" ht="15" hidden="1" customHeight="1" outlineLevel="1" thickBot="1">
      <c r="A24" s="1035"/>
      <c r="B24" s="479" t="str">
        <f>'Renewal Rates '!A31</f>
        <v>Class D</v>
      </c>
      <c r="C24" s="588">
        <v>0</v>
      </c>
      <c r="D24" s="588">
        <v>0</v>
      </c>
      <c r="E24" s="589">
        <v>0</v>
      </c>
      <c r="F24" s="589">
        <v>0</v>
      </c>
      <c r="G24" s="589">
        <f>'Renewal Rates '!C31</f>
        <v>0</v>
      </c>
      <c r="H24" s="589">
        <f>'Renewal Rates '!H31</f>
        <v>0</v>
      </c>
    </row>
    <row r="25" spans="1:8" s="1" customFormat="1" ht="15" customHeight="1" collapsed="1">
      <c r="A25" s="1035"/>
      <c r="B25" s="479" t="str">
        <f>'Renewal Rates '!A32</f>
        <v>All Employees</v>
      </c>
      <c r="C25" s="588">
        <v>0</v>
      </c>
      <c r="D25" s="588">
        <v>0</v>
      </c>
      <c r="E25" s="589">
        <v>0</v>
      </c>
      <c r="F25" s="589">
        <v>0</v>
      </c>
      <c r="G25" s="589">
        <f>'Renewal Rates '!C32</f>
        <v>0</v>
      </c>
      <c r="H25" s="589">
        <f>'Renewal Rates '!H32</f>
        <v>0</v>
      </c>
    </row>
    <row r="26" spans="1:8" s="1" customFormat="1" ht="15" hidden="1" customHeight="1" outlineLevel="1" thickBot="1">
      <c r="A26" s="1035" t="s">
        <v>133</v>
      </c>
      <c r="B26" s="479" t="str">
        <f>'Renewal Rates '!A35</f>
        <v>Class A</v>
      </c>
      <c r="C26" s="588">
        <v>0</v>
      </c>
      <c r="D26" s="588">
        <v>0</v>
      </c>
      <c r="E26" s="589">
        <v>0</v>
      </c>
      <c r="F26" s="589">
        <v>0</v>
      </c>
      <c r="G26" s="589">
        <f>'Renewal Rates '!C35</f>
        <v>0</v>
      </c>
      <c r="H26" s="589">
        <f>'Renewal Rates '!H35</f>
        <v>0</v>
      </c>
    </row>
    <row r="27" spans="1:8" s="1" customFormat="1" ht="15" hidden="1" customHeight="1" outlineLevel="1" thickBot="1">
      <c r="A27" s="1035"/>
      <c r="B27" s="479" t="str">
        <f>'Renewal Rates '!A36</f>
        <v>Class B</v>
      </c>
      <c r="C27" s="588">
        <v>0</v>
      </c>
      <c r="D27" s="588">
        <v>0</v>
      </c>
      <c r="E27" s="589">
        <v>0</v>
      </c>
      <c r="F27" s="589">
        <v>0</v>
      </c>
      <c r="G27" s="589">
        <f>'Renewal Rates '!C36</f>
        <v>0</v>
      </c>
      <c r="H27" s="589">
        <f>'Renewal Rates '!H36</f>
        <v>0</v>
      </c>
    </row>
    <row r="28" spans="1:8" s="1" customFormat="1" ht="15" hidden="1" customHeight="1" outlineLevel="1" thickBot="1">
      <c r="A28" s="1035"/>
      <c r="B28" s="479" t="str">
        <f>'Renewal Rates '!A37</f>
        <v>Class C</v>
      </c>
      <c r="C28" s="588">
        <v>0</v>
      </c>
      <c r="D28" s="588">
        <v>0</v>
      </c>
      <c r="E28" s="589">
        <v>0</v>
      </c>
      <c r="F28" s="589">
        <v>0</v>
      </c>
      <c r="G28" s="589">
        <f>'Renewal Rates '!C37</f>
        <v>0</v>
      </c>
      <c r="H28" s="589">
        <f>'Renewal Rates '!H37</f>
        <v>0</v>
      </c>
    </row>
    <row r="29" spans="1:8" s="1" customFormat="1" ht="15" hidden="1" customHeight="1" outlineLevel="1" thickBot="1">
      <c r="A29" s="1035"/>
      <c r="B29" s="479" t="str">
        <f>'Renewal Rates '!A38</f>
        <v>Class D</v>
      </c>
      <c r="C29" s="588">
        <v>0</v>
      </c>
      <c r="D29" s="588">
        <v>0</v>
      </c>
      <c r="E29" s="589">
        <v>0</v>
      </c>
      <c r="F29" s="589">
        <v>0</v>
      </c>
      <c r="G29" s="589">
        <f>'Renewal Rates '!C38</f>
        <v>0</v>
      </c>
      <c r="H29" s="589">
        <f>'Renewal Rates '!H38</f>
        <v>0</v>
      </c>
    </row>
    <row r="30" spans="1:8" s="1" customFormat="1" ht="15" customHeight="1" collapsed="1">
      <c r="A30" s="1035"/>
      <c r="B30" s="479" t="str">
        <f>'Renewal Rates '!A39</f>
        <v>All Employees</v>
      </c>
      <c r="C30" s="588">
        <v>0</v>
      </c>
      <c r="D30" s="588">
        <v>0</v>
      </c>
      <c r="E30" s="589">
        <v>0</v>
      </c>
      <c r="F30" s="589">
        <v>0</v>
      </c>
      <c r="G30" s="589">
        <f>'Renewal Rates '!C39</f>
        <v>0</v>
      </c>
      <c r="H30" s="589">
        <f>'Renewal Rates '!H39</f>
        <v>0</v>
      </c>
    </row>
    <row r="31" spans="1:8" s="1" customFormat="1" ht="15" hidden="1" customHeight="1" outlineLevel="2" thickBot="1">
      <c r="A31" s="1035" t="s">
        <v>40</v>
      </c>
      <c r="B31" s="479" t="str">
        <f>'Renewal Rates '!A44</f>
        <v>Class A</v>
      </c>
      <c r="C31" s="588">
        <v>0</v>
      </c>
      <c r="D31" s="588">
        <v>0</v>
      </c>
      <c r="E31" s="589">
        <v>0</v>
      </c>
      <c r="F31" s="589">
        <v>0</v>
      </c>
      <c r="G31" s="589">
        <f>'Renewal Rates '!C44</f>
        <v>0</v>
      </c>
      <c r="H31" s="589">
        <f>'Renewal Rates '!H44</f>
        <v>0</v>
      </c>
    </row>
    <row r="32" spans="1:8" s="1" customFormat="1" ht="15" hidden="1" customHeight="1" outlineLevel="2" thickBot="1">
      <c r="A32" s="1035"/>
      <c r="B32" s="479" t="str">
        <f>'Renewal Rates '!A45</f>
        <v>Class B</v>
      </c>
      <c r="C32" s="588">
        <v>0</v>
      </c>
      <c r="D32" s="588">
        <v>0</v>
      </c>
      <c r="E32" s="589">
        <v>0</v>
      </c>
      <c r="F32" s="589">
        <v>0</v>
      </c>
      <c r="G32" s="589">
        <f>'Renewal Rates '!C45</f>
        <v>0</v>
      </c>
      <c r="H32" s="589">
        <f>'Renewal Rates '!H45</f>
        <v>0</v>
      </c>
    </row>
    <row r="33" spans="1:8" s="1" customFormat="1" ht="15" hidden="1" customHeight="1" outlineLevel="2" thickBot="1">
      <c r="A33" s="1035"/>
      <c r="B33" s="479" t="str">
        <f>'Renewal Rates '!A46</f>
        <v>Class C</v>
      </c>
      <c r="C33" s="588">
        <v>0</v>
      </c>
      <c r="D33" s="588">
        <v>0</v>
      </c>
      <c r="E33" s="589">
        <v>0</v>
      </c>
      <c r="F33" s="589">
        <v>0</v>
      </c>
      <c r="G33" s="589">
        <f>'Renewal Rates '!C46</f>
        <v>0</v>
      </c>
      <c r="H33" s="589">
        <f>'Renewal Rates '!H46</f>
        <v>0</v>
      </c>
    </row>
    <row r="34" spans="1:8" s="1" customFormat="1" ht="15" hidden="1" customHeight="1" outlineLevel="2" thickBot="1">
      <c r="A34" s="1035"/>
      <c r="B34" s="479" t="str">
        <f>'Renewal Rates '!A47</f>
        <v>Class D</v>
      </c>
      <c r="C34" s="588">
        <v>0</v>
      </c>
      <c r="D34" s="588">
        <v>0</v>
      </c>
      <c r="E34" s="589">
        <v>0</v>
      </c>
      <c r="F34" s="589">
        <v>0</v>
      </c>
      <c r="G34" s="589">
        <f>'Renewal Rates '!C47</f>
        <v>0</v>
      </c>
      <c r="H34" s="589">
        <f>'Renewal Rates '!H47</f>
        <v>0</v>
      </c>
    </row>
    <row r="35" spans="1:8" s="1" customFormat="1" ht="15" customHeight="1" collapsed="1">
      <c r="A35" s="1035"/>
      <c r="B35" s="479" t="str">
        <f>'Renewal Rates '!A48</f>
        <v>All Employees</v>
      </c>
      <c r="C35" s="588">
        <v>0</v>
      </c>
      <c r="D35" s="588">
        <v>0</v>
      </c>
      <c r="E35" s="589">
        <v>0</v>
      </c>
      <c r="F35" s="589">
        <v>0</v>
      </c>
      <c r="G35" s="589">
        <f>'Renewal Rates '!C48</f>
        <v>0</v>
      </c>
      <c r="H35" s="589">
        <f>'Renewal Rates '!H48</f>
        <v>0</v>
      </c>
    </row>
    <row r="36" spans="1:8" s="1" customFormat="1" ht="15" hidden="1" customHeight="1" outlineLevel="1">
      <c r="A36" s="1035" t="s">
        <v>162</v>
      </c>
      <c r="B36" s="479" t="str">
        <f>'Renewal Rates '!A51</f>
        <v>Class A</v>
      </c>
      <c r="C36" s="465"/>
      <c r="D36" s="465"/>
      <c r="E36" s="590"/>
      <c r="F36" s="590"/>
      <c r="G36" s="590"/>
      <c r="H36" s="590"/>
    </row>
    <row r="37" spans="1:8" s="1" customFormat="1" ht="15" hidden="1" customHeight="1" outlineLevel="1">
      <c r="A37" s="1035"/>
      <c r="B37" s="427" t="s">
        <v>163</v>
      </c>
      <c r="C37" s="465">
        <v>0</v>
      </c>
      <c r="D37" s="465">
        <v>0</v>
      </c>
      <c r="E37" s="590">
        <v>0</v>
      </c>
      <c r="F37" s="590">
        <v>0</v>
      </c>
      <c r="G37" s="590">
        <f>'Renewal Rates '!C52</f>
        <v>0</v>
      </c>
      <c r="H37" s="590">
        <f>'Renewal Rates '!H52</f>
        <v>0</v>
      </c>
    </row>
    <row r="38" spans="1:8" s="1" customFormat="1" ht="15" hidden="1" customHeight="1" outlineLevel="1">
      <c r="A38" s="1035"/>
      <c r="B38" s="427" t="s">
        <v>164</v>
      </c>
      <c r="C38" s="465">
        <v>0</v>
      </c>
      <c r="D38" s="465">
        <v>0</v>
      </c>
      <c r="E38" s="590">
        <v>0</v>
      </c>
      <c r="F38" s="590">
        <v>0</v>
      </c>
      <c r="G38" s="590">
        <f>'Renewal Rates '!C53</f>
        <v>0</v>
      </c>
      <c r="H38" s="590">
        <f>'Renewal Rates '!H53</f>
        <v>0</v>
      </c>
    </row>
    <row r="39" spans="1:8" s="1" customFormat="1" ht="15" hidden="1" customHeight="1" outlineLevel="1">
      <c r="A39" s="1035"/>
      <c r="B39" s="479" t="str">
        <f>'Renewal Rates '!A54</f>
        <v>Class B</v>
      </c>
      <c r="C39" s="465"/>
      <c r="D39" s="465"/>
      <c r="E39" s="590"/>
      <c r="F39" s="590"/>
      <c r="G39" s="590"/>
      <c r="H39" s="590"/>
    </row>
    <row r="40" spans="1:8" s="1" customFormat="1" ht="15" hidden="1" customHeight="1" outlineLevel="1">
      <c r="A40" s="1035"/>
      <c r="B40" s="427" t="s">
        <v>163</v>
      </c>
      <c r="C40" s="465">
        <v>0</v>
      </c>
      <c r="D40" s="465">
        <v>0</v>
      </c>
      <c r="E40" s="590">
        <v>0</v>
      </c>
      <c r="F40" s="590">
        <v>0</v>
      </c>
      <c r="G40" s="590">
        <f>'Renewal Rates '!C55</f>
        <v>0</v>
      </c>
      <c r="H40" s="590">
        <f>'Renewal Rates '!H55</f>
        <v>0</v>
      </c>
    </row>
    <row r="41" spans="1:8" s="1" customFormat="1" ht="15" hidden="1" customHeight="1" outlineLevel="1">
      <c r="A41" s="1035"/>
      <c r="B41" s="427" t="s">
        <v>164</v>
      </c>
      <c r="C41" s="465">
        <v>0</v>
      </c>
      <c r="D41" s="465">
        <v>0</v>
      </c>
      <c r="E41" s="590">
        <v>0</v>
      </c>
      <c r="F41" s="590">
        <v>0</v>
      </c>
      <c r="G41" s="590">
        <f>'Renewal Rates '!C56</f>
        <v>0</v>
      </c>
      <c r="H41" s="590">
        <f>'Renewal Rates '!H56</f>
        <v>0</v>
      </c>
    </row>
    <row r="42" spans="1:8" s="1" customFormat="1" ht="15" hidden="1" customHeight="1" outlineLevel="1">
      <c r="A42" s="1035"/>
      <c r="B42" s="479" t="str">
        <f>'Renewal Rates '!A57</f>
        <v>Class C</v>
      </c>
      <c r="C42" s="465"/>
      <c r="D42" s="465"/>
      <c r="E42" s="590"/>
      <c r="F42" s="590"/>
      <c r="G42" s="590"/>
      <c r="H42" s="590"/>
    </row>
    <row r="43" spans="1:8" s="1" customFormat="1" ht="15" hidden="1" customHeight="1" outlineLevel="1">
      <c r="A43" s="1035"/>
      <c r="B43" s="427" t="s">
        <v>163</v>
      </c>
      <c r="C43" s="465">
        <v>0</v>
      </c>
      <c r="D43" s="465">
        <v>0</v>
      </c>
      <c r="E43" s="590">
        <v>0</v>
      </c>
      <c r="F43" s="590">
        <v>0</v>
      </c>
      <c r="G43" s="590">
        <f>'Renewal Rates '!C58</f>
        <v>0</v>
      </c>
      <c r="H43" s="590">
        <f>'Renewal Rates '!H58</f>
        <v>0</v>
      </c>
    </row>
    <row r="44" spans="1:8" s="1" customFormat="1" ht="15" hidden="1" customHeight="1" outlineLevel="1">
      <c r="A44" s="1035"/>
      <c r="B44" s="427" t="s">
        <v>164</v>
      </c>
      <c r="C44" s="465">
        <v>0</v>
      </c>
      <c r="D44" s="465">
        <v>0</v>
      </c>
      <c r="E44" s="590">
        <v>0</v>
      </c>
      <c r="F44" s="590">
        <v>0</v>
      </c>
      <c r="G44" s="590">
        <f>'Renewal Rates '!C59</f>
        <v>0</v>
      </c>
      <c r="H44" s="590">
        <f>'Renewal Rates '!H59</f>
        <v>0</v>
      </c>
    </row>
    <row r="45" spans="1:8" s="1" customFormat="1" ht="15" hidden="1" customHeight="1" outlineLevel="1">
      <c r="A45" s="1035"/>
      <c r="B45" s="479" t="str">
        <f>'Renewal Rates '!A60</f>
        <v>Class D</v>
      </c>
      <c r="C45" s="465"/>
      <c r="D45" s="465"/>
      <c r="E45" s="590"/>
      <c r="F45" s="590"/>
      <c r="G45" s="590"/>
      <c r="H45" s="590"/>
    </row>
    <row r="46" spans="1:8" s="1" customFormat="1" ht="15" hidden="1" customHeight="1" outlineLevel="1">
      <c r="A46" s="1035"/>
      <c r="B46" s="427" t="s">
        <v>163</v>
      </c>
      <c r="C46" s="465">
        <v>0</v>
      </c>
      <c r="D46" s="465">
        <v>0</v>
      </c>
      <c r="E46" s="590">
        <v>0</v>
      </c>
      <c r="F46" s="590">
        <v>0</v>
      </c>
      <c r="G46" s="590">
        <f>'Renewal Rates '!C61</f>
        <v>0</v>
      </c>
      <c r="H46" s="590">
        <f>'Renewal Rates '!H61</f>
        <v>0</v>
      </c>
    </row>
    <row r="47" spans="1:8" s="1" customFormat="1" ht="15" hidden="1" customHeight="1" outlineLevel="1">
      <c r="A47" s="1035"/>
      <c r="B47" s="427" t="s">
        <v>164</v>
      </c>
      <c r="C47" s="465">
        <v>0</v>
      </c>
      <c r="D47" s="465">
        <v>0</v>
      </c>
      <c r="E47" s="590">
        <v>0</v>
      </c>
      <c r="F47" s="590">
        <v>0</v>
      </c>
      <c r="G47" s="590">
        <f>'Renewal Rates '!C62</f>
        <v>0</v>
      </c>
      <c r="H47" s="590">
        <f>'Renewal Rates '!H62</f>
        <v>0</v>
      </c>
    </row>
    <row r="48" spans="1:8" s="1" customFormat="1" ht="15" customHeight="1" collapsed="1">
      <c r="A48" s="1035"/>
      <c r="B48" s="479" t="str">
        <f>'Renewal Rates '!A63</f>
        <v>All Employees</v>
      </c>
      <c r="C48" s="465"/>
      <c r="D48" s="465"/>
      <c r="E48" s="590"/>
      <c r="F48" s="590"/>
      <c r="G48" s="590"/>
      <c r="H48" s="590"/>
    </row>
    <row r="49" spans="1:8" s="1" customFormat="1" ht="15" customHeight="1">
      <c r="A49" s="1035"/>
      <c r="B49" s="427" t="s">
        <v>163</v>
      </c>
      <c r="C49" s="465">
        <v>0</v>
      </c>
      <c r="D49" s="465">
        <v>0</v>
      </c>
      <c r="E49" s="590">
        <v>0</v>
      </c>
      <c r="F49" s="590">
        <v>0</v>
      </c>
      <c r="G49" s="590">
        <f>'Renewal Rates '!C64</f>
        <v>0</v>
      </c>
      <c r="H49" s="590">
        <f>'Renewal Rates '!H64</f>
        <v>0</v>
      </c>
    </row>
    <row r="50" spans="1:8" s="1" customFormat="1" ht="15" customHeight="1">
      <c r="A50" s="1035"/>
      <c r="B50" s="427" t="s">
        <v>164</v>
      </c>
      <c r="C50" s="465">
        <v>0</v>
      </c>
      <c r="D50" s="465">
        <v>0</v>
      </c>
      <c r="E50" s="590">
        <v>0</v>
      </c>
      <c r="F50" s="590">
        <v>0</v>
      </c>
      <c r="G50" s="590">
        <f>'Renewal Rates '!C65</f>
        <v>0</v>
      </c>
      <c r="H50" s="590">
        <f>'Renewal Rates '!H65</f>
        <v>0</v>
      </c>
    </row>
    <row r="51" spans="1:8" s="1" customFormat="1" ht="15" hidden="1" customHeight="1" outlineLevel="1">
      <c r="A51" s="1035" t="s">
        <v>110</v>
      </c>
      <c r="B51" s="479" t="str">
        <f>'Renewal Rates '!A68</f>
        <v>Class A</v>
      </c>
      <c r="C51" s="465"/>
      <c r="D51" s="465"/>
      <c r="E51" s="590"/>
      <c r="F51" s="590"/>
      <c r="G51" s="590"/>
      <c r="H51" s="590"/>
    </row>
    <row r="52" spans="1:8" s="1" customFormat="1" ht="15" hidden="1" customHeight="1" outlineLevel="1">
      <c r="A52" s="1035"/>
      <c r="B52" s="427" t="s">
        <v>163</v>
      </c>
      <c r="C52" s="465">
        <v>0</v>
      </c>
      <c r="D52" s="465">
        <v>0</v>
      </c>
      <c r="E52" s="590">
        <v>0</v>
      </c>
      <c r="F52" s="590">
        <v>0</v>
      </c>
      <c r="G52" s="590">
        <f>'Renewal Rates '!C69</f>
        <v>0</v>
      </c>
      <c r="H52" s="590">
        <f>'Renewal Rates '!H69</f>
        <v>0</v>
      </c>
    </row>
    <row r="53" spans="1:8" s="1" customFormat="1" ht="15" hidden="1" customHeight="1" outlineLevel="1">
      <c r="A53" s="1035"/>
      <c r="B53" s="427" t="s">
        <v>164</v>
      </c>
      <c r="C53" s="465">
        <v>0</v>
      </c>
      <c r="D53" s="465">
        <v>0</v>
      </c>
      <c r="E53" s="590">
        <v>0</v>
      </c>
      <c r="F53" s="590">
        <v>0</v>
      </c>
      <c r="G53" s="590">
        <f>'Renewal Rates '!C70</f>
        <v>0</v>
      </c>
      <c r="H53" s="590">
        <f>'Renewal Rates '!H70</f>
        <v>0</v>
      </c>
    </row>
    <row r="54" spans="1:8" s="1" customFormat="1" ht="15" hidden="1" customHeight="1" outlineLevel="1">
      <c r="A54" s="1035"/>
      <c r="B54" s="479" t="str">
        <f>'Renewal Rates '!A71</f>
        <v>Class B</v>
      </c>
      <c r="C54" s="465"/>
      <c r="D54" s="465"/>
      <c r="E54" s="590"/>
      <c r="F54" s="590"/>
      <c r="G54" s="590"/>
      <c r="H54" s="590"/>
    </row>
    <row r="55" spans="1:8" s="1" customFormat="1" ht="15" hidden="1" customHeight="1" outlineLevel="1">
      <c r="A55" s="1035"/>
      <c r="B55" s="427" t="s">
        <v>163</v>
      </c>
      <c r="C55" s="465">
        <v>0</v>
      </c>
      <c r="D55" s="465">
        <v>0</v>
      </c>
      <c r="E55" s="590">
        <v>0</v>
      </c>
      <c r="F55" s="590">
        <v>0</v>
      </c>
      <c r="G55" s="590">
        <f>'Renewal Rates '!C72</f>
        <v>0</v>
      </c>
      <c r="H55" s="590">
        <f>'Renewal Rates '!H72</f>
        <v>0</v>
      </c>
    </row>
    <row r="56" spans="1:8" s="1" customFormat="1" ht="15" hidden="1" customHeight="1" outlineLevel="1">
      <c r="A56" s="1035"/>
      <c r="B56" s="427" t="s">
        <v>164</v>
      </c>
      <c r="C56" s="465">
        <v>0</v>
      </c>
      <c r="D56" s="465">
        <v>0</v>
      </c>
      <c r="E56" s="590">
        <v>0</v>
      </c>
      <c r="F56" s="590">
        <v>0</v>
      </c>
      <c r="G56" s="590">
        <f>'Renewal Rates '!C73</f>
        <v>0</v>
      </c>
      <c r="H56" s="590">
        <f>'Renewal Rates '!H73</f>
        <v>0</v>
      </c>
    </row>
    <row r="57" spans="1:8" s="1" customFormat="1" ht="15" hidden="1" customHeight="1" outlineLevel="1">
      <c r="A57" s="1035"/>
      <c r="B57" s="479" t="str">
        <f>'Renewal Rates '!A74</f>
        <v>Class C</v>
      </c>
      <c r="C57" s="465"/>
      <c r="D57" s="465"/>
      <c r="E57" s="590"/>
      <c r="F57" s="590"/>
      <c r="G57" s="590"/>
      <c r="H57" s="590"/>
    </row>
    <row r="58" spans="1:8" s="1" customFormat="1" ht="15" hidden="1" customHeight="1" outlineLevel="1">
      <c r="A58" s="1035"/>
      <c r="B58" s="427" t="s">
        <v>163</v>
      </c>
      <c r="C58" s="465">
        <v>0</v>
      </c>
      <c r="D58" s="465">
        <v>0</v>
      </c>
      <c r="E58" s="590">
        <v>0</v>
      </c>
      <c r="F58" s="590">
        <v>0</v>
      </c>
      <c r="G58" s="590">
        <f>'Renewal Rates '!C75</f>
        <v>0</v>
      </c>
      <c r="H58" s="590">
        <f>'Renewal Rates '!H75</f>
        <v>0</v>
      </c>
    </row>
    <row r="59" spans="1:8" s="1" customFormat="1" ht="15" hidden="1" customHeight="1" outlineLevel="1">
      <c r="A59" s="1035"/>
      <c r="B59" s="427" t="s">
        <v>164</v>
      </c>
      <c r="C59" s="465">
        <v>0</v>
      </c>
      <c r="D59" s="465">
        <v>0</v>
      </c>
      <c r="E59" s="590">
        <v>0</v>
      </c>
      <c r="F59" s="590">
        <v>0</v>
      </c>
      <c r="G59" s="590">
        <f>'Renewal Rates '!C76</f>
        <v>0</v>
      </c>
      <c r="H59" s="590">
        <f>'Renewal Rates '!H76</f>
        <v>0</v>
      </c>
    </row>
    <row r="60" spans="1:8" s="1" customFormat="1" ht="15" hidden="1" customHeight="1" outlineLevel="1">
      <c r="A60" s="1035"/>
      <c r="B60" s="479" t="str">
        <f>'Renewal Rates '!A77</f>
        <v>Class D</v>
      </c>
      <c r="C60" s="465"/>
      <c r="D60" s="465"/>
      <c r="E60" s="590"/>
      <c r="F60" s="590"/>
      <c r="G60" s="590"/>
      <c r="H60" s="590"/>
    </row>
    <row r="61" spans="1:8" s="1" customFormat="1" ht="15" hidden="1" customHeight="1" outlineLevel="1">
      <c r="A61" s="1035"/>
      <c r="B61" s="427" t="s">
        <v>163</v>
      </c>
      <c r="C61" s="465">
        <v>0</v>
      </c>
      <c r="D61" s="465">
        <v>0</v>
      </c>
      <c r="E61" s="590">
        <v>0</v>
      </c>
      <c r="F61" s="590">
        <v>0</v>
      </c>
      <c r="G61" s="590">
        <f>'Renewal Rates '!C78</f>
        <v>0</v>
      </c>
      <c r="H61" s="590">
        <f>'Renewal Rates '!H78</f>
        <v>0</v>
      </c>
    </row>
    <row r="62" spans="1:8" s="1" customFormat="1" ht="15" hidden="1" customHeight="1" outlineLevel="1">
      <c r="A62" s="1035"/>
      <c r="B62" s="427" t="s">
        <v>164</v>
      </c>
      <c r="C62" s="465">
        <v>0</v>
      </c>
      <c r="D62" s="465">
        <v>0</v>
      </c>
      <c r="E62" s="590">
        <v>0</v>
      </c>
      <c r="F62" s="590">
        <v>0</v>
      </c>
      <c r="G62" s="590">
        <f>'Renewal Rates '!C79</f>
        <v>0</v>
      </c>
      <c r="H62" s="590">
        <f>'Renewal Rates '!H79</f>
        <v>0</v>
      </c>
    </row>
    <row r="63" spans="1:8" s="1" customFormat="1" ht="15" customHeight="1" collapsed="1">
      <c r="A63" s="1035"/>
      <c r="B63" s="479" t="str">
        <f>'Renewal Rates '!A80</f>
        <v>All Employees</v>
      </c>
      <c r="C63" s="465"/>
      <c r="D63" s="465"/>
      <c r="E63" s="590"/>
      <c r="F63" s="590"/>
      <c r="G63" s="590"/>
      <c r="H63" s="590"/>
    </row>
    <row r="64" spans="1:8" s="1" customFormat="1" ht="15" customHeight="1">
      <c r="A64" s="1035"/>
      <c r="B64" s="427" t="s">
        <v>163</v>
      </c>
      <c r="C64" s="465">
        <v>0</v>
      </c>
      <c r="D64" s="465">
        <v>0</v>
      </c>
      <c r="E64" s="590">
        <v>0</v>
      </c>
      <c r="F64" s="590">
        <v>0</v>
      </c>
      <c r="G64" s="590">
        <f>'Renewal Rates '!C81</f>
        <v>0</v>
      </c>
      <c r="H64" s="590">
        <f>'Renewal Rates '!H81</f>
        <v>0</v>
      </c>
    </row>
    <row r="65" spans="1:8" s="1" customFormat="1" ht="15" customHeight="1">
      <c r="A65" s="1035"/>
      <c r="B65" s="427" t="s">
        <v>164</v>
      </c>
      <c r="C65" s="465">
        <v>0</v>
      </c>
      <c r="D65" s="465">
        <v>0</v>
      </c>
      <c r="E65" s="590">
        <v>0</v>
      </c>
      <c r="F65" s="590">
        <v>0</v>
      </c>
      <c r="G65" s="590">
        <f>'Renewal Rates '!C82</f>
        <v>0</v>
      </c>
      <c r="H65" s="590">
        <f>'Renewal Rates '!H82</f>
        <v>0</v>
      </c>
    </row>
    <row r="66" spans="1:8" s="1" customFormat="1" ht="15" hidden="1" customHeight="1" outlineLevel="1">
      <c r="A66" s="1035" t="s">
        <v>43</v>
      </c>
      <c r="B66" s="479" t="str">
        <f>'Renewal Rates '!A85</f>
        <v>Class A</v>
      </c>
      <c r="C66" s="465"/>
      <c r="D66" s="465"/>
      <c r="E66" s="590"/>
      <c r="F66" s="590"/>
      <c r="G66" s="590"/>
      <c r="H66" s="590"/>
    </row>
    <row r="67" spans="1:8" s="1" customFormat="1" ht="15" hidden="1" customHeight="1" outlineLevel="1">
      <c r="A67" s="1035"/>
      <c r="B67" s="427" t="s">
        <v>163</v>
      </c>
      <c r="C67" s="465">
        <v>0</v>
      </c>
      <c r="D67" s="465">
        <v>0</v>
      </c>
      <c r="E67" s="590">
        <v>0</v>
      </c>
      <c r="F67" s="590">
        <v>0</v>
      </c>
      <c r="G67" s="590">
        <f>'Renewal Rates '!C86</f>
        <v>0</v>
      </c>
      <c r="H67" s="590">
        <f>'Renewal Rates '!H86</f>
        <v>0</v>
      </c>
    </row>
    <row r="68" spans="1:8" s="1" customFormat="1" ht="15" hidden="1" customHeight="1" outlineLevel="1">
      <c r="A68" s="1035"/>
      <c r="B68" s="427" t="s">
        <v>164</v>
      </c>
      <c r="C68" s="465">
        <v>0</v>
      </c>
      <c r="D68" s="465">
        <v>0</v>
      </c>
      <c r="E68" s="590">
        <v>0</v>
      </c>
      <c r="F68" s="590">
        <v>0</v>
      </c>
      <c r="G68" s="590">
        <f>'Renewal Rates '!C87</f>
        <v>0</v>
      </c>
      <c r="H68" s="590">
        <f>'Renewal Rates '!H87</f>
        <v>0</v>
      </c>
    </row>
    <row r="69" spans="1:8" s="1" customFormat="1" ht="15" hidden="1" customHeight="1" outlineLevel="1">
      <c r="A69" s="1035"/>
      <c r="B69" s="479" t="str">
        <f>'Renewal Rates '!A88</f>
        <v>Class B</v>
      </c>
      <c r="C69" s="465"/>
      <c r="D69" s="465"/>
      <c r="E69" s="590"/>
      <c r="F69" s="590"/>
      <c r="G69" s="590"/>
      <c r="H69" s="590"/>
    </row>
    <row r="70" spans="1:8" s="1" customFormat="1" ht="15" hidden="1" customHeight="1" outlineLevel="1">
      <c r="A70" s="1035"/>
      <c r="B70" s="427" t="s">
        <v>163</v>
      </c>
      <c r="C70" s="465">
        <v>0</v>
      </c>
      <c r="D70" s="465">
        <v>0</v>
      </c>
      <c r="E70" s="590">
        <v>0</v>
      </c>
      <c r="F70" s="590">
        <v>0</v>
      </c>
      <c r="G70" s="590">
        <f>'Renewal Rates '!C89</f>
        <v>0</v>
      </c>
      <c r="H70" s="590">
        <f>'Renewal Rates '!H89</f>
        <v>0</v>
      </c>
    </row>
    <row r="71" spans="1:8" s="1" customFormat="1" ht="15" hidden="1" customHeight="1" outlineLevel="1">
      <c r="A71" s="1035"/>
      <c r="B71" s="427" t="s">
        <v>164</v>
      </c>
      <c r="C71" s="465">
        <v>0</v>
      </c>
      <c r="D71" s="465">
        <v>0</v>
      </c>
      <c r="E71" s="590">
        <v>0</v>
      </c>
      <c r="F71" s="590">
        <v>0</v>
      </c>
      <c r="G71" s="590">
        <f>'Renewal Rates '!C90</f>
        <v>0</v>
      </c>
      <c r="H71" s="590">
        <f>'Renewal Rates '!H90</f>
        <v>0</v>
      </c>
    </row>
    <row r="72" spans="1:8" s="1" customFormat="1" ht="15" hidden="1" customHeight="1" outlineLevel="1">
      <c r="A72" s="1035"/>
      <c r="B72" s="479" t="str">
        <f>'Renewal Rates '!A91</f>
        <v>Class C</v>
      </c>
      <c r="C72" s="465"/>
      <c r="D72" s="465"/>
      <c r="E72" s="590"/>
      <c r="F72" s="590"/>
      <c r="G72" s="590"/>
      <c r="H72" s="590"/>
    </row>
    <row r="73" spans="1:8" s="1" customFormat="1" ht="15" hidden="1" customHeight="1" outlineLevel="1">
      <c r="A73" s="1035"/>
      <c r="B73" s="427" t="s">
        <v>163</v>
      </c>
      <c r="C73" s="465">
        <v>0</v>
      </c>
      <c r="D73" s="465">
        <v>0</v>
      </c>
      <c r="E73" s="590">
        <v>0</v>
      </c>
      <c r="F73" s="590">
        <v>0</v>
      </c>
      <c r="G73" s="590">
        <f>'Renewal Rates '!C92</f>
        <v>0</v>
      </c>
      <c r="H73" s="590">
        <f>'Renewal Rates '!H92</f>
        <v>0</v>
      </c>
    </row>
    <row r="74" spans="1:8" s="1" customFormat="1" ht="15" hidden="1" customHeight="1" outlineLevel="1">
      <c r="A74" s="1035"/>
      <c r="B74" s="427" t="s">
        <v>164</v>
      </c>
      <c r="C74" s="465">
        <v>0</v>
      </c>
      <c r="D74" s="465">
        <v>0</v>
      </c>
      <c r="E74" s="590">
        <v>0</v>
      </c>
      <c r="F74" s="590">
        <v>0</v>
      </c>
      <c r="G74" s="590">
        <f>'Renewal Rates '!C93</f>
        <v>0</v>
      </c>
      <c r="H74" s="590">
        <f>'Renewal Rates '!H93</f>
        <v>0</v>
      </c>
    </row>
    <row r="75" spans="1:8" s="1" customFormat="1" ht="15" hidden="1" customHeight="1" outlineLevel="1">
      <c r="A75" s="1035"/>
      <c r="B75" s="479" t="str">
        <f>'Renewal Rates '!A94</f>
        <v>Class D</v>
      </c>
      <c r="C75" s="465"/>
      <c r="D75" s="465"/>
      <c r="E75" s="590"/>
      <c r="F75" s="590"/>
      <c r="G75" s="590"/>
      <c r="H75" s="590"/>
    </row>
    <row r="76" spans="1:8" s="1" customFormat="1" ht="15" hidden="1" customHeight="1" outlineLevel="1">
      <c r="A76" s="1035"/>
      <c r="B76" s="427" t="s">
        <v>163</v>
      </c>
      <c r="C76" s="465">
        <v>0</v>
      </c>
      <c r="D76" s="465">
        <v>0</v>
      </c>
      <c r="E76" s="590">
        <v>0</v>
      </c>
      <c r="F76" s="590">
        <v>0</v>
      </c>
      <c r="G76" s="590">
        <f>'Renewal Rates '!C95</f>
        <v>0</v>
      </c>
      <c r="H76" s="590">
        <f>'Renewal Rates '!H95</f>
        <v>0</v>
      </c>
    </row>
    <row r="77" spans="1:8" s="1" customFormat="1" ht="15" hidden="1" customHeight="1" outlineLevel="1">
      <c r="A77" s="1035"/>
      <c r="B77" s="427" t="s">
        <v>164</v>
      </c>
      <c r="C77" s="465">
        <v>0</v>
      </c>
      <c r="D77" s="465">
        <v>0</v>
      </c>
      <c r="E77" s="590">
        <v>0</v>
      </c>
      <c r="F77" s="590">
        <v>0</v>
      </c>
      <c r="G77" s="590">
        <f>'Renewal Rates '!C96</f>
        <v>0</v>
      </c>
      <c r="H77" s="590">
        <f>'Renewal Rates '!H96</f>
        <v>0</v>
      </c>
    </row>
    <row r="78" spans="1:8" s="1" customFormat="1" ht="15" customHeight="1" collapsed="1">
      <c r="A78" s="1035"/>
      <c r="B78" s="479" t="str">
        <f>'Renewal Rates '!A97</f>
        <v>All Employees</v>
      </c>
      <c r="C78" s="465"/>
      <c r="D78" s="465"/>
      <c r="E78" s="590"/>
      <c r="F78" s="590"/>
      <c r="G78" s="590"/>
      <c r="H78" s="590"/>
    </row>
    <row r="79" spans="1:8" s="1" customFormat="1" ht="15" customHeight="1">
      <c r="A79" s="1035"/>
      <c r="B79" s="427" t="s">
        <v>163</v>
      </c>
      <c r="C79" s="465">
        <v>0</v>
      </c>
      <c r="D79" s="465">
        <v>0</v>
      </c>
      <c r="E79" s="590">
        <v>0</v>
      </c>
      <c r="F79" s="590">
        <v>0</v>
      </c>
      <c r="G79" s="590">
        <f>'Renewal Rates '!C98</f>
        <v>0</v>
      </c>
      <c r="H79" s="590">
        <f>'Renewal Rates '!H98</f>
        <v>0</v>
      </c>
    </row>
    <row r="80" spans="1:8" s="1" customFormat="1" ht="15" customHeight="1">
      <c r="A80" s="1035"/>
      <c r="B80" s="427" t="s">
        <v>164</v>
      </c>
      <c r="C80" s="465">
        <v>0</v>
      </c>
      <c r="D80" s="465">
        <v>0</v>
      </c>
      <c r="E80" s="590">
        <v>0</v>
      </c>
      <c r="F80" s="590">
        <v>0</v>
      </c>
      <c r="G80" s="590">
        <f>'Renewal Rates '!C99</f>
        <v>0</v>
      </c>
      <c r="H80" s="590">
        <f>'Renewal Rates '!H99</f>
        <v>0</v>
      </c>
    </row>
    <row r="81" spans="1:8" s="1" customFormat="1" ht="15" hidden="1" customHeight="1" outlineLevel="1">
      <c r="A81" s="1035" t="s">
        <v>432</v>
      </c>
      <c r="B81" s="479" t="str">
        <f>'Renewal Rates '!A102</f>
        <v>Class A</v>
      </c>
      <c r="C81" s="465"/>
      <c r="D81" s="465"/>
      <c r="E81" s="590"/>
      <c r="F81" s="590"/>
      <c r="G81" s="590"/>
      <c r="H81" s="590"/>
    </row>
    <row r="82" spans="1:8" s="1" customFormat="1" ht="15" hidden="1" customHeight="1" outlineLevel="1">
      <c r="A82" s="1035"/>
      <c r="B82" s="427" t="s">
        <v>163</v>
      </c>
      <c r="C82" s="465">
        <v>0</v>
      </c>
      <c r="D82" s="465">
        <v>0</v>
      </c>
      <c r="E82" s="590">
        <v>0</v>
      </c>
      <c r="F82" s="590">
        <v>0</v>
      </c>
      <c r="G82" s="590">
        <f>'Renewal Rates '!C103</f>
        <v>0</v>
      </c>
      <c r="H82" s="590">
        <f>'Renewal Rates '!H103</f>
        <v>0</v>
      </c>
    </row>
    <row r="83" spans="1:8" s="1" customFormat="1" ht="15" hidden="1" customHeight="1" outlineLevel="1">
      <c r="A83" s="1035"/>
      <c r="B83" s="427" t="s">
        <v>164</v>
      </c>
      <c r="C83" s="465">
        <v>0</v>
      </c>
      <c r="D83" s="465">
        <v>0</v>
      </c>
      <c r="E83" s="590">
        <v>0</v>
      </c>
      <c r="F83" s="590">
        <v>0</v>
      </c>
      <c r="G83" s="590">
        <f>'Renewal Rates '!C104</f>
        <v>0</v>
      </c>
      <c r="H83" s="590">
        <f>'Renewal Rates '!H104</f>
        <v>0</v>
      </c>
    </row>
    <row r="84" spans="1:8" s="1" customFormat="1" ht="15" hidden="1" customHeight="1" outlineLevel="1">
      <c r="A84" s="1035"/>
      <c r="B84" s="479" t="str">
        <f>'Renewal Rates '!A105</f>
        <v>Class B</v>
      </c>
      <c r="C84" s="465"/>
      <c r="D84" s="465"/>
      <c r="E84" s="590"/>
      <c r="F84" s="590"/>
      <c r="G84" s="590"/>
      <c r="H84" s="590"/>
    </row>
    <row r="85" spans="1:8" s="1" customFormat="1" ht="15" hidden="1" customHeight="1" outlineLevel="1">
      <c r="A85" s="1035"/>
      <c r="B85" s="427" t="s">
        <v>163</v>
      </c>
      <c r="C85" s="465">
        <v>0</v>
      </c>
      <c r="D85" s="465">
        <v>0</v>
      </c>
      <c r="E85" s="590">
        <v>0</v>
      </c>
      <c r="F85" s="590">
        <v>0</v>
      </c>
      <c r="G85" s="590">
        <f>'Renewal Rates '!C106</f>
        <v>0</v>
      </c>
      <c r="H85" s="590">
        <f>'Renewal Rates '!H106</f>
        <v>0</v>
      </c>
    </row>
    <row r="86" spans="1:8" s="1" customFormat="1" ht="15" hidden="1" customHeight="1" outlineLevel="1">
      <c r="A86" s="1035"/>
      <c r="B86" s="427" t="s">
        <v>164</v>
      </c>
      <c r="C86" s="465">
        <v>0</v>
      </c>
      <c r="D86" s="465">
        <v>0</v>
      </c>
      <c r="E86" s="590">
        <v>0</v>
      </c>
      <c r="F86" s="590">
        <v>0</v>
      </c>
      <c r="G86" s="590">
        <f>'Renewal Rates '!C107</f>
        <v>0</v>
      </c>
      <c r="H86" s="590">
        <f>'Renewal Rates '!H107</f>
        <v>0</v>
      </c>
    </row>
    <row r="87" spans="1:8" s="1" customFormat="1" ht="15" hidden="1" customHeight="1" outlineLevel="1">
      <c r="A87" s="1035"/>
      <c r="B87" s="479" t="str">
        <f>'Renewal Rates '!A108</f>
        <v>Class C</v>
      </c>
      <c r="C87" s="465"/>
      <c r="D87" s="465"/>
      <c r="E87" s="590"/>
      <c r="F87" s="590"/>
      <c r="G87" s="590"/>
      <c r="H87" s="590"/>
    </row>
    <row r="88" spans="1:8" s="1" customFormat="1" ht="15" hidden="1" customHeight="1" outlineLevel="1">
      <c r="A88" s="1035"/>
      <c r="B88" s="427" t="s">
        <v>163</v>
      </c>
      <c r="C88" s="465">
        <v>0</v>
      </c>
      <c r="D88" s="465">
        <v>0</v>
      </c>
      <c r="E88" s="590">
        <v>0</v>
      </c>
      <c r="F88" s="590">
        <v>0</v>
      </c>
      <c r="G88" s="590">
        <f>'Renewal Rates '!C109</f>
        <v>0</v>
      </c>
      <c r="H88" s="590">
        <f>'Renewal Rates '!H109</f>
        <v>0</v>
      </c>
    </row>
    <row r="89" spans="1:8" s="1" customFormat="1" ht="15" hidden="1" customHeight="1" outlineLevel="1">
      <c r="A89" s="1035"/>
      <c r="B89" s="427" t="s">
        <v>164</v>
      </c>
      <c r="C89" s="465">
        <v>0</v>
      </c>
      <c r="D89" s="465">
        <v>0</v>
      </c>
      <c r="E89" s="590">
        <v>0</v>
      </c>
      <c r="F89" s="590">
        <v>0</v>
      </c>
      <c r="G89" s="590">
        <f>'Renewal Rates '!C110</f>
        <v>0</v>
      </c>
      <c r="H89" s="590">
        <f>'Renewal Rates '!H110</f>
        <v>0</v>
      </c>
    </row>
    <row r="90" spans="1:8" s="1" customFormat="1" ht="15" hidden="1" customHeight="1" outlineLevel="1">
      <c r="A90" s="1035"/>
      <c r="B90" s="479" t="str">
        <f>'Renewal Rates '!A111</f>
        <v>Class D</v>
      </c>
      <c r="C90" s="465"/>
      <c r="D90" s="465"/>
      <c r="E90" s="590"/>
      <c r="F90" s="590"/>
      <c r="G90" s="590"/>
      <c r="H90" s="590"/>
    </row>
    <row r="91" spans="1:8" s="1" customFormat="1" ht="15" hidden="1" customHeight="1" outlineLevel="1">
      <c r="A91" s="1035"/>
      <c r="B91" s="427" t="s">
        <v>163</v>
      </c>
      <c r="C91" s="465">
        <v>0</v>
      </c>
      <c r="D91" s="465">
        <v>0</v>
      </c>
      <c r="E91" s="590">
        <v>0</v>
      </c>
      <c r="F91" s="590">
        <v>0</v>
      </c>
      <c r="G91" s="590">
        <f>'Renewal Rates '!C112</f>
        <v>0</v>
      </c>
      <c r="H91" s="590">
        <f>'Renewal Rates '!H112</f>
        <v>0</v>
      </c>
    </row>
    <row r="92" spans="1:8" s="1" customFormat="1" ht="15" hidden="1" customHeight="1" outlineLevel="1">
      <c r="A92" s="1035"/>
      <c r="B92" s="427" t="s">
        <v>164</v>
      </c>
      <c r="C92" s="465">
        <v>0</v>
      </c>
      <c r="D92" s="465">
        <v>0</v>
      </c>
      <c r="E92" s="590">
        <v>0</v>
      </c>
      <c r="F92" s="590">
        <v>0</v>
      </c>
      <c r="G92" s="590">
        <f>'Renewal Rates '!C113</f>
        <v>0</v>
      </c>
      <c r="H92" s="590">
        <f>'Renewal Rates '!H113</f>
        <v>0</v>
      </c>
    </row>
    <row r="93" spans="1:8" s="1" customFormat="1" ht="15" customHeight="1" collapsed="1">
      <c r="A93" s="1035"/>
      <c r="B93" s="479" t="str">
        <f>'Renewal Rates '!A114</f>
        <v>All Employees</v>
      </c>
      <c r="C93" s="465"/>
      <c r="D93" s="465"/>
      <c r="E93" s="590"/>
      <c r="F93" s="590"/>
      <c r="G93" s="590"/>
      <c r="H93" s="590"/>
    </row>
    <row r="94" spans="1:8" s="1" customFormat="1" ht="15" customHeight="1">
      <c r="A94" s="1035"/>
      <c r="B94" s="427" t="s">
        <v>163</v>
      </c>
      <c r="C94" s="465">
        <v>0</v>
      </c>
      <c r="D94" s="465">
        <v>0</v>
      </c>
      <c r="E94" s="590">
        <v>0</v>
      </c>
      <c r="F94" s="590">
        <v>0</v>
      </c>
      <c r="G94" s="590">
        <f>'Renewal Rates '!C115</f>
        <v>0</v>
      </c>
      <c r="H94" s="590">
        <f>'Renewal Rates '!H115</f>
        <v>0</v>
      </c>
    </row>
    <row r="95" spans="1:8" s="1" customFormat="1" ht="15" customHeight="1">
      <c r="A95" s="1035"/>
      <c r="B95" s="427" t="s">
        <v>164</v>
      </c>
      <c r="C95" s="465">
        <v>0</v>
      </c>
      <c r="D95" s="465">
        <v>0</v>
      </c>
      <c r="E95" s="590">
        <v>0</v>
      </c>
      <c r="F95" s="590">
        <v>0</v>
      </c>
      <c r="G95" s="590">
        <f>'Renewal Rates '!C116</f>
        <v>0</v>
      </c>
      <c r="H95" s="590">
        <f>'Renewal Rates '!H116</f>
        <v>0</v>
      </c>
    </row>
    <row r="96" spans="1:8" s="1" customFormat="1" ht="15" hidden="1" customHeight="1" outlineLevel="2">
      <c r="A96" s="1035" t="s">
        <v>16</v>
      </c>
      <c r="B96" s="479" t="str">
        <f>'Renewal Rates '!A119</f>
        <v>Class A</v>
      </c>
      <c r="C96" s="465"/>
      <c r="D96" s="465"/>
      <c r="E96" s="590"/>
      <c r="F96" s="590"/>
      <c r="G96" s="590"/>
      <c r="H96" s="590"/>
    </row>
    <row r="97" spans="1:8" s="1" customFormat="1" ht="15" hidden="1" customHeight="1" outlineLevel="2">
      <c r="A97" s="1035"/>
      <c r="B97" s="427" t="s">
        <v>163</v>
      </c>
      <c r="C97" s="465">
        <v>0</v>
      </c>
      <c r="D97" s="465">
        <v>0</v>
      </c>
      <c r="E97" s="590">
        <v>0</v>
      </c>
      <c r="F97" s="590">
        <v>0</v>
      </c>
      <c r="G97" s="590">
        <f>'Renewal Rates '!C120</f>
        <v>0</v>
      </c>
      <c r="H97" s="590">
        <f>'Renewal Rates '!H120</f>
        <v>0</v>
      </c>
    </row>
    <row r="98" spans="1:8" s="1" customFormat="1" ht="15" hidden="1" customHeight="1" outlineLevel="2">
      <c r="A98" s="1035"/>
      <c r="B98" s="427" t="s">
        <v>164</v>
      </c>
      <c r="C98" s="465">
        <v>0</v>
      </c>
      <c r="D98" s="465">
        <v>0</v>
      </c>
      <c r="E98" s="590">
        <v>0</v>
      </c>
      <c r="F98" s="590">
        <v>0</v>
      </c>
      <c r="G98" s="590">
        <f>'Renewal Rates '!C121</f>
        <v>0</v>
      </c>
      <c r="H98" s="590">
        <f>'Renewal Rates '!H121</f>
        <v>0</v>
      </c>
    </row>
    <row r="99" spans="1:8" s="1" customFormat="1" ht="15" hidden="1" customHeight="1" outlineLevel="2">
      <c r="A99" s="1035"/>
      <c r="B99" s="479" t="str">
        <f>'Renewal Rates '!A122</f>
        <v>Class B</v>
      </c>
      <c r="C99" s="465"/>
      <c r="D99" s="465"/>
      <c r="E99" s="590"/>
      <c r="F99" s="590"/>
      <c r="G99" s="590"/>
      <c r="H99" s="590"/>
    </row>
    <row r="100" spans="1:8" s="1" customFormat="1" ht="15" hidden="1" customHeight="1" outlineLevel="2">
      <c r="A100" s="1035"/>
      <c r="B100" s="427" t="s">
        <v>163</v>
      </c>
      <c r="C100" s="465">
        <v>0</v>
      </c>
      <c r="D100" s="465">
        <v>0</v>
      </c>
      <c r="E100" s="590">
        <v>0</v>
      </c>
      <c r="F100" s="590">
        <v>0</v>
      </c>
      <c r="G100" s="590">
        <f>'Renewal Rates '!C123</f>
        <v>0</v>
      </c>
      <c r="H100" s="590">
        <f>'Renewal Rates '!H123</f>
        <v>0</v>
      </c>
    </row>
    <row r="101" spans="1:8" s="1" customFormat="1" ht="15" hidden="1" customHeight="1" outlineLevel="2">
      <c r="A101" s="1035"/>
      <c r="B101" s="427" t="s">
        <v>164</v>
      </c>
      <c r="C101" s="465">
        <v>0</v>
      </c>
      <c r="D101" s="465">
        <v>0</v>
      </c>
      <c r="E101" s="590">
        <v>0</v>
      </c>
      <c r="F101" s="590">
        <v>0</v>
      </c>
      <c r="G101" s="590">
        <f>'Renewal Rates '!C124</f>
        <v>0</v>
      </c>
      <c r="H101" s="590">
        <f>'Renewal Rates '!H124</f>
        <v>0</v>
      </c>
    </row>
    <row r="102" spans="1:8" s="1" customFormat="1" ht="15" hidden="1" customHeight="1" outlineLevel="2">
      <c r="A102" s="1035"/>
      <c r="B102" s="479" t="str">
        <f>'Renewal Rates '!A125</f>
        <v>Class C</v>
      </c>
      <c r="C102" s="465"/>
      <c r="D102" s="465"/>
      <c r="E102" s="590"/>
      <c r="F102" s="590"/>
      <c r="G102" s="590"/>
      <c r="H102" s="590"/>
    </row>
    <row r="103" spans="1:8" s="1" customFormat="1" ht="15" hidden="1" customHeight="1" outlineLevel="2">
      <c r="A103" s="1035"/>
      <c r="B103" s="427" t="s">
        <v>163</v>
      </c>
      <c r="C103" s="465">
        <v>0</v>
      </c>
      <c r="D103" s="465">
        <v>0</v>
      </c>
      <c r="E103" s="590">
        <v>0</v>
      </c>
      <c r="F103" s="590">
        <v>0</v>
      </c>
      <c r="G103" s="590">
        <f>'Renewal Rates '!C126</f>
        <v>0</v>
      </c>
      <c r="H103" s="590">
        <f>'Renewal Rates '!H126</f>
        <v>0</v>
      </c>
    </row>
    <row r="104" spans="1:8" s="1" customFormat="1" ht="15" hidden="1" customHeight="1" outlineLevel="2">
      <c r="A104" s="1035"/>
      <c r="B104" s="427" t="s">
        <v>164</v>
      </c>
      <c r="C104" s="465">
        <v>0</v>
      </c>
      <c r="D104" s="465">
        <v>0</v>
      </c>
      <c r="E104" s="590">
        <v>0</v>
      </c>
      <c r="F104" s="590">
        <v>0</v>
      </c>
      <c r="G104" s="590">
        <f>'Renewal Rates '!C127</f>
        <v>0</v>
      </c>
      <c r="H104" s="590">
        <f>'Renewal Rates '!H127</f>
        <v>0</v>
      </c>
    </row>
    <row r="105" spans="1:8" s="1" customFormat="1" ht="15" hidden="1" customHeight="1" outlineLevel="2">
      <c r="A105" s="1035"/>
      <c r="B105" s="479" t="str">
        <f>'Renewal Rates '!A128</f>
        <v>Class D</v>
      </c>
      <c r="C105" s="465"/>
      <c r="D105" s="465"/>
      <c r="E105" s="590"/>
      <c r="F105" s="590"/>
      <c r="G105" s="590"/>
      <c r="H105" s="590"/>
    </row>
    <row r="106" spans="1:8" s="1" customFormat="1" ht="15" hidden="1" customHeight="1" outlineLevel="2">
      <c r="A106" s="1035"/>
      <c r="B106" s="427" t="s">
        <v>163</v>
      </c>
      <c r="C106" s="465">
        <v>0</v>
      </c>
      <c r="D106" s="465">
        <v>0</v>
      </c>
      <c r="E106" s="590">
        <v>0</v>
      </c>
      <c r="F106" s="590">
        <v>0</v>
      </c>
      <c r="G106" s="590">
        <f>'Renewal Rates '!C129</f>
        <v>0</v>
      </c>
      <c r="H106" s="590">
        <f>'Renewal Rates '!H129</f>
        <v>0</v>
      </c>
    </row>
    <row r="107" spans="1:8" s="1" customFormat="1" ht="15" hidden="1" customHeight="1" outlineLevel="2">
      <c r="A107" s="1035"/>
      <c r="B107" s="427" t="s">
        <v>164</v>
      </c>
      <c r="C107" s="465">
        <v>0</v>
      </c>
      <c r="D107" s="465">
        <v>0</v>
      </c>
      <c r="E107" s="590">
        <v>0</v>
      </c>
      <c r="F107" s="590">
        <v>0</v>
      </c>
      <c r="G107" s="590">
        <f>'Renewal Rates '!C130</f>
        <v>0</v>
      </c>
      <c r="H107" s="590">
        <f>'Renewal Rates '!H130</f>
        <v>0</v>
      </c>
    </row>
    <row r="108" spans="1:8" s="1" customFormat="1" ht="15" customHeight="1" collapsed="1">
      <c r="A108" s="1035"/>
      <c r="B108" s="479" t="str">
        <f>'Renewal Rates '!A131</f>
        <v>All Employees</v>
      </c>
      <c r="C108" s="465"/>
      <c r="D108" s="465"/>
      <c r="E108" s="590"/>
      <c r="F108" s="590"/>
      <c r="G108" s="590"/>
      <c r="H108" s="590"/>
    </row>
    <row r="109" spans="1:8" s="1" customFormat="1" ht="15" customHeight="1">
      <c r="A109" s="1035"/>
      <c r="B109" s="427" t="s">
        <v>163</v>
      </c>
      <c r="C109" s="465">
        <v>0</v>
      </c>
      <c r="D109" s="465">
        <v>0</v>
      </c>
      <c r="E109" s="590">
        <v>0</v>
      </c>
      <c r="F109" s="590">
        <v>0</v>
      </c>
      <c r="G109" s="590">
        <f>'Renewal Rates '!C132</f>
        <v>0</v>
      </c>
      <c r="H109" s="590">
        <f>'Renewal Rates '!H132</f>
        <v>0</v>
      </c>
    </row>
    <row r="110" spans="1:8" s="1" customFormat="1" ht="15" customHeight="1">
      <c r="A110" s="1035"/>
      <c r="B110" s="427" t="s">
        <v>164</v>
      </c>
      <c r="C110" s="465">
        <v>0</v>
      </c>
      <c r="D110" s="465">
        <v>0</v>
      </c>
      <c r="E110" s="590">
        <v>0</v>
      </c>
      <c r="F110" s="590">
        <v>0</v>
      </c>
      <c r="G110" s="590">
        <f>'Renewal Rates '!C133</f>
        <v>0</v>
      </c>
      <c r="H110" s="590">
        <f>'Renewal Rates '!H133</f>
        <v>0</v>
      </c>
    </row>
    <row r="111" spans="1:8" s="1" customFormat="1" ht="15" hidden="1" customHeight="1" outlineLevel="2">
      <c r="A111" s="1035" t="s">
        <v>694</v>
      </c>
      <c r="B111" s="479" t="str">
        <f>'Renewal Rates '!A136</f>
        <v>Class A</v>
      </c>
      <c r="C111" s="465"/>
      <c r="D111" s="465"/>
      <c r="E111" s="590"/>
      <c r="F111" s="590"/>
      <c r="G111" s="590"/>
      <c r="H111" s="590"/>
    </row>
    <row r="112" spans="1:8" s="1" customFormat="1" ht="15" hidden="1" customHeight="1" outlineLevel="2">
      <c r="A112" s="1035"/>
      <c r="B112" s="427" t="s">
        <v>163</v>
      </c>
      <c r="C112" s="465">
        <v>0</v>
      </c>
      <c r="D112" s="465">
        <v>0</v>
      </c>
      <c r="E112" s="590">
        <v>0</v>
      </c>
      <c r="F112" s="590">
        <v>0</v>
      </c>
      <c r="G112" s="590">
        <f>'Renewal Rates '!C137</f>
        <v>0</v>
      </c>
      <c r="H112" s="590">
        <f>'Renewal Rates '!H137</f>
        <v>0</v>
      </c>
    </row>
    <row r="113" spans="1:8" s="1" customFormat="1" ht="15" hidden="1" customHeight="1" outlineLevel="2">
      <c r="A113" s="1035"/>
      <c r="B113" s="427" t="s">
        <v>164</v>
      </c>
      <c r="C113" s="465">
        <v>0</v>
      </c>
      <c r="D113" s="465">
        <v>0</v>
      </c>
      <c r="E113" s="590">
        <v>0</v>
      </c>
      <c r="F113" s="590">
        <v>0</v>
      </c>
      <c r="G113" s="590">
        <f>'Renewal Rates '!C138</f>
        <v>0</v>
      </c>
      <c r="H113" s="590">
        <f>'Renewal Rates '!H138</f>
        <v>0</v>
      </c>
    </row>
    <row r="114" spans="1:8" s="1" customFormat="1" ht="15" hidden="1" customHeight="1" outlineLevel="2">
      <c r="A114" s="1035"/>
      <c r="B114" s="479" t="str">
        <f>'Renewal Rates '!A139</f>
        <v>Class B</v>
      </c>
      <c r="C114" s="465"/>
      <c r="D114" s="465"/>
      <c r="E114" s="590"/>
      <c r="F114" s="590"/>
      <c r="G114" s="590"/>
      <c r="H114" s="590"/>
    </row>
    <row r="115" spans="1:8" s="1" customFormat="1" ht="15" hidden="1" customHeight="1" outlineLevel="2">
      <c r="A115" s="1035"/>
      <c r="B115" s="427" t="s">
        <v>163</v>
      </c>
      <c r="C115" s="465">
        <v>0</v>
      </c>
      <c r="D115" s="465">
        <v>0</v>
      </c>
      <c r="E115" s="590">
        <v>0</v>
      </c>
      <c r="F115" s="590">
        <v>0</v>
      </c>
      <c r="G115" s="590">
        <f>'Renewal Rates '!C140</f>
        <v>0</v>
      </c>
      <c r="H115" s="590">
        <f>'Renewal Rates '!H140</f>
        <v>0</v>
      </c>
    </row>
    <row r="116" spans="1:8" s="1" customFormat="1" ht="15" hidden="1" customHeight="1" outlineLevel="2">
      <c r="A116" s="1035"/>
      <c r="B116" s="427" t="s">
        <v>164</v>
      </c>
      <c r="C116" s="465">
        <v>0</v>
      </c>
      <c r="D116" s="465">
        <v>0</v>
      </c>
      <c r="E116" s="590">
        <v>0</v>
      </c>
      <c r="F116" s="590">
        <v>0</v>
      </c>
      <c r="G116" s="590">
        <f>'Renewal Rates '!C141</f>
        <v>0</v>
      </c>
      <c r="H116" s="590">
        <f>'Renewal Rates '!H141</f>
        <v>0</v>
      </c>
    </row>
    <row r="117" spans="1:8" s="1" customFormat="1" ht="15" hidden="1" customHeight="1" outlineLevel="2">
      <c r="A117" s="1035"/>
      <c r="B117" s="479" t="str">
        <f>'Renewal Rates '!A142</f>
        <v>Class C</v>
      </c>
      <c r="C117" s="465"/>
      <c r="D117" s="465"/>
      <c r="E117" s="590"/>
      <c r="F117" s="590"/>
      <c r="G117" s="590"/>
      <c r="H117" s="590"/>
    </row>
    <row r="118" spans="1:8" s="1" customFormat="1" ht="15" hidden="1" customHeight="1" outlineLevel="2">
      <c r="A118" s="1035"/>
      <c r="B118" s="427" t="s">
        <v>163</v>
      </c>
      <c r="C118" s="465">
        <v>0</v>
      </c>
      <c r="D118" s="465">
        <v>0</v>
      </c>
      <c r="E118" s="590">
        <v>0</v>
      </c>
      <c r="F118" s="590">
        <v>0</v>
      </c>
      <c r="G118" s="590">
        <f>'Renewal Rates '!C143</f>
        <v>0</v>
      </c>
      <c r="H118" s="590">
        <f>'Renewal Rates '!H143</f>
        <v>0</v>
      </c>
    </row>
    <row r="119" spans="1:8" s="1" customFormat="1" ht="15" hidden="1" customHeight="1" outlineLevel="2">
      <c r="A119" s="1035"/>
      <c r="B119" s="427" t="s">
        <v>164</v>
      </c>
      <c r="C119" s="465">
        <v>0</v>
      </c>
      <c r="D119" s="465">
        <v>0</v>
      </c>
      <c r="E119" s="590">
        <v>0</v>
      </c>
      <c r="F119" s="590">
        <v>0</v>
      </c>
      <c r="G119" s="590">
        <f>'Renewal Rates '!C144</f>
        <v>0</v>
      </c>
      <c r="H119" s="590">
        <f>'Renewal Rates '!H144</f>
        <v>0</v>
      </c>
    </row>
    <row r="120" spans="1:8" s="1" customFormat="1" ht="15" hidden="1" customHeight="1" outlineLevel="2">
      <c r="A120" s="1035"/>
      <c r="B120" s="479" t="str">
        <f>'Renewal Rates '!A145</f>
        <v>Class D</v>
      </c>
      <c r="C120" s="465"/>
      <c r="D120" s="465"/>
      <c r="E120" s="590"/>
      <c r="F120" s="590"/>
      <c r="G120" s="590"/>
      <c r="H120" s="590"/>
    </row>
    <row r="121" spans="1:8" s="1" customFormat="1" ht="15" hidden="1" customHeight="1" outlineLevel="2">
      <c r="A121" s="1035"/>
      <c r="B121" s="427" t="s">
        <v>163</v>
      </c>
      <c r="C121" s="465">
        <v>0</v>
      </c>
      <c r="D121" s="465">
        <v>0</v>
      </c>
      <c r="E121" s="590">
        <v>0</v>
      </c>
      <c r="F121" s="590">
        <v>0</v>
      </c>
      <c r="G121" s="590">
        <f>'Renewal Rates '!C146</f>
        <v>0</v>
      </c>
      <c r="H121" s="590">
        <f>'Renewal Rates '!H146</f>
        <v>0</v>
      </c>
    </row>
    <row r="122" spans="1:8" s="1" customFormat="1" ht="15" hidden="1" customHeight="1" outlineLevel="2">
      <c r="A122" s="1035"/>
      <c r="B122" s="427" t="s">
        <v>164</v>
      </c>
      <c r="C122" s="465">
        <v>0</v>
      </c>
      <c r="D122" s="465">
        <v>0</v>
      </c>
      <c r="E122" s="590">
        <v>0</v>
      </c>
      <c r="F122" s="590">
        <v>0</v>
      </c>
      <c r="G122" s="590">
        <f>'Renewal Rates '!C147</f>
        <v>0</v>
      </c>
      <c r="H122" s="590">
        <f>'Renewal Rates '!H147</f>
        <v>0</v>
      </c>
    </row>
    <row r="123" spans="1:8" s="1" customFormat="1" ht="15" customHeight="1" collapsed="1">
      <c r="A123" s="1035"/>
      <c r="B123" s="479" t="str">
        <f>'Renewal Rates '!A148</f>
        <v>All Employees</v>
      </c>
      <c r="C123" s="465"/>
      <c r="D123" s="465"/>
      <c r="E123" s="590"/>
      <c r="F123" s="590"/>
      <c r="G123" s="590"/>
      <c r="H123" s="590"/>
    </row>
    <row r="124" spans="1:8" s="1" customFormat="1" ht="15" customHeight="1">
      <c r="A124" s="1035"/>
      <c r="B124" s="427" t="s">
        <v>163</v>
      </c>
      <c r="C124" s="465">
        <v>0</v>
      </c>
      <c r="D124" s="465">
        <v>0</v>
      </c>
      <c r="E124" s="590">
        <v>0</v>
      </c>
      <c r="F124" s="590">
        <v>0</v>
      </c>
      <c r="G124" s="590">
        <f>'Renewal Rates '!C149</f>
        <v>0</v>
      </c>
      <c r="H124" s="590">
        <f>'Renewal Rates '!H149</f>
        <v>0</v>
      </c>
    </row>
    <row r="125" spans="1:8" s="1" customFormat="1" ht="15" customHeight="1">
      <c r="A125" s="1035"/>
      <c r="B125" s="427" t="s">
        <v>164</v>
      </c>
      <c r="C125" s="465">
        <v>0</v>
      </c>
      <c r="D125" s="465">
        <v>0</v>
      </c>
      <c r="E125" s="590">
        <v>0</v>
      </c>
      <c r="F125" s="590">
        <v>0</v>
      </c>
      <c r="G125" s="590">
        <f>'Renewal Rates '!C150</f>
        <v>0</v>
      </c>
      <c r="H125" s="590">
        <f>'Renewal Rates '!H150</f>
        <v>0</v>
      </c>
    </row>
    <row r="126" spans="1:8" s="1" customFormat="1" ht="15" hidden="1" customHeight="1" outlineLevel="1">
      <c r="A126" s="1035" t="s">
        <v>134</v>
      </c>
      <c r="B126" s="479" t="str">
        <f>'Renewal Rates '!A153</f>
        <v>Class A</v>
      </c>
      <c r="C126" s="465">
        <v>0</v>
      </c>
      <c r="D126" s="465">
        <v>0</v>
      </c>
      <c r="E126" s="590">
        <v>0</v>
      </c>
      <c r="F126" s="590">
        <v>0</v>
      </c>
      <c r="G126" s="590">
        <f>'Renewal Rates '!C153</f>
        <v>0</v>
      </c>
      <c r="H126" s="590">
        <f>'Renewal Rates '!H153</f>
        <v>0</v>
      </c>
    </row>
    <row r="127" spans="1:8" s="1" customFormat="1" ht="15" hidden="1" customHeight="1" outlineLevel="1">
      <c r="A127" s="1035"/>
      <c r="B127" s="479" t="str">
        <f>'Renewal Rates '!A154</f>
        <v>Class B</v>
      </c>
      <c r="C127" s="465">
        <v>0</v>
      </c>
      <c r="D127" s="465">
        <v>0</v>
      </c>
      <c r="E127" s="590">
        <v>0</v>
      </c>
      <c r="F127" s="590">
        <v>0</v>
      </c>
      <c r="G127" s="590">
        <f>'Renewal Rates '!C154</f>
        <v>0</v>
      </c>
      <c r="H127" s="590">
        <f>'Renewal Rates '!H154</f>
        <v>0</v>
      </c>
    </row>
    <row r="128" spans="1:8" s="1" customFormat="1" ht="15" hidden="1" customHeight="1" outlineLevel="1">
      <c r="A128" s="1035"/>
      <c r="B128" s="479" t="str">
        <f>'Renewal Rates '!A155</f>
        <v>Class C</v>
      </c>
      <c r="C128" s="465">
        <v>0</v>
      </c>
      <c r="D128" s="465">
        <v>0</v>
      </c>
      <c r="E128" s="590">
        <v>0</v>
      </c>
      <c r="F128" s="590">
        <v>0</v>
      </c>
      <c r="G128" s="590">
        <f>'Renewal Rates '!C155</f>
        <v>0</v>
      </c>
      <c r="H128" s="590">
        <f>'Renewal Rates '!H155</f>
        <v>0</v>
      </c>
    </row>
    <row r="129" spans="1:8" s="1" customFormat="1" ht="15" hidden="1" customHeight="1" outlineLevel="1">
      <c r="A129" s="1035"/>
      <c r="B129" s="479" t="str">
        <f>'Renewal Rates '!A156</f>
        <v>Class D</v>
      </c>
      <c r="C129" s="465">
        <v>0</v>
      </c>
      <c r="D129" s="465">
        <v>0</v>
      </c>
      <c r="E129" s="590">
        <v>0</v>
      </c>
      <c r="F129" s="590">
        <v>0</v>
      </c>
      <c r="G129" s="590">
        <f>'Renewal Rates '!C156</f>
        <v>0</v>
      </c>
      <c r="H129" s="590">
        <f>'Renewal Rates '!H156</f>
        <v>0</v>
      </c>
    </row>
    <row r="130" spans="1:8" s="1" customFormat="1" ht="15" customHeight="1" collapsed="1">
      <c r="A130" s="1035"/>
      <c r="B130" s="479" t="str">
        <f>'Renewal Rates '!A157</f>
        <v>All Employees</v>
      </c>
      <c r="C130" s="465">
        <v>0</v>
      </c>
      <c r="D130" s="465">
        <v>0</v>
      </c>
      <c r="E130" s="590">
        <v>0</v>
      </c>
      <c r="F130" s="590">
        <v>0</v>
      </c>
      <c r="G130" s="590">
        <f>'Renewal Rates '!C157</f>
        <v>0</v>
      </c>
      <c r="H130" s="590">
        <f>'Renewal Rates '!H157</f>
        <v>0</v>
      </c>
    </row>
    <row r="131" spans="1:8" s="1" customFormat="1" ht="15" customHeight="1">
      <c r="A131" s="291"/>
      <c r="B131" s="315"/>
      <c r="C131" s="291"/>
      <c r="D131" s="291"/>
      <c r="E131" s="316"/>
      <c r="F131" s="316"/>
      <c r="G131" s="316"/>
      <c r="H131" s="316"/>
    </row>
    <row r="132" spans="1:8" s="1" customFormat="1" ht="15" customHeight="1">
      <c r="A132" s="291"/>
      <c r="B132" s="315"/>
      <c r="C132" s="291"/>
      <c r="D132" s="291"/>
      <c r="E132" s="316"/>
      <c r="F132" s="316"/>
      <c r="G132" s="316"/>
      <c r="H132" s="316"/>
    </row>
    <row r="133" spans="1:8" s="1" customFormat="1" ht="15" customHeight="1">
      <c r="A133" s="291"/>
      <c r="B133" s="315"/>
      <c r="C133" s="291"/>
      <c r="D133" s="291"/>
      <c r="E133" s="316"/>
      <c r="F133" s="316"/>
      <c r="G133" s="316"/>
      <c r="H133" s="316"/>
    </row>
    <row r="134" spans="1:8" s="1" customFormat="1" ht="15" customHeight="1">
      <c r="A134" s="291"/>
      <c r="B134" s="315"/>
      <c r="C134" s="291"/>
      <c r="D134" s="291"/>
      <c r="E134" s="316"/>
      <c r="F134" s="316"/>
      <c r="G134" s="316"/>
      <c r="H134" s="316"/>
    </row>
    <row r="135" spans="1:8" s="1" customFormat="1" ht="15" customHeight="1">
      <c r="A135" s="291"/>
      <c r="B135" s="315"/>
      <c r="C135" s="291"/>
      <c r="D135" s="291"/>
      <c r="E135" s="316"/>
      <c r="F135" s="316"/>
      <c r="G135" s="316"/>
      <c r="H135" s="316"/>
    </row>
    <row r="136" spans="1:8" s="1" customFormat="1" ht="15" customHeight="1">
      <c r="A136" s="291"/>
      <c r="B136" s="315"/>
      <c r="C136" s="291"/>
      <c r="D136" s="291"/>
      <c r="E136" s="316"/>
      <c r="F136" s="316"/>
      <c r="G136" s="316"/>
      <c r="H136" s="316"/>
    </row>
    <row r="137" spans="1:8" s="1" customFormat="1" ht="15" customHeight="1">
      <c r="A137" s="291"/>
      <c r="B137" s="315"/>
      <c r="C137" s="291"/>
      <c r="D137" s="291"/>
      <c r="E137" s="316"/>
      <c r="F137" s="316"/>
      <c r="G137" s="316"/>
      <c r="H137" s="316"/>
    </row>
    <row r="138" spans="1:8" s="1" customFormat="1" ht="15" customHeight="1">
      <c r="A138" s="291"/>
      <c r="B138" s="315"/>
      <c r="C138" s="291"/>
      <c r="D138" s="211"/>
      <c r="E138" s="316"/>
      <c r="F138" s="316"/>
      <c r="G138" s="316"/>
      <c r="H138" s="316"/>
    </row>
    <row r="139" spans="1:8" s="1" customFormat="1" ht="15" customHeight="1">
      <c r="A139" s="291"/>
      <c r="B139" s="315"/>
      <c r="C139" s="291"/>
      <c r="D139" s="291"/>
      <c r="E139" s="316"/>
      <c r="F139" s="316"/>
      <c r="G139" s="316"/>
      <c r="H139" s="316"/>
    </row>
    <row r="140" spans="1:8" s="1" customFormat="1" ht="15" customHeight="1">
      <c r="A140" s="291"/>
      <c r="B140" s="315"/>
      <c r="C140" s="291"/>
      <c r="D140" s="291"/>
      <c r="E140" s="316"/>
      <c r="F140" s="316"/>
      <c r="G140" s="316"/>
      <c r="H140" s="316"/>
    </row>
    <row r="141" spans="1:8" s="1" customFormat="1" ht="15" customHeight="1">
      <c r="A141" s="291"/>
      <c r="B141" s="315"/>
      <c r="C141" s="291"/>
      <c r="D141" s="291"/>
      <c r="E141" s="316"/>
      <c r="F141" s="316"/>
      <c r="G141" s="316"/>
      <c r="H141" s="316"/>
    </row>
    <row r="142" spans="1:8" s="1" customFormat="1" ht="15" customHeight="1">
      <c r="A142" s="291"/>
      <c r="B142" s="315"/>
      <c r="C142" s="291"/>
      <c r="D142" s="291"/>
      <c r="E142" s="316"/>
      <c r="F142" s="316"/>
      <c r="G142" s="317"/>
      <c r="H142" s="316"/>
    </row>
    <row r="143" spans="1:8" s="1" customFormat="1" ht="15" customHeight="1">
      <c r="A143" s="291"/>
      <c r="B143" s="315"/>
      <c r="C143" s="291"/>
      <c r="D143" s="291"/>
      <c r="E143" s="316"/>
      <c r="F143" s="316"/>
      <c r="G143" s="316"/>
      <c r="H143" s="316"/>
    </row>
    <row r="144" spans="1:8" s="1" customFormat="1" ht="15" customHeight="1">
      <c r="A144" s="291"/>
      <c r="B144" s="315"/>
      <c r="C144" s="291"/>
      <c r="D144" s="291"/>
      <c r="E144" s="316"/>
      <c r="F144" s="316"/>
      <c r="G144" s="316"/>
      <c r="H144" s="316"/>
    </row>
    <row r="145" spans="1:8" s="1" customFormat="1" ht="15" customHeight="1">
      <c r="A145" s="291"/>
      <c r="B145" s="315"/>
      <c r="C145" s="291"/>
      <c r="D145" s="291"/>
      <c r="E145" s="316"/>
      <c r="F145" s="316"/>
      <c r="G145" s="316"/>
      <c r="H145" s="316"/>
    </row>
    <row r="146" spans="1:8" s="1" customFormat="1" ht="15" customHeight="1">
      <c r="A146" s="291"/>
      <c r="B146" s="315"/>
      <c r="C146" s="291"/>
      <c r="D146" s="291"/>
      <c r="E146" s="316"/>
      <c r="F146" s="316"/>
      <c r="G146" s="316"/>
      <c r="H146" s="316"/>
    </row>
    <row r="147" spans="1:8" s="1" customFormat="1" ht="15" customHeight="1">
      <c r="A147" s="291"/>
      <c r="B147" s="315"/>
      <c r="C147" s="291"/>
      <c r="D147" s="291"/>
      <c r="E147" s="316"/>
      <c r="F147" s="316"/>
      <c r="G147" s="316"/>
      <c r="H147" s="316"/>
    </row>
    <row r="148" spans="1:8" s="1" customFormat="1" ht="15" customHeight="1">
      <c r="A148" s="291"/>
      <c r="B148" s="315"/>
      <c r="C148" s="291"/>
      <c r="D148" s="291"/>
      <c r="E148" s="316"/>
      <c r="F148" s="316"/>
      <c r="G148" s="316"/>
      <c r="H148" s="316"/>
    </row>
    <row r="149" spans="1:8" s="1" customFormat="1" ht="15" customHeight="1">
      <c r="A149" s="291"/>
      <c r="B149" s="315"/>
      <c r="C149" s="291"/>
      <c r="D149" s="291"/>
      <c r="E149" s="316"/>
      <c r="F149" s="316"/>
      <c r="G149" s="316"/>
      <c r="H149" s="316"/>
    </row>
    <row r="150" spans="1:8" s="1" customFormat="1" ht="15" customHeight="1">
      <c r="A150" s="291"/>
      <c r="B150" s="315"/>
      <c r="C150" s="291"/>
      <c r="D150" s="291"/>
      <c r="E150" s="316"/>
      <c r="F150" s="316"/>
      <c r="G150" s="316"/>
      <c r="H150" s="316"/>
    </row>
    <row r="151" spans="1:8" s="1" customFormat="1" ht="15" customHeight="1">
      <c r="A151" s="291"/>
      <c r="B151" s="315"/>
      <c r="C151" s="291"/>
      <c r="D151" s="291"/>
      <c r="E151" s="316"/>
      <c r="F151" s="316"/>
      <c r="G151" s="316"/>
      <c r="H151" s="316"/>
    </row>
    <row r="152" spans="1:8" s="1" customFormat="1" ht="15" customHeight="1">
      <c r="A152" s="291"/>
      <c r="B152" s="315"/>
      <c r="C152" s="291"/>
      <c r="D152" s="291"/>
      <c r="E152" s="316"/>
      <c r="F152" s="316"/>
      <c r="G152" s="316"/>
      <c r="H152" s="316"/>
    </row>
    <row r="153" spans="1:8" s="1" customFormat="1" ht="15" customHeight="1">
      <c r="A153" s="291"/>
      <c r="B153" s="315"/>
      <c r="C153" s="291"/>
      <c r="D153" s="291"/>
      <c r="E153" s="316"/>
      <c r="F153" s="316"/>
      <c r="G153" s="316"/>
      <c r="H153" s="316"/>
    </row>
    <row r="154" spans="1:8" s="1" customFormat="1" ht="15" customHeight="1">
      <c r="A154" s="291"/>
      <c r="B154" s="315"/>
      <c r="C154" s="291"/>
      <c r="D154" s="291"/>
      <c r="E154" s="316"/>
      <c r="F154" s="316"/>
      <c r="G154" s="316"/>
      <c r="H154" s="316"/>
    </row>
    <row r="155" spans="1:8" s="1" customFormat="1" ht="15" customHeight="1">
      <c r="A155" s="291"/>
      <c r="B155" s="315"/>
      <c r="C155" s="291"/>
      <c r="D155" s="291"/>
      <c r="E155" s="316"/>
      <c r="F155" s="316"/>
      <c r="G155" s="316"/>
      <c r="H155" s="316"/>
    </row>
    <row r="156" spans="1:8" s="1" customFormat="1" ht="15" customHeight="1">
      <c r="A156" s="291"/>
      <c r="B156" s="315"/>
      <c r="C156" s="291"/>
      <c r="D156" s="291"/>
      <c r="E156" s="316"/>
      <c r="F156" s="316"/>
      <c r="G156" s="316"/>
      <c r="H156" s="316"/>
    </row>
    <row r="157" spans="1:8" s="1" customFormat="1" ht="15" customHeight="1">
      <c r="A157" s="291"/>
      <c r="B157" s="315"/>
      <c r="C157" s="291"/>
      <c r="D157" s="291"/>
      <c r="E157" s="316"/>
      <c r="F157" s="316"/>
      <c r="G157" s="316"/>
      <c r="H157" s="316"/>
    </row>
    <row r="158" spans="1:8" s="1" customFormat="1" ht="15" customHeight="1">
      <c r="A158" s="291"/>
      <c r="B158" s="315"/>
      <c r="C158" s="291"/>
      <c r="D158" s="291"/>
      <c r="E158" s="316"/>
      <c r="F158" s="316"/>
      <c r="G158" s="316"/>
      <c r="H158" s="316"/>
    </row>
    <row r="159" spans="1:8" s="1" customFormat="1" ht="15" customHeight="1">
      <c r="A159" s="291"/>
      <c r="B159" s="315"/>
      <c r="C159" s="291"/>
      <c r="D159" s="291"/>
      <c r="E159" s="316"/>
      <c r="F159" s="316"/>
      <c r="G159" s="316"/>
      <c r="H159" s="316"/>
    </row>
    <row r="160" spans="1:8" s="1" customFormat="1" ht="15" customHeight="1">
      <c r="A160" s="291"/>
      <c r="B160" s="315"/>
      <c r="C160" s="291"/>
      <c r="D160" s="291"/>
      <c r="E160" s="316"/>
      <c r="F160" s="316"/>
      <c r="G160" s="316"/>
      <c r="H160" s="316"/>
    </row>
    <row r="161" spans="1:8" s="1" customFormat="1" ht="15" customHeight="1">
      <c r="A161" s="291"/>
      <c r="B161" s="315"/>
      <c r="C161" s="291"/>
      <c r="D161" s="291"/>
      <c r="E161" s="316"/>
      <c r="F161" s="316"/>
      <c r="G161" s="316"/>
      <c r="H161" s="316"/>
    </row>
    <row r="162" spans="1:8" s="1" customFormat="1" ht="15" customHeight="1">
      <c r="A162" s="291"/>
      <c r="B162" s="315"/>
      <c r="C162" s="291"/>
      <c r="D162" s="291"/>
      <c r="E162" s="316"/>
      <c r="F162" s="316"/>
      <c r="G162" s="316"/>
      <c r="H162" s="316"/>
    </row>
    <row r="163" spans="1:8" s="1" customFormat="1" ht="15" customHeight="1">
      <c r="A163" s="291"/>
      <c r="B163" s="315"/>
      <c r="C163" s="291"/>
      <c r="D163" s="291"/>
      <c r="E163" s="316"/>
      <c r="F163" s="316"/>
      <c r="G163" s="316"/>
      <c r="H163" s="316"/>
    </row>
    <row r="164" spans="1:8" s="1" customFormat="1" ht="15" customHeight="1">
      <c r="A164" s="291"/>
      <c r="B164" s="315"/>
      <c r="C164" s="291"/>
      <c r="D164" s="291"/>
      <c r="E164" s="316"/>
      <c r="F164" s="316"/>
      <c r="G164" s="316"/>
      <c r="H164" s="316"/>
    </row>
    <row r="165" spans="1:8" ht="15" customHeight="1"/>
    <row r="166" spans="1:8" ht="15" customHeight="1"/>
    <row r="167" spans="1:8" ht="15" customHeight="1"/>
    <row r="168" spans="1:8" ht="15" customHeight="1"/>
    <row r="169" spans="1:8" ht="15" customHeight="1"/>
    <row r="170" spans="1:8" ht="15" customHeight="1"/>
    <row r="171" spans="1:8" ht="15" customHeight="1"/>
    <row r="172" spans="1:8" ht="15" customHeight="1"/>
    <row r="173" spans="1:8" ht="15" customHeight="1"/>
    <row r="174" spans="1:8" ht="15" customHeight="1"/>
    <row r="175" spans="1:8" ht="15" customHeight="1"/>
    <row r="176" spans="1:8" ht="15" customHeight="1"/>
    <row r="177" ht="15" customHeight="1"/>
    <row r="178" ht="15" customHeight="1"/>
    <row r="179" ht="15" customHeight="1"/>
    <row r="180" ht="15" customHeight="1"/>
    <row r="181" ht="15" customHeight="1"/>
  </sheetData>
  <mergeCells count="14">
    <mergeCell ref="A126:A130"/>
    <mergeCell ref="A51:A65"/>
    <mergeCell ref="A66:A80"/>
    <mergeCell ref="A81:A95"/>
    <mergeCell ref="A96:A110"/>
    <mergeCell ref="A111:A125"/>
    <mergeCell ref="A31:A35"/>
    <mergeCell ref="A36:A50"/>
    <mergeCell ref="A2:D3"/>
    <mergeCell ref="A6:A10"/>
    <mergeCell ref="A11:A15"/>
    <mergeCell ref="A16:A20"/>
    <mergeCell ref="A21:A25"/>
    <mergeCell ref="A26:A30"/>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37">
    <tabColor rgb="FFFF0000"/>
  </sheetPr>
  <dimension ref="A1:G63"/>
  <sheetViews>
    <sheetView showGridLines="0" view="pageLayout" zoomScaleNormal="100" workbookViewId="0">
      <selection activeCell="H10" sqref="H10"/>
    </sheetView>
  </sheetViews>
  <sheetFormatPr baseColWidth="10" defaultColWidth="9.1640625" defaultRowHeight="15"/>
  <cols>
    <col min="1" max="1" width="16.33203125" customWidth="1"/>
    <col min="2" max="2" width="9.33203125" bestFit="1" customWidth="1"/>
    <col min="3" max="3" width="14.6640625" customWidth="1"/>
    <col min="4" max="4" width="5.33203125" customWidth="1"/>
    <col min="5" max="5" width="11.83203125" customWidth="1"/>
    <col min="6" max="6" width="12.83203125" customWidth="1"/>
    <col min="7" max="7" width="26.5" customWidth="1"/>
  </cols>
  <sheetData>
    <row r="1" spans="1:7" ht="21.75" customHeight="1"/>
    <row r="2" spans="1:7" s="1" customFormat="1" ht="15" customHeight="1">
      <c r="A2" s="1004" t="s">
        <v>28</v>
      </c>
      <c r="B2" s="1149"/>
      <c r="C2" s="1149"/>
      <c r="D2" s="1149"/>
      <c r="E2" s="3"/>
      <c r="F2" s="3"/>
      <c r="G2" s="3"/>
    </row>
    <row r="3" spans="1:7" s="1" customFormat="1" ht="15" customHeight="1">
      <c r="A3" s="1004"/>
      <c r="B3" s="1149"/>
      <c r="C3" s="1149"/>
      <c r="D3" s="1149"/>
      <c r="E3" s="3"/>
      <c r="F3" s="3"/>
      <c r="G3" s="3"/>
    </row>
    <row r="4" spans="1:7" s="1" customFormat="1" ht="9" customHeight="1">
      <c r="A4" s="24"/>
      <c r="B4" s="24"/>
      <c r="C4" s="24"/>
      <c r="D4" s="24"/>
      <c r="E4" s="3"/>
      <c r="F4" s="3"/>
      <c r="G4" s="3"/>
    </row>
    <row r="5" spans="1:7" s="1" customFormat="1" ht="13">
      <c r="A5" s="505" t="s">
        <v>204</v>
      </c>
      <c r="B5" s="407" t="s">
        <v>205</v>
      </c>
      <c r="C5" s="407" t="s">
        <v>206</v>
      </c>
      <c r="D5" s="407" t="s">
        <v>207</v>
      </c>
      <c r="E5" s="407" t="s">
        <v>208</v>
      </c>
      <c r="F5" s="407" t="s">
        <v>209</v>
      </c>
      <c r="G5" s="408" t="s">
        <v>210</v>
      </c>
    </row>
    <row r="6" spans="1:7" s="1" customFormat="1" ht="15" customHeight="1">
      <c r="A6" s="427"/>
      <c r="B6" s="793"/>
      <c r="C6" s="793"/>
      <c r="D6" s="793"/>
      <c r="E6" s="752"/>
      <c r="F6" s="759"/>
      <c r="G6" s="752"/>
    </row>
    <row r="7" spans="1:7" s="1" customFormat="1" ht="15" customHeight="1">
      <c r="A7" s="427"/>
      <c r="B7" s="793"/>
      <c r="C7" s="793"/>
      <c r="D7" s="793"/>
      <c r="E7" s="752"/>
      <c r="F7" s="759"/>
      <c r="G7" s="752"/>
    </row>
    <row r="8" spans="1:7" s="1" customFormat="1" ht="15" customHeight="1">
      <c r="A8" s="427"/>
      <c r="B8" s="793"/>
      <c r="C8" s="793"/>
      <c r="D8" s="793"/>
      <c r="E8" s="752"/>
      <c r="F8" s="759"/>
      <c r="G8" s="752"/>
    </row>
    <row r="9" spans="1:7" s="1" customFormat="1" ht="15" customHeight="1">
      <c r="A9" s="427"/>
      <c r="B9" s="793"/>
      <c r="C9" s="793"/>
      <c r="D9" s="793"/>
      <c r="E9" s="752"/>
      <c r="F9" s="759"/>
      <c r="G9" s="752"/>
    </row>
    <row r="10" spans="1:7" s="1" customFormat="1" ht="15" customHeight="1">
      <c r="A10" s="427"/>
      <c r="B10" s="793"/>
      <c r="C10" s="793"/>
      <c r="D10" s="793"/>
      <c r="E10" s="752"/>
      <c r="F10" s="759"/>
      <c r="G10" s="752"/>
    </row>
    <row r="11" spans="1:7" s="1" customFormat="1" ht="15" customHeight="1">
      <c r="A11" s="427"/>
      <c r="B11" s="793"/>
      <c r="C11" s="793"/>
      <c r="D11" s="793"/>
      <c r="E11" s="752"/>
      <c r="F11" s="759"/>
      <c r="G11" s="793"/>
    </row>
    <row r="12" spans="1:7" s="1" customFormat="1" ht="15" customHeight="1">
      <c r="A12" s="24"/>
      <c r="B12" s="24"/>
      <c r="C12" s="24"/>
      <c r="D12" s="24"/>
      <c r="E12" s="3"/>
      <c r="F12" s="3"/>
      <c r="G12" s="3"/>
    </row>
    <row r="13" spans="1:7" s="1" customFormat="1" ht="15" customHeight="1">
      <c r="A13" s="24"/>
      <c r="B13" s="24"/>
      <c r="C13" s="24"/>
      <c r="D13" s="24"/>
      <c r="E13" s="3"/>
      <c r="F13" s="3"/>
      <c r="G13" s="3"/>
    </row>
    <row r="14" spans="1:7" s="1" customFormat="1" ht="15" customHeight="1">
      <c r="A14" s="24"/>
      <c r="B14" s="24"/>
      <c r="C14" s="24"/>
      <c r="D14" s="24"/>
      <c r="E14" s="3"/>
      <c r="F14" s="3"/>
      <c r="G14" s="3"/>
    </row>
    <row r="15" spans="1:7" s="1" customFormat="1" ht="15" customHeight="1">
      <c r="A15" s="24"/>
      <c r="B15" s="24"/>
      <c r="C15" s="24"/>
      <c r="D15" s="24"/>
      <c r="E15" s="3"/>
      <c r="F15" s="3"/>
      <c r="G15" s="3"/>
    </row>
    <row r="16" spans="1:7" s="1" customFormat="1" ht="15" customHeight="1">
      <c r="A16" s="24"/>
      <c r="B16" s="24"/>
      <c r="C16" s="24"/>
      <c r="D16" s="24"/>
      <c r="E16" s="3"/>
      <c r="F16" s="3"/>
      <c r="G16" s="3"/>
    </row>
    <row r="17" spans="1:7" s="1" customFormat="1" ht="15" customHeight="1">
      <c r="A17" s="24"/>
      <c r="B17" s="24"/>
      <c r="C17" s="24"/>
      <c r="D17" s="24"/>
      <c r="E17" s="3"/>
      <c r="F17" s="3"/>
      <c r="G17" s="3"/>
    </row>
    <row r="18" spans="1:7" s="1" customFormat="1" ht="15" customHeight="1">
      <c r="A18" s="24"/>
      <c r="B18" s="24"/>
      <c r="C18" s="24"/>
      <c r="D18" s="24"/>
      <c r="E18" s="3"/>
      <c r="F18" s="3"/>
      <c r="G18" s="3"/>
    </row>
    <row r="19" spans="1:7" s="1" customFormat="1" ht="15" customHeight="1">
      <c r="A19" s="24"/>
      <c r="B19" s="24"/>
      <c r="C19" s="24"/>
      <c r="D19" s="24"/>
      <c r="E19" s="3"/>
      <c r="F19" s="3"/>
      <c r="G19" s="3"/>
    </row>
    <row r="20" spans="1:7" s="1" customFormat="1" ht="15" customHeight="1">
      <c r="A20" s="24"/>
      <c r="B20" s="24"/>
      <c r="C20" s="24"/>
      <c r="D20" s="24"/>
      <c r="E20" s="3"/>
      <c r="F20" s="3"/>
      <c r="G20" s="3"/>
    </row>
    <row r="21" spans="1:7" s="1" customFormat="1" ht="15" customHeight="1">
      <c r="A21" s="24"/>
      <c r="B21" s="24"/>
      <c r="C21" s="24"/>
      <c r="D21" s="24"/>
      <c r="E21" s="3"/>
      <c r="F21" s="3"/>
      <c r="G21" s="3"/>
    </row>
    <row r="22" spans="1:7" s="1" customFormat="1" ht="15" customHeight="1">
      <c r="A22" s="24"/>
      <c r="B22" s="24"/>
      <c r="C22" s="211"/>
      <c r="D22" s="24"/>
      <c r="E22" s="3"/>
      <c r="F22" s="3"/>
      <c r="G22" s="3"/>
    </row>
    <row r="23" spans="1:7" s="1" customFormat="1" ht="15" customHeight="1">
      <c r="A23" s="24"/>
      <c r="B23" s="24"/>
      <c r="C23" s="24"/>
      <c r="D23" s="24"/>
      <c r="E23" s="3"/>
      <c r="F23" s="3"/>
      <c r="G23" s="3"/>
    </row>
    <row r="24" spans="1:7" s="1" customFormat="1" ht="15" customHeight="1">
      <c r="A24" s="24"/>
      <c r="B24" s="24"/>
      <c r="C24" s="24"/>
      <c r="D24" s="24"/>
      <c r="E24" s="3"/>
      <c r="F24" s="3"/>
      <c r="G24" s="3"/>
    </row>
    <row r="25" spans="1:7" s="1" customFormat="1" ht="15" customHeight="1">
      <c r="A25" s="24"/>
      <c r="B25" s="24"/>
      <c r="C25" s="24"/>
      <c r="D25" s="24"/>
      <c r="E25" s="3"/>
      <c r="F25" s="3"/>
      <c r="G25" s="3"/>
    </row>
    <row r="26" spans="1:7" s="1" customFormat="1" ht="15" customHeight="1">
      <c r="A26" s="24"/>
      <c r="B26" s="24"/>
      <c r="C26" s="24"/>
      <c r="D26" s="24"/>
      <c r="E26" s="3"/>
      <c r="F26" s="3"/>
      <c r="G26" s="3"/>
    </row>
    <row r="27" spans="1:7" s="1" customFormat="1" ht="20">
      <c r="A27" s="24"/>
      <c r="B27" s="24"/>
      <c r="C27" s="24"/>
      <c r="D27" s="24"/>
      <c r="E27" s="3"/>
      <c r="F27" s="3"/>
      <c r="G27" s="3"/>
    </row>
    <row r="28" spans="1:7" s="1" customFormat="1" ht="15" customHeight="1">
      <c r="A28" s="24"/>
      <c r="B28" s="24"/>
      <c r="C28" s="24"/>
      <c r="D28" s="24"/>
      <c r="E28" s="3"/>
      <c r="F28" s="3"/>
      <c r="G28" s="3"/>
    </row>
    <row r="29" spans="1:7" s="1" customFormat="1" ht="15" customHeight="1">
      <c r="A29" s="24"/>
      <c r="B29" s="24"/>
      <c r="C29" s="24"/>
      <c r="D29" s="24"/>
      <c r="E29" s="3"/>
      <c r="F29" s="3"/>
      <c r="G29" s="3"/>
    </row>
    <row r="30" spans="1:7" s="1" customFormat="1" ht="15" customHeight="1">
      <c r="A30" s="24"/>
      <c r="B30" s="24"/>
      <c r="C30" s="24"/>
      <c r="D30" s="24"/>
      <c r="E30" s="3"/>
      <c r="F30" s="3"/>
      <c r="G30" s="3"/>
    </row>
    <row r="31" spans="1:7" s="1" customFormat="1" ht="15" customHeight="1">
      <c r="A31" s="24"/>
      <c r="B31" s="24"/>
      <c r="C31" s="24"/>
      <c r="D31" s="24"/>
      <c r="E31" s="3"/>
      <c r="F31" s="3"/>
      <c r="G31" s="3"/>
    </row>
    <row r="32" spans="1:7" s="1" customFormat="1" ht="15" customHeight="1">
      <c r="A32" s="24"/>
      <c r="B32" s="24"/>
      <c r="C32" s="24"/>
      <c r="D32" s="24"/>
      <c r="E32" s="3"/>
      <c r="F32" s="3"/>
      <c r="G32" s="3"/>
    </row>
    <row r="33" spans="1:7" s="1" customFormat="1" ht="15" customHeight="1">
      <c r="A33" s="24"/>
      <c r="B33" s="24"/>
      <c r="C33" s="24"/>
      <c r="D33" s="24"/>
      <c r="E33" s="3"/>
      <c r="F33" s="3"/>
      <c r="G33" s="3"/>
    </row>
    <row r="34" spans="1:7" s="1" customFormat="1" ht="15" customHeight="1">
      <c r="A34" s="24"/>
      <c r="B34" s="24"/>
      <c r="C34" s="24"/>
      <c r="D34" s="24"/>
      <c r="E34" s="3"/>
      <c r="F34" s="3"/>
      <c r="G34" s="3"/>
    </row>
    <row r="35" spans="1:7" s="1" customFormat="1" ht="15" customHeight="1">
      <c r="A35" s="24"/>
      <c r="B35" s="24"/>
      <c r="C35" s="24"/>
      <c r="D35" s="24"/>
      <c r="E35" s="3"/>
      <c r="F35" s="3"/>
      <c r="G35" s="3"/>
    </row>
    <row r="36" spans="1:7" s="1" customFormat="1" ht="15" customHeight="1">
      <c r="A36" s="24"/>
      <c r="B36" s="24"/>
      <c r="C36" s="24"/>
      <c r="D36" s="24"/>
      <c r="E36" s="3"/>
      <c r="F36" s="3"/>
      <c r="G36" s="3"/>
    </row>
    <row r="37" spans="1:7" s="1" customFormat="1" ht="15" customHeight="1">
      <c r="A37" s="24"/>
      <c r="B37" s="24"/>
      <c r="C37" s="24"/>
      <c r="D37" s="24"/>
      <c r="E37" s="3"/>
      <c r="F37" s="3"/>
      <c r="G37" s="3"/>
    </row>
    <row r="38" spans="1:7" s="1" customFormat="1" ht="15" customHeight="1">
      <c r="A38" s="24"/>
      <c r="B38" s="24"/>
      <c r="C38" s="24"/>
      <c r="D38" s="24"/>
      <c r="E38" s="3"/>
      <c r="F38" s="3"/>
      <c r="G38" s="3"/>
    </row>
    <row r="39" spans="1:7" s="1" customFormat="1" ht="15" customHeight="1">
      <c r="A39" s="24"/>
      <c r="B39" s="24"/>
      <c r="C39" s="24"/>
      <c r="D39" s="24"/>
      <c r="E39" s="3"/>
      <c r="F39" s="3"/>
      <c r="G39" s="3"/>
    </row>
    <row r="40" spans="1:7" s="1" customFormat="1" ht="15" customHeight="1">
      <c r="A40" s="24"/>
      <c r="B40" s="24"/>
      <c r="C40" s="24"/>
      <c r="D40" s="24"/>
      <c r="E40" s="3"/>
      <c r="F40" s="3"/>
      <c r="G40" s="3"/>
    </row>
    <row r="41" spans="1:7" s="1" customFormat="1" ht="15" customHeight="1">
      <c r="A41" s="24"/>
      <c r="B41" s="24"/>
      <c r="C41" s="24"/>
      <c r="D41" s="24"/>
      <c r="E41" s="3"/>
      <c r="F41" s="3"/>
      <c r="G41" s="3"/>
    </row>
    <row r="42" spans="1:7" s="1" customFormat="1" ht="15" customHeight="1">
      <c r="A42" s="24"/>
      <c r="B42" s="24"/>
      <c r="C42" s="24"/>
      <c r="D42" s="24"/>
      <c r="E42" s="3"/>
      <c r="F42" s="3"/>
      <c r="G42" s="3"/>
    </row>
    <row r="43" spans="1:7" s="1" customFormat="1" ht="15" customHeight="1">
      <c r="A43" s="24"/>
      <c r="B43" s="24"/>
      <c r="C43" s="24"/>
      <c r="D43" s="24"/>
      <c r="E43" s="3"/>
      <c r="F43" s="3"/>
      <c r="G43" s="3"/>
    </row>
    <row r="44" spans="1:7" s="1" customFormat="1" ht="15" customHeight="1">
      <c r="A44" s="24"/>
      <c r="B44" s="24"/>
      <c r="C44" s="24"/>
      <c r="D44" s="24"/>
      <c r="E44" s="3"/>
      <c r="F44" s="3"/>
      <c r="G44" s="3"/>
    </row>
    <row r="45" spans="1:7" s="1" customFormat="1" ht="15" customHeight="1">
      <c r="A45" s="24"/>
      <c r="B45" s="24"/>
      <c r="C45" s="24"/>
      <c r="D45" s="24"/>
      <c r="E45" s="3"/>
      <c r="F45" s="3"/>
      <c r="G45" s="3"/>
    </row>
    <row r="46" spans="1:7" s="1" customFormat="1" ht="15" customHeight="1">
      <c r="A46" s="24"/>
      <c r="B46" s="24"/>
      <c r="C46" s="24"/>
      <c r="D46" s="24"/>
      <c r="E46" s="3"/>
      <c r="F46" s="3"/>
      <c r="G46" s="3"/>
    </row>
    <row r="47" spans="1:7" ht="15" customHeight="1"/>
    <row r="48" spans="1:7"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sheetData>
  <mergeCells count="1">
    <mergeCell ref="A2:D3"/>
  </mergeCells>
  <pageMargins left="0.405092592592593" right="0.47453703703703698" top="0.55118110236220497" bottom="0.94488188976377996" header="0.31496062992126" footer="0.31496062992126"/>
  <pageSetup fitToHeight="0" orientation="portrait" r:id="rId1"/>
  <headerFooter scaleWithDoc="0">
    <oddHeader>&amp;C&amp;G</oddHeader>
    <oddFooter>&amp;C&amp;G&amp;R&amp;P</oddFooter>
  </headerFooter>
  <legacyDrawingHF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59">
    <tabColor rgb="FFFF0000"/>
  </sheetPr>
  <dimension ref="A1:C46"/>
  <sheetViews>
    <sheetView showGridLines="0" view="pageLayout" topLeftCell="A34" zoomScale="95" zoomScaleNormal="100" zoomScalePageLayoutView="95" workbookViewId="0">
      <selection activeCell="H10" sqref="H10"/>
    </sheetView>
  </sheetViews>
  <sheetFormatPr baseColWidth="10" defaultColWidth="9.1640625" defaultRowHeight="15"/>
  <cols>
    <col min="1" max="1" width="27.1640625" style="63" customWidth="1"/>
    <col min="2" max="3" width="33.1640625" style="63" customWidth="1"/>
    <col min="4" max="16384" width="9.1640625" style="364"/>
  </cols>
  <sheetData>
    <row r="1" spans="1:3" ht="21" customHeight="1">
      <c r="A1" s="364"/>
      <c r="B1" s="364"/>
      <c r="C1" s="364"/>
    </row>
    <row r="2" spans="1:3" s="1" customFormat="1" ht="15" customHeight="1">
      <c r="A2" s="1004" t="s">
        <v>871</v>
      </c>
      <c r="B2" s="1004"/>
      <c r="C2" s="919"/>
    </row>
    <row r="3" spans="1:3" s="1" customFormat="1" ht="15" customHeight="1">
      <c r="A3" s="1004"/>
      <c r="B3" s="1004"/>
      <c r="C3" s="919"/>
    </row>
    <row r="4" spans="1:3" s="1" customFormat="1" ht="3.5" customHeight="1">
      <c r="A4" s="207"/>
      <c r="B4" s="207"/>
      <c r="C4" s="48"/>
    </row>
    <row r="5" spans="1:3" s="1" customFormat="1" ht="45.5" customHeight="1">
      <c r="A5" s="1288" t="s">
        <v>872</v>
      </c>
      <c r="B5" s="1289"/>
      <c r="C5" s="1289"/>
    </row>
    <row r="6" spans="1:3" s="1" customFormat="1" ht="3.5" customHeight="1">
      <c r="A6" s="922"/>
      <c r="B6" s="923"/>
      <c r="C6" s="923"/>
    </row>
    <row r="7" spans="1:3" s="1" customFormat="1" ht="15" customHeight="1">
      <c r="A7" s="924" t="s">
        <v>873</v>
      </c>
      <c r="B7" s="921"/>
      <c r="C7" s="921"/>
    </row>
    <row r="8" spans="1:3" s="1" customFormat="1" ht="25" customHeight="1">
      <c r="A8" s="1291" t="s">
        <v>875</v>
      </c>
      <c r="B8" s="1291"/>
      <c r="C8" s="1291"/>
    </row>
    <row r="9" spans="1:3" s="1" customFormat="1" ht="3.5" customHeight="1">
      <c r="A9" s="922"/>
      <c r="B9" s="923"/>
      <c r="C9" s="925"/>
    </row>
    <row r="10" spans="1:3" s="1" customFormat="1" ht="15" customHeight="1">
      <c r="A10" s="924" t="s">
        <v>874</v>
      </c>
      <c r="B10" s="921"/>
      <c r="C10" s="921"/>
    </row>
    <row r="11" spans="1:3" s="1" customFormat="1" ht="32.5" customHeight="1">
      <c r="A11" s="1290" t="s">
        <v>876</v>
      </c>
      <c r="B11" s="1290"/>
      <c r="C11" s="1290"/>
    </row>
    <row r="12" spans="1:3" s="1" customFormat="1" ht="13.5" customHeight="1">
      <c r="A12" s="1290" t="s">
        <v>909</v>
      </c>
      <c r="B12" s="1290"/>
      <c r="C12" s="1290"/>
    </row>
    <row r="13" spans="1:3" s="1" customFormat="1" ht="3.5" customHeight="1">
      <c r="A13" s="922"/>
      <c r="B13" s="923"/>
      <c r="C13" s="923"/>
    </row>
    <row r="14" spans="1:3" s="1" customFormat="1" ht="15" customHeight="1">
      <c r="A14" s="924" t="s">
        <v>877</v>
      </c>
      <c r="B14" s="921"/>
      <c r="C14" s="921"/>
    </row>
    <row r="15" spans="1:3" s="1" customFormat="1" ht="13.5" customHeight="1">
      <c r="A15" s="1290" t="s">
        <v>878</v>
      </c>
      <c r="B15" s="1290"/>
      <c r="C15" s="1290"/>
    </row>
    <row r="16" spans="1:3" s="1" customFormat="1" ht="13.5" customHeight="1">
      <c r="A16" s="1290" t="s">
        <v>879</v>
      </c>
      <c r="B16" s="1290"/>
      <c r="C16" s="1290"/>
    </row>
    <row r="17" spans="1:3" s="1" customFormat="1" ht="4.5" customHeight="1">
      <c r="A17" s="922"/>
      <c r="B17" s="923"/>
      <c r="C17" s="925"/>
    </row>
    <row r="18" spans="1:3" s="1" customFormat="1" ht="15" customHeight="1">
      <c r="A18" s="924" t="s">
        <v>880</v>
      </c>
      <c r="B18" s="921"/>
      <c r="C18" s="921"/>
    </row>
    <row r="19" spans="1:3" s="1" customFormat="1" ht="13.5" customHeight="1">
      <c r="A19" s="1290" t="s">
        <v>881</v>
      </c>
      <c r="B19" s="1290"/>
      <c r="C19" s="1290"/>
    </row>
    <row r="20" spans="1:3" s="1" customFormat="1" ht="13.5" customHeight="1">
      <c r="A20" s="1290" t="s">
        <v>882</v>
      </c>
      <c r="B20" s="1290"/>
      <c r="C20" s="1290"/>
    </row>
    <row r="21" spans="1:3" s="1" customFormat="1" ht="3.5" customHeight="1">
      <c r="A21" s="922"/>
      <c r="B21" s="923"/>
      <c r="C21" s="925"/>
    </row>
    <row r="22" spans="1:3" s="1" customFormat="1" ht="15" customHeight="1">
      <c r="A22" s="924" t="s">
        <v>883</v>
      </c>
      <c r="B22" s="921"/>
      <c r="C22" s="921"/>
    </row>
    <row r="23" spans="1:3" s="1" customFormat="1" ht="13.5" customHeight="1">
      <c r="A23" s="1290" t="s">
        <v>884</v>
      </c>
      <c r="B23" s="1290"/>
      <c r="C23" s="1290"/>
    </row>
    <row r="24" spans="1:3" s="1" customFormat="1" ht="13.5" customHeight="1">
      <c r="A24" s="1290" t="s">
        <v>885</v>
      </c>
      <c r="B24" s="1290"/>
      <c r="C24" s="1290"/>
    </row>
    <row r="25" spans="1:3" s="1" customFormat="1" ht="13.5" customHeight="1">
      <c r="A25" s="1290" t="s">
        <v>886</v>
      </c>
      <c r="B25" s="1290"/>
      <c r="C25" s="1290"/>
    </row>
    <row r="26" spans="1:3" s="1" customFormat="1" ht="3.5" customHeight="1">
      <c r="A26" s="922"/>
      <c r="B26" s="923"/>
      <c r="C26" s="925"/>
    </row>
    <row r="27" spans="1:3" s="1" customFormat="1" ht="15.75" customHeight="1">
      <c r="A27" s="926" t="s">
        <v>887</v>
      </c>
      <c r="B27" s="921"/>
      <c r="C27" s="921"/>
    </row>
    <row r="28" spans="1:3" s="1" customFormat="1" ht="39.5" customHeight="1">
      <c r="A28" s="1297" t="s">
        <v>907</v>
      </c>
      <c r="B28" s="1297"/>
      <c r="C28" s="1297"/>
    </row>
    <row r="29" spans="1:3" ht="13.5" customHeight="1">
      <c r="A29" s="1295" t="s">
        <v>908</v>
      </c>
      <c r="B29" s="1295"/>
      <c r="C29" s="1295"/>
    </row>
    <row r="30" spans="1:3" s="1" customFormat="1" ht="3.5" customHeight="1">
      <c r="A30" s="922"/>
      <c r="B30" s="923"/>
      <c r="C30" s="925"/>
    </row>
    <row r="31" spans="1:3" s="1" customFormat="1" ht="15" customHeight="1">
      <c r="A31" s="1296" t="s">
        <v>888</v>
      </c>
      <c r="B31" s="1296"/>
      <c r="C31" s="1296"/>
    </row>
    <row r="32" spans="1:3" s="1" customFormat="1" ht="13.5" customHeight="1">
      <c r="A32" s="1290" t="s">
        <v>889</v>
      </c>
      <c r="B32" s="1290"/>
      <c r="C32" s="1290"/>
    </row>
    <row r="33" spans="1:3" s="1" customFormat="1" ht="25" customHeight="1">
      <c r="A33" s="1290" t="s">
        <v>913</v>
      </c>
      <c r="B33" s="1290"/>
      <c r="C33" s="1290"/>
    </row>
    <row r="34" spans="1:3" s="1" customFormat="1" ht="3.5" customHeight="1">
      <c r="A34" s="922"/>
      <c r="B34" s="923"/>
      <c r="C34" s="925"/>
    </row>
    <row r="35" spans="1:3" s="1" customFormat="1" ht="15" customHeight="1">
      <c r="A35" s="926" t="s">
        <v>890</v>
      </c>
      <c r="B35" s="921"/>
      <c r="C35" s="921"/>
    </row>
    <row r="36" spans="1:3" s="1" customFormat="1" ht="13.5" customHeight="1">
      <c r="A36" s="1293" t="s">
        <v>891</v>
      </c>
      <c r="B36" s="1294"/>
      <c r="C36" s="1294"/>
    </row>
    <row r="37" spans="1:3" ht="13.5" customHeight="1">
      <c r="A37" s="1290" t="s">
        <v>892</v>
      </c>
      <c r="B37" s="1290"/>
      <c r="C37" s="1290"/>
    </row>
    <row r="38" spans="1:3" ht="3.5" customHeight="1">
      <c r="A38" s="927"/>
      <c r="B38" s="927"/>
      <c r="C38" s="927"/>
    </row>
    <row r="39" spans="1:3">
      <c r="A39" s="926" t="s">
        <v>910</v>
      </c>
      <c r="B39" s="921"/>
      <c r="C39" s="921"/>
    </row>
    <row r="40" spans="1:3" ht="13.5" customHeight="1">
      <c r="A40" s="1293" t="s">
        <v>893</v>
      </c>
      <c r="B40" s="1294"/>
      <c r="C40" s="1294"/>
    </row>
    <row r="41" spans="1:3" ht="13.5" customHeight="1">
      <c r="A41" s="1290" t="s">
        <v>894</v>
      </c>
      <c r="B41" s="1290"/>
      <c r="C41" s="1290"/>
    </row>
    <row r="42" spans="1:3" ht="3.5" customHeight="1">
      <c r="A42" s="927"/>
      <c r="B42" s="927"/>
      <c r="C42" s="927"/>
    </row>
    <row r="43" spans="1:3">
      <c r="A43" s="926" t="s">
        <v>895</v>
      </c>
      <c r="B43" s="921"/>
      <c r="C43" s="921"/>
    </row>
    <row r="44" spans="1:3" ht="27.5" customHeight="1">
      <c r="A44" s="1292" t="s">
        <v>896</v>
      </c>
      <c r="B44" s="1292"/>
      <c r="C44" s="1292"/>
    </row>
    <row r="45" spans="1:3" ht="3.5" customHeight="1">
      <c r="A45" s="928"/>
      <c r="B45" s="928"/>
      <c r="C45" s="928"/>
    </row>
    <row r="46" spans="1:3" ht="72.5" customHeight="1"/>
  </sheetData>
  <mergeCells count="22">
    <mergeCell ref="A16:C16"/>
    <mergeCell ref="A19:C19"/>
    <mergeCell ref="A20:C20"/>
    <mergeCell ref="A23:C23"/>
    <mergeCell ref="A28:C28"/>
    <mergeCell ref="A44:C44"/>
    <mergeCell ref="A37:C37"/>
    <mergeCell ref="A40:C40"/>
    <mergeCell ref="A41:C41"/>
    <mergeCell ref="A24:C24"/>
    <mergeCell ref="A25:C25"/>
    <mergeCell ref="A36:C36"/>
    <mergeCell ref="A29:C29"/>
    <mergeCell ref="A31:C31"/>
    <mergeCell ref="A32:C32"/>
    <mergeCell ref="A33:C33"/>
    <mergeCell ref="A2:B3"/>
    <mergeCell ref="A5:C5"/>
    <mergeCell ref="A11:C11"/>
    <mergeCell ref="A12:C12"/>
    <mergeCell ref="A15:C15"/>
    <mergeCell ref="A8:C8"/>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76">
    <tabColor rgb="FFFF0000"/>
  </sheetPr>
  <dimension ref="A1:C23"/>
  <sheetViews>
    <sheetView showGridLines="0" view="pageLayout" zoomScale="95" zoomScaleNormal="100" zoomScalePageLayoutView="95" workbookViewId="0">
      <selection activeCell="H10" sqref="H10"/>
    </sheetView>
  </sheetViews>
  <sheetFormatPr baseColWidth="10" defaultColWidth="9.1640625" defaultRowHeight="15"/>
  <cols>
    <col min="1" max="1" width="27.1640625" style="63" customWidth="1"/>
    <col min="2" max="3" width="33.1640625" style="63" customWidth="1"/>
    <col min="4" max="16384" width="9.1640625" style="364"/>
  </cols>
  <sheetData>
    <row r="1" spans="1:3" ht="21" customHeight="1">
      <c r="A1" s="364"/>
      <c r="B1" s="364"/>
      <c r="C1" s="364"/>
    </row>
    <row r="2" spans="1:3" s="1" customFormat="1" ht="15" customHeight="1">
      <c r="A2" s="1004" t="s">
        <v>924</v>
      </c>
      <c r="B2" s="1004"/>
      <c r="C2" s="944"/>
    </row>
    <row r="3" spans="1:3" s="1" customFormat="1" ht="15" customHeight="1">
      <c r="A3" s="1004"/>
      <c r="B3" s="1004"/>
      <c r="C3" s="944"/>
    </row>
    <row r="4" spans="1:3" s="1" customFormat="1" ht="3.5" customHeight="1">
      <c r="A4" s="207"/>
      <c r="B4" s="207"/>
      <c r="C4" s="48"/>
    </row>
    <row r="5" spans="1:3" ht="3.5" customHeight="1">
      <c r="A5" s="945"/>
      <c r="B5" s="945"/>
      <c r="C5" s="945"/>
    </row>
    <row r="6" spans="1:3" ht="9.5" customHeight="1"/>
    <row r="7" spans="1:3" ht="14.5" customHeight="1">
      <c r="A7" s="926" t="s">
        <v>897</v>
      </c>
      <c r="B7" s="921"/>
      <c r="C7" s="921"/>
    </row>
    <row r="8" spans="1:3" ht="27" customHeight="1">
      <c r="A8" s="1297" t="s">
        <v>898</v>
      </c>
      <c r="B8" s="1298"/>
      <c r="C8" s="1298"/>
    </row>
    <row r="9" spans="1:3" ht="27.5" customHeight="1">
      <c r="A9" s="1290" t="s">
        <v>899</v>
      </c>
      <c r="B9" s="1290"/>
      <c r="C9" s="1290"/>
    </row>
    <row r="10" spans="1:3" ht="3.5" customHeight="1">
      <c r="A10" s="927"/>
      <c r="B10" s="927"/>
      <c r="C10" s="927"/>
    </row>
    <row r="11" spans="1:3">
      <c r="A11" s="926" t="s">
        <v>490</v>
      </c>
      <c r="B11" s="921"/>
      <c r="C11" s="921"/>
    </row>
    <row r="12" spans="1:3" ht="46" customHeight="1">
      <c r="A12" s="1297" t="s">
        <v>904</v>
      </c>
      <c r="B12" s="1298"/>
      <c r="C12" s="1298"/>
    </row>
    <row r="13" spans="1:3" ht="13.5" customHeight="1">
      <c r="A13" s="1290" t="s">
        <v>911</v>
      </c>
      <c r="B13" s="1290"/>
      <c r="C13" s="1290"/>
    </row>
    <row r="14" spans="1:3" ht="3.5" customHeight="1">
      <c r="A14" s="945"/>
      <c r="B14" s="945"/>
      <c r="C14" s="945"/>
    </row>
    <row r="15" spans="1:3">
      <c r="A15" s="926" t="s">
        <v>905</v>
      </c>
      <c r="B15" s="921"/>
      <c r="C15" s="921"/>
    </row>
    <row r="16" spans="1:3" ht="22.5" customHeight="1">
      <c r="A16" s="1297" t="s">
        <v>912</v>
      </c>
      <c r="B16" s="1298"/>
      <c r="C16" s="1298"/>
    </row>
    <row r="17" spans="1:3" ht="25" customHeight="1">
      <c r="A17" s="1290" t="s">
        <v>900</v>
      </c>
      <c r="B17" s="1290"/>
      <c r="C17" s="1290"/>
    </row>
    <row r="18" spans="1:3" ht="3.5" customHeight="1">
      <c r="A18" s="945"/>
      <c r="B18" s="945"/>
      <c r="C18" s="945"/>
    </row>
    <row r="19" spans="1:3">
      <c r="A19" s="926" t="s">
        <v>906</v>
      </c>
      <c r="B19" s="921"/>
      <c r="C19" s="921"/>
    </row>
    <row r="20" spans="1:3" ht="43" customHeight="1">
      <c r="A20" s="1297" t="s">
        <v>901</v>
      </c>
      <c r="B20" s="1298"/>
      <c r="C20" s="1298"/>
    </row>
    <row r="21" spans="1:3" ht="3.5" customHeight="1">
      <c r="A21" s="1290"/>
      <c r="B21" s="1290"/>
      <c r="C21" s="1290"/>
    </row>
    <row r="22" spans="1:3">
      <c r="A22" s="926" t="s">
        <v>902</v>
      </c>
      <c r="B22" s="921"/>
      <c r="C22" s="921"/>
    </row>
    <row r="23" spans="1:3" ht="13.5" customHeight="1">
      <c r="A23" s="1297" t="s">
        <v>903</v>
      </c>
      <c r="B23" s="1298"/>
      <c r="C23" s="1298"/>
    </row>
  </sheetData>
  <mergeCells count="10">
    <mergeCell ref="A8:C8"/>
    <mergeCell ref="A9:C9"/>
    <mergeCell ref="A2:B3"/>
    <mergeCell ref="A23:C23"/>
    <mergeCell ref="A12:C12"/>
    <mergeCell ref="A13:C13"/>
    <mergeCell ref="A16:C16"/>
    <mergeCell ref="A17:C17"/>
    <mergeCell ref="A20:C20"/>
    <mergeCell ref="A21:C21"/>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8">
    <tabColor rgb="FFFF0000"/>
  </sheetPr>
  <dimension ref="A1:G57"/>
  <sheetViews>
    <sheetView showGridLines="0" view="pageLayout" zoomScaleNormal="100" workbookViewId="0">
      <selection activeCell="H10" sqref="H10"/>
    </sheetView>
  </sheetViews>
  <sheetFormatPr baseColWidth="10" defaultColWidth="9.1640625" defaultRowHeight="15"/>
  <cols>
    <col min="1" max="7" width="13.83203125" customWidth="1"/>
  </cols>
  <sheetData>
    <row r="1" spans="1:7" ht="24.75" customHeight="1"/>
    <row r="2" spans="1:7" s="1" customFormat="1" ht="15" customHeight="1">
      <c r="A2" s="1228" t="s">
        <v>600</v>
      </c>
      <c r="B2" s="1149"/>
      <c r="C2" s="1149"/>
      <c r="D2" s="1149"/>
      <c r="E2" s="1149"/>
      <c r="F2" s="1149"/>
      <c r="G2" s="1149"/>
    </row>
    <row r="3" spans="1:7" s="1" customFormat="1" ht="15" customHeight="1">
      <c r="A3" s="1228"/>
      <c r="B3" s="1149"/>
      <c r="C3" s="1149"/>
      <c r="D3" s="1149"/>
      <c r="E3" s="1149"/>
      <c r="F3" s="1149"/>
      <c r="G3" s="1149"/>
    </row>
    <row r="4" spans="1:7" s="1" customFormat="1" ht="15" customHeight="1"/>
    <row r="5" spans="1:7" s="1" customFormat="1" ht="56.25" customHeight="1">
      <c r="A5" s="1299" t="str">
        <f>"As Agent of Record for "&amp;GroupName&amp;" on your Group Benefits program(s), NFP Canada is compensated through commissions’ payable by your insurance carrier(s). As of "&amp;RenewalDate&amp;", the commissions earned by NFP are "&amp;TEXT('Revenue Reporting (2)'!M52*100,"0")&amp;"% of premium or approximately "&amp;DOLLAR('Revenue Reporting (2)'!I52,2)&amp;" annually. The rate of commissions on your benefits program will not be increased without your prior written consent."</f>
        <v>As Agent of Record for Group Name on your Group Benefits program(s), NFP Canada is compensated through commissions’ payable by your insurance carrier(s). As of Month, the commissions earned by NFP are 0% of premium or approximately $0.00 annually. The rate of commissions on your benefits program will not be increased without your prior written consent.</v>
      </c>
      <c r="B5" s="1299"/>
      <c r="C5" s="1299"/>
      <c r="D5" s="1299"/>
      <c r="E5" s="1299"/>
      <c r="F5" s="1299"/>
      <c r="G5" s="1299"/>
    </row>
    <row r="6" spans="1:7" s="1" customFormat="1" ht="15" customHeight="1">
      <c r="A6" s="200"/>
      <c r="B6" s="201"/>
      <c r="C6" s="201"/>
      <c r="D6" s="201"/>
      <c r="E6" s="3"/>
      <c r="F6" s="3"/>
      <c r="G6" s="3"/>
    </row>
    <row r="7" spans="1:7" s="1" customFormat="1" ht="30" customHeight="1">
      <c r="A7" s="1115" t="s">
        <v>729</v>
      </c>
      <c r="B7" s="1115"/>
      <c r="C7" s="1115"/>
      <c r="D7" s="1115"/>
      <c r="E7" s="1115"/>
      <c r="F7" s="1115"/>
      <c r="G7" s="1115"/>
    </row>
    <row r="8" spans="1:7" s="1" customFormat="1" ht="15" customHeight="1">
      <c r="A8" s="200"/>
      <c r="B8" s="201"/>
      <c r="C8" s="201"/>
      <c r="D8" s="201"/>
      <c r="E8" s="3"/>
      <c r="F8" s="3"/>
      <c r="G8" s="3"/>
    </row>
    <row r="9" spans="1:7" s="3" customFormat="1" ht="15" customHeight="1">
      <c r="A9" s="1300" t="s">
        <v>602</v>
      </c>
      <c r="B9" s="1300"/>
      <c r="C9" s="1300"/>
      <c r="D9" s="1300"/>
      <c r="E9" s="1300"/>
      <c r="F9" s="1300"/>
      <c r="G9" s="1300"/>
    </row>
    <row r="10" spans="1:7" s="3" customFormat="1" ht="15" customHeight="1">
      <c r="A10" s="576" t="s">
        <v>603</v>
      </c>
      <c r="B10" s="211"/>
      <c r="C10" s="211"/>
      <c r="D10" s="211"/>
      <c r="E10" s="212"/>
      <c r="F10" s="212"/>
      <c r="G10" s="212"/>
    </row>
    <row r="11" spans="1:7" s="3" customFormat="1" ht="15" customHeight="1">
      <c r="A11" s="576" t="s">
        <v>604</v>
      </c>
      <c r="B11" s="211"/>
      <c r="C11" s="211"/>
      <c r="D11" s="211"/>
      <c r="E11" s="212"/>
      <c r="F11" s="212"/>
      <c r="G11" s="212"/>
    </row>
    <row r="12" spans="1:7" s="3" customFormat="1" ht="15" customHeight="1">
      <c r="A12" s="576" t="s">
        <v>605</v>
      </c>
      <c r="B12" s="211"/>
      <c r="C12" s="211"/>
      <c r="D12" s="211"/>
      <c r="E12" s="212"/>
      <c r="F12" s="212"/>
      <c r="G12" s="212"/>
    </row>
    <row r="13" spans="1:7" s="3" customFormat="1" ht="15" customHeight="1">
      <c r="A13" s="576" t="s">
        <v>606</v>
      </c>
      <c r="B13" s="211"/>
      <c r="C13" s="211"/>
      <c r="D13" s="211"/>
      <c r="E13" s="212"/>
      <c r="F13" s="212"/>
      <c r="G13" s="212"/>
    </row>
    <row r="14" spans="1:7" s="3" customFormat="1" ht="15" customHeight="1">
      <c r="A14" s="576" t="s">
        <v>607</v>
      </c>
      <c r="B14" s="211"/>
      <c r="C14" s="211"/>
      <c r="D14" s="211"/>
      <c r="E14" s="212"/>
      <c r="F14" s="212"/>
      <c r="G14" s="212"/>
    </row>
    <row r="15" spans="1:7" s="3" customFormat="1" ht="15" customHeight="1">
      <c r="A15" s="576" t="s">
        <v>608</v>
      </c>
      <c r="B15" s="211"/>
      <c r="C15" s="211"/>
      <c r="D15" s="211"/>
      <c r="E15" s="212"/>
      <c r="F15" s="212"/>
      <c r="G15" s="212"/>
    </row>
    <row r="16" spans="1:7" s="3" customFormat="1" ht="15" customHeight="1">
      <c r="A16" s="576" t="s">
        <v>609</v>
      </c>
      <c r="B16" s="211"/>
      <c r="C16" s="211"/>
      <c r="D16" s="211"/>
      <c r="E16" s="212"/>
      <c r="F16" s="212"/>
      <c r="G16" s="212"/>
    </row>
    <row r="17" spans="1:7" s="3" customFormat="1" ht="15" customHeight="1">
      <c r="A17" s="576" t="s">
        <v>610</v>
      </c>
      <c r="B17" s="211"/>
      <c r="C17" s="211"/>
      <c r="D17" s="211"/>
      <c r="E17" s="212"/>
      <c r="F17" s="212"/>
      <c r="G17" s="212"/>
    </row>
    <row r="18" spans="1:7" s="3" customFormat="1" ht="15" customHeight="1">
      <c r="A18" s="576" t="s">
        <v>611</v>
      </c>
      <c r="B18" s="211"/>
      <c r="C18" s="211"/>
      <c r="D18" s="211"/>
      <c r="E18" s="212"/>
      <c r="F18" s="212"/>
      <c r="G18" s="212"/>
    </row>
    <row r="19" spans="1:7" s="3" customFormat="1" ht="15" customHeight="1">
      <c r="A19" s="576" t="s">
        <v>612</v>
      </c>
      <c r="B19" s="211"/>
      <c r="C19" s="211"/>
      <c r="D19" s="211"/>
      <c r="E19" s="212"/>
      <c r="F19" s="212"/>
      <c r="G19" s="212"/>
    </row>
    <row r="20" spans="1:7" s="3" customFormat="1" ht="15" customHeight="1">
      <c r="A20" s="576" t="s">
        <v>613</v>
      </c>
      <c r="B20" s="211"/>
      <c r="C20" s="211"/>
      <c r="D20" s="211"/>
      <c r="E20" s="212"/>
      <c r="F20" s="212"/>
      <c r="G20" s="212"/>
    </row>
    <row r="21" spans="1:7" s="3" customFormat="1" ht="15" customHeight="1">
      <c r="A21" s="576" t="s">
        <v>614</v>
      </c>
      <c r="B21" s="211"/>
      <c r="C21" s="211"/>
      <c r="D21" s="211"/>
      <c r="E21" s="212"/>
      <c r="F21" s="212"/>
      <c r="G21" s="212"/>
    </row>
    <row r="22" spans="1:7" s="3" customFormat="1" ht="15" customHeight="1">
      <c r="A22" s="576" t="s">
        <v>615</v>
      </c>
      <c r="B22" s="211"/>
      <c r="C22" s="211"/>
      <c r="D22" s="211"/>
      <c r="E22" s="212"/>
      <c r="F22" s="212"/>
      <c r="G22" s="212"/>
    </row>
    <row r="23" spans="1:7" s="3" customFormat="1" ht="15" customHeight="1">
      <c r="A23" s="227"/>
      <c r="B23" s="226"/>
      <c r="C23" s="226"/>
      <c r="D23" s="226"/>
      <c r="E23" s="88"/>
      <c r="F23" s="88"/>
      <c r="G23" s="88"/>
    </row>
    <row r="24" spans="1:7" s="3" customFormat="1" ht="46.5" customHeight="1">
      <c r="A24" s="1115" t="s">
        <v>601</v>
      </c>
      <c r="B24" s="1115"/>
      <c r="C24" s="1115"/>
      <c r="D24" s="1115"/>
      <c r="E24" s="1115"/>
      <c r="F24" s="1115"/>
      <c r="G24" s="1115"/>
    </row>
    <row r="25" spans="1:7" s="3" customFormat="1" ht="15" customHeight="1">
      <c r="A25" s="201"/>
      <c r="B25" s="201"/>
      <c r="C25" s="201"/>
      <c r="D25" s="201"/>
    </row>
    <row r="26" spans="1:7" s="1" customFormat="1" ht="15" customHeight="1">
      <c r="A26" s="24"/>
      <c r="B26" s="24"/>
      <c r="C26" s="24"/>
      <c r="D26" s="24"/>
      <c r="E26" s="3"/>
      <c r="F26" s="3"/>
      <c r="G26" s="3"/>
    </row>
    <row r="27" spans="1:7" s="1" customFormat="1" ht="15" customHeight="1">
      <c r="A27" s="24"/>
      <c r="B27" s="24"/>
      <c r="C27" s="24"/>
      <c r="D27" s="24"/>
      <c r="E27" s="3"/>
      <c r="F27" s="3"/>
      <c r="G27" s="3"/>
    </row>
    <row r="28" spans="1:7" s="1" customFormat="1" ht="15" customHeight="1">
      <c r="A28" s="24"/>
      <c r="B28" s="24"/>
      <c r="C28" s="24"/>
      <c r="D28" s="24"/>
      <c r="E28" s="3"/>
      <c r="F28" s="3"/>
      <c r="G28" s="3"/>
    </row>
    <row r="29" spans="1:7" s="1" customFormat="1" ht="15" customHeight="1">
      <c r="A29" s="24"/>
      <c r="B29" s="24"/>
      <c r="C29" s="24"/>
      <c r="D29" s="24"/>
      <c r="E29" s="3"/>
      <c r="F29" s="3"/>
      <c r="G29" s="3"/>
    </row>
    <row r="30" spans="1:7" s="1" customFormat="1" ht="15" customHeight="1">
      <c r="A30" s="24"/>
      <c r="B30" s="24"/>
      <c r="C30" s="24"/>
      <c r="D30" s="24"/>
      <c r="E30" s="3"/>
      <c r="F30" s="3"/>
      <c r="G30" s="3"/>
    </row>
    <row r="31" spans="1:7" s="1" customFormat="1" ht="15" customHeight="1">
      <c r="A31" s="24"/>
      <c r="B31" s="24"/>
      <c r="C31" s="24"/>
      <c r="D31" s="24"/>
      <c r="E31" s="3"/>
      <c r="F31" s="3"/>
      <c r="G31" s="3"/>
    </row>
    <row r="32" spans="1:7" s="1" customFormat="1" ht="15" customHeight="1">
      <c r="A32" s="24"/>
      <c r="B32" s="24"/>
      <c r="C32" s="24"/>
      <c r="D32" s="24"/>
      <c r="E32" s="3"/>
      <c r="F32" s="3"/>
      <c r="G32" s="3"/>
    </row>
    <row r="33" spans="1:7" s="1" customFormat="1" ht="15" customHeight="1">
      <c r="A33" s="24"/>
      <c r="B33" s="24"/>
      <c r="C33" s="24"/>
      <c r="D33" s="24"/>
      <c r="E33" s="3"/>
      <c r="F33" s="3"/>
      <c r="G33" s="3"/>
    </row>
    <row r="34" spans="1:7" s="1" customFormat="1" ht="15" customHeight="1">
      <c r="A34" s="24"/>
      <c r="B34" s="24"/>
      <c r="C34" s="24"/>
      <c r="D34" s="24"/>
      <c r="E34" s="3"/>
      <c r="F34" s="3"/>
      <c r="G34" s="3"/>
    </row>
    <row r="35" spans="1:7" s="1" customFormat="1" ht="15" customHeight="1">
      <c r="A35" s="24"/>
      <c r="B35" s="24"/>
      <c r="C35" s="24"/>
      <c r="D35" s="24"/>
      <c r="E35" s="3"/>
      <c r="F35" s="3"/>
      <c r="G35" s="3"/>
    </row>
    <row r="36" spans="1:7" s="1" customFormat="1" ht="15" customHeight="1">
      <c r="A36" s="24"/>
      <c r="B36" s="24"/>
      <c r="C36" s="24"/>
      <c r="D36" s="24"/>
      <c r="E36" s="3"/>
      <c r="F36" s="3"/>
      <c r="G36" s="3"/>
    </row>
    <row r="37" spans="1:7" s="1" customFormat="1" ht="15" customHeight="1">
      <c r="A37" s="24"/>
      <c r="B37" s="24"/>
      <c r="C37" s="24"/>
      <c r="D37" s="24"/>
      <c r="E37" s="3"/>
      <c r="F37" s="3"/>
      <c r="G37" s="3"/>
    </row>
    <row r="38" spans="1:7" s="1" customFormat="1" ht="15" customHeight="1">
      <c r="A38" s="24"/>
      <c r="B38" s="24"/>
      <c r="C38" s="24"/>
      <c r="D38" s="24"/>
      <c r="E38" s="3"/>
      <c r="F38" s="3"/>
      <c r="G38" s="3"/>
    </row>
    <row r="39" spans="1:7" s="1" customFormat="1" ht="15" customHeight="1">
      <c r="A39" s="24"/>
      <c r="B39" s="24"/>
      <c r="C39" s="24"/>
      <c r="D39" s="24"/>
      <c r="E39" s="3"/>
      <c r="F39" s="3"/>
      <c r="G39" s="3"/>
    </row>
    <row r="40" spans="1:7" s="1" customFormat="1" ht="15" customHeight="1">
      <c r="A40" s="24"/>
      <c r="B40" s="24"/>
      <c r="C40" s="24"/>
      <c r="D40" s="24"/>
      <c r="E40" s="3"/>
      <c r="F40" s="3"/>
      <c r="G40" s="3"/>
    </row>
    <row r="41" spans="1:7" ht="15" customHeight="1"/>
    <row r="42" spans="1:7" ht="15" customHeight="1"/>
    <row r="43" spans="1:7" ht="15" customHeight="1"/>
    <row r="44" spans="1:7" ht="15" customHeight="1"/>
    <row r="45" spans="1:7" ht="15" customHeight="1"/>
    <row r="46" spans="1:7" ht="15" customHeight="1"/>
    <row r="47" spans="1:7" ht="15" customHeight="1"/>
    <row r="48" spans="1:7" ht="15" customHeight="1"/>
    <row r="49" ht="15" customHeight="1"/>
    <row r="50" ht="15" customHeight="1"/>
    <row r="51" ht="15" customHeight="1"/>
    <row r="52" ht="15" customHeight="1"/>
    <row r="53" ht="15" customHeight="1"/>
    <row r="54" ht="15" customHeight="1"/>
    <row r="55" ht="15" customHeight="1"/>
    <row r="56" ht="15" customHeight="1"/>
    <row r="57" ht="15" customHeight="1"/>
  </sheetData>
  <mergeCells count="5">
    <mergeCell ref="A2:G3"/>
    <mergeCell ref="A5:G5"/>
    <mergeCell ref="A7:G7"/>
    <mergeCell ref="A9:G9"/>
    <mergeCell ref="A24:G24"/>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30">
    <tabColor rgb="FFFF0000"/>
  </sheetPr>
  <dimension ref="A1:C53"/>
  <sheetViews>
    <sheetView showGridLines="0" view="pageLayout" zoomScaleNormal="100" workbookViewId="0">
      <selection activeCell="H10" sqref="H10"/>
    </sheetView>
  </sheetViews>
  <sheetFormatPr baseColWidth="10" defaultColWidth="9.1640625" defaultRowHeight="15"/>
  <cols>
    <col min="1" max="1" width="27.1640625" style="63" customWidth="1"/>
    <col min="2" max="3" width="33.1640625" style="63" customWidth="1"/>
  </cols>
  <sheetData>
    <row r="1" spans="1:3" ht="21" customHeight="1">
      <c r="A1"/>
      <c r="B1"/>
      <c r="C1"/>
    </row>
    <row r="2" spans="1:3" s="1" customFormat="1" ht="15" customHeight="1">
      <c r="A2" s="1004" t="s">
        <v>29</v>
      </c>
      <c r="B2" s="1004"/>
      <c r="C2" s="205"/>
    </row>
    <row r="3" spans="1:3" s="1" customFormat="1" ht="15" customHeight="1">
      <c r="A3" s="1004"/>
      <c r="B3" s="1004"/>
      <c r="C3" s="205"/>
    </row>
    <row r="4" spans="1:3" s="1" customFormat="1" ht="3.75" customHeight="1">
      <c r="A4" s="207"/>
      <c r="B4" s="207"/>
      <c r="C4" s="48"/>
    </row>
    <row r="5" spans="1:3" s="1" customFormat="1" ht="15" customHeight="1">
      <c r="A5" s="454" t="s">
        <v>260</v>
      </c>
      <c r="B5" s="456" t="s">
        <v>276</v>
      </c>
      <c r="C5" s="405" t="s">
        <v>276</v>
      </c>
    </row>
    <row r="6" spans="1:3" s="1" customFormat="1" ht="4.5" customHeight="1">
      <c r="A6" s="99"/>
      <c r="B6" s="99"/>
      <c r="C6" s="99"/>
    </row>
    <row r="7" spans="1:3" s="1" customFormat="1" ht="15" customHeight="1">
      <c r="A7" s="519" t="s">
        <v>261</v>
      </c>
      <c r="B7" s="579"/>
      <c r="C7" s="578"/>
    </row>
    <row r="8" spans="1:3" s="1" customFormat="1" ht="15" customHeight="1">
      <c r="A8" s="523" t="s">
        <v>262</v>
      </c>
      <c r="B8" s="577"/>
      <c r="C8" s="577"/>
    </row>
    <row r="9" spans="1:3" s="1" customFormat="1" ht="15" customHeight="1">
      <c r="A9" s="523" t="s">
        <v>263</v>
      </c>
      <c r="B9" s="577"/>
      <c r="C9" s="577"/>
    </row>
    <row r="10" spans="1:3" s="1" customFormat="1" ht="15" customHeight="1">
      <c r="A10" s="523" t="s">
        <v>264</v>
      </c>
      <c r="B10" s="577"/>
      <c r="C10" s="577"/>
    </row>
    <row r="11" spans="1:3" s="1" customFormat="1" ht="15" customHeight="1">
      <c r="A11" s="523" t="s">
        <v>265</v>
      </c>
      <c r="B11" s="577"/>
      <c r="C11" s="577"/>
    </row>
    <row r="12" spans="1:3" s="1" customFormat="1" ht="15" customHeight="1">
      <c r="A12" s="523" t="s">
        <v>330</v>
      </c>
      <c r="B12" s="577"/>
      <c r="C12" s="577"/>
    </row>
    <row r="13" spans="1:3" s="1" customFormat="1" ht="15" customHeight="1">
      <c r="A13" s="523" t="s">
        <v>266</v>
      </c>
      <c r="B13" s="577"/>
      <c r="C13" s="577"/>
    </row>
    <row r="14" spans="1:3" s="1" customFormat="1" ht="4.5" customHeight="1">
      <c r="A14" s="761"/>
      <c r="B14" s="762"/>
      <c r="C14" s="762"/>
    </row>
    <row r="15" spans="1:3" s="1" customFormat="1" ht="15" customHeight="1">
      <c r="A15" s="519" t="s">
        <v>476</v>
      </c>
      <c r="B15" s="581"/>
      <c r="C15" s="580"/>
    </row>
    <row r="16" spans="1:3" s="1" customFormat="1" ht="15" customHeight="1">
      <c r="A16" s="523" t="s">
        <v>218</v>
      </c>
      <c r="B16" s="577"/>
      <c r="C16" s="577"/>
    </row>
    <row r="17" spans="1:3" s="1" customFormat="1" ht="15" customHeight="1">
      <c r="A17" s="523" t="s">
        <v>219</v>
      </c>
      <c r="B17" s="591"/>
      <c r="C17" s="591"/>
    </row>
    <row r="18" spans="1:3" s="1" customFormat="1" ht="15" customHeight="1">
      <c r="A18" s="523" t="s">
        <v>225</v>
      </c>
      <c r="B18" s="591"/>
      <c r="C18" s="591"/>
    </row>
    <row r="19" spans="1:3" s="1" customFormat="1" ht="15" customHeight="1">
      <c r="A19" s="523" t="s">
        <v>268</v>
      </c>
      <c r="B19" s="577"/>
      <c r="C19" s="577"/>
    </row>
    <row r="20" spans="1:3" s="1" customFormat="1" ht="15" customHeight="1">
      <c r="A20" s="523" t="s">
        <v>337</v>
      </c>
      <c r="B20" s="577"/>
      <c r="C20" s="577"/>
    </row>
    <row r="21" spans="1:3" s="1" customFormat="1" ht="15" customHeight="1">
      <c r="A21" s="523" t="s">
        <v>227</v>
      </c>
      <c r="B21" s="577"/>
      <c r="C21" s="577"/>
    </row>
    <row r="22" spans="1:3" s="1" customFormat="1" ht="15" customHeight="1">
      <c r="A22" s="523" t="s">
        <v>586</v>
      </c>
      <c r="B22" s="577"/>
      <c r="C22" s="577"/>
    </row>
    <row r="23" spans="1:3" s="1" customFormat="1" ht="4.5" customHeight="1">
      <c r="A23" s="761"/>
      <c r="B23" s="762"/>
      <c r="C23" s="762"/>
    </row>
    <row r="24" spans="1:3" s="1" customFormat="1" ht="15" customHeight="1">
      <c r="A24" s="519" t="s">
        <v>269</v>
      </c>
      <c r="B24" s="581"/>
      <c r="C24" s="580"/>
    </row>
    <row r="25" spans="1:3" s="1" customFormat="1" ht="15" customHeight="1">
      <c r="A25" s="523" t="s">
        <v>270</v>
      </c>
      <c r="B25" s="591"/>
      <c r="C25" s="591"/>
    </row>
    <row r="26" spans="1:3" s="1" customFormat="1" ht="15" customHeight="1">
      <c r="A26" s="523" t="s">
        <v>271</v>
      </c>
      <c r="B26" s="591"/>
      <c r="C26" s="591"/>
    </row>
    <row r="27" spans="1:3" s="1" customFormat="1" ht="15" customHeight="1">
      <c r="A27" s="523" t="s">
        <v>227</v>
      </c>
      <c r="B27" s="577"/>
      <c r="C27" s="577"/>
    </row>
    <row r="28" spans="1:3" s="1" customFormat="1" ht="15" customHeight="1">
      <c r="A28" s="523" t="s">
        <v>586</v>
      </c>
      <c r="B28" s="577"/>
      <c r="C28" s="577"/>
    </row>
    <row r="29" spans="1:3" s="1" customFormat="1" ht="4.5" customHeight="1">
      <c r="A29" s="761"/>
      <c r="B29" s="762"/>
      <c r="C29" s="762"/>
    </row>
    <row r="30" spans="1:3" s="1" customFormat="1" ht="15" customHeight="1">
      <c r="A30" s="1301" t="s">
        <v>469</v>
      </c>
      <c r="B30" s="1302"/>
      <c r="C30" s="580"/>
    </row>
    <row r="31" spans="1:3" s="1" customFormat="1" ht="15" customHeight="1">
      <c r="A31" s="523" t="s">
        <v>218</v>
      </c>
      <c r="B31" s="577"/>
      <c r="C31" s="577"/>
    </row>
    <row r="32" spans="1:3" s="1" customFormat="1" ht="15" customHeight="1">
      <c r="A32" s="523" t="s">
        <v>219</v>
      </c>
      <c r="B32" s="591"/>
      <c r="C32" s="591"/>
    </row>
    <row r="33" spans="1:3" s="1" customFormat="1" ht="15" customHeight="1">
      <c r="A33" s="523" t="s">
        <v>272</v>
      </c>
      <c r="B33" s="577"/>
      <c r="C33" s="577"/>
    </row>
    <row r="34" spans="1:3" s="1" customFormat="1" ht="15" customHeight="1">
      <c r="A34" s="523" t="s">
        <v>586</v>
      </c>
      <c r="B34" s="577"/>
      <c r="C34" s="577"/>
    </row>
    <row r="35" spans="1:3" ht="4.5" customHeight="1">
      <c r="A35" s="761"/>
      <c r="B35" s="762"/>
      <c r="C35" s="762"/>
    </row>
    <row r="36" spans="1:3" ht="15" customHeight="1">
      <c r="A36" s="1301" t="s">
        <v>470</v>
      </c>
      <c r="B36" s="1302"/>
      <c r="C36" s="580"/>
    </row>
    <row r="37" spans="1:3" ht="15" customHeight="1">
      <c r="A37" s="523" t="s">
        <v>218</v>
      </c>
      <c r="B37" s="577"/>
      <c r="C37" s="577"/>
    </row>
    <row r="38" spans="1:3" ht="15" customHeight="1">
      <c r="A38" s="523" t="s">
        <v>219</v>
      </c>
      <c r="B38" s="591"/>
      <c r="C38" s="591"/>
    </row>
    <row r="39" spans="1:3" ht="15" customHeight="1">
      <c r="A39" s="523" t="s">
        <v>272</v>
      </c>
      <c r="B39" s="577"/>
      <c r="C39" s="577"/>
    </row>
    <row r="40" spans="1:3" s="1" customFormat="1" ht="15" customHeight="1">
      <c r="A40" s="523" t="s">
        <v>586</v>
      </c>
      <c r="B40" s="577"/>
      <c r="C40" s="577"/>
    </row>
    <row r="41" spans="1:3" s="1" customFormat="1" ht="4.5" customHeight="1">
      <c r="A41" s="761"/>
      <c r="B41" s="762"/>
      <c r="C41" s="762"/>
    </row>
    <row r="42" spans="1:3" s="1" customFormat="1" ht="15.75" customHeight="1">
      <c r="A42" s="1301" t="s">
        <v>475</v>
      </c>
      <c r="B42" s="1302"/>
      <c r="C42" s="580"/>
    </row>
    <row r="43" spans="1:3" s="1" customFormat="1" ht="15" customHeight="1">
      <c r="A43" s="523" t="s">
        <v>218</v>
      </c>
      <c r="B43" s="577"/>
      <c r="C43" s="577"/>
    </row>
    <row r="44" spans="1:3" s="1" customFormat="1" ht="15" customHeight="1">
      <c r="A44" s="523" t="s">
        <v>219</v>
      </c>
      <c r="B44" s="591"/>
      <c r="C44" s="591"/>
    </row>
    <row r="45" spans="1:3" ht="15" customHeight="1">
      <c r="A45" s="523" t="s">
        <v>272</v>
      </c>
      <c r="B45" s="577"/>
      <c r="C45" s="577"/>
    </row>
    <row r="46" spans="1:3" s="1" customFormat="1" ht="15" customHeight="1">
      <c r="A46" s="523" t="s">
        <v>586</v>
      </c>
      <c r="B46" s="577"/>
      <c r="C46" s="577"/>
    </row>
    <row r="47" spans="1:3" ht="4.5" customHeight="1">
      <c r="A47" s="761"/>
      <c r="B47" s="762"/>
      <c r="C47" s="762"/>
    </row>
    <row r="48" spans="1:3" ht="15" customHeight="1">
      <c r="A48" s="1301" t="s">
        <v>477</v>
      </c>
      <c r="B48" s="1302"/>
      <c r="C48" s="580"/>
    </row>
    <row r="49" spans="1:3" ht="15" customHeight="1">
      <c r="A49" s="523" t="s">
        <v>218</v>
      </c>
      <c r="B49" s="577"/>
      <c r="C49" s="577"/>
    </row>
    <row r="50" spans="1:3" ht="15" customHeight="1">
      <c r="A50" s="523" t="s">
        <v>219</v>
      </c>
      <c r="B50" s="591"/>
      <c r="C50" s="591"/>
    </row>
    <row r="51" spans="1:3" ht="15" customHeight="1">
      <c r="A51" s="523" t="s">
        <v>272</v>
      </c>
      <c r="B51" s="577"/>
      <c r="C51" s="577"/>
    </row>
    <row r="52" spans="1:3" s="1" customFormat="1" ht="15" customHeight="1">
      <c r="A52" s="523" t="s">
        <v>586</v>
      </c>
      <c r="B52" s="577"/>
      <c r="C52" s="577"/>
    </row>
    <row r="53" spans="1:3" ht="4.5" hidden="1" customHeight="1">
      <c r="A53" s="582"/>
      <c r="B53" s="54"/>
      <c r="C53" s="55"/>
    </row>
  </sheetData>
  <mergeCells count="5">
    <mergeCell ref="A2:B3"/>
    <mergeCell ref="A30:B30"/>
    <mergeCell ref="A42:B42"/>
    <mergeCell ref="A36:B36"/>
    <mergeCell ref="A48:B48"/>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32">
    <tabColor rgb="FFFF0000"/>
  </sheetPr>
  <dimension ref="A1:C72"/>
  <sheetViews>
    <sheetView showGridLines="0" view="pageLayout" zoomScaleNormal="100" workbookViewId="0">
      <selection activeCell="H10" sqref="H10"/>
    </sheetView>
  </sheetViews>
  <sheetFormatPr baseColWidth="10" defaultColWidth="9.1640625" defaultRowHeight="15"/>
  <cols>
    <col min="1" max="1" width="27.1640625" style="63" customWidth="1"/>
    <col min="2" max="3" width="33.1640625" style="63" customWidth="1"/>
    <col min="4" max="4" width="5.33203125" customWidth="1"/>
    <col min="7" max="7" width="7.5" customWidth="1"/>
  </cols>
  <sheetData>
    <row r="1" spans="1:3" ht="21" customHeight="1">
      <c r="A1"/>
      <c r="B1"/>
      <c r="C1"/>
    </row>
    <row r="2" spans="1:3" s="1" customFormat="1" ht="15" customHeight="1">
      <c r="A2" s="1004" t="s">
        <v>29</v>
      </c>
      <c r="B2" s="1004"/>
      <c r="C2" s="205"/>
    </row>
    <row r="3" spans="1:3" s="1" customFormat="1" ht="15" customHeight="1">
      <c r="A3" s="1004"/>
      <c r="B3" s="1004"/>
      <c r="C3" s="205"/>
    </row>
    <row r="4" spans="1:3" s="1" customFormat="1" ht="3.75" customHeight="1">
      <c r="A4" s="207"/>
      <c r="B4" s="207"/>
      <c r="C4" s="48"/>
    </row>
    <row r="5" spans="1:3" s="1" customFormat="1" ht="15" customHeight="1">
      <c r="A5" s="593" t="s">
        <v>260</v>
      </c>
      <c r="B5" s="456" t="str">
        <f>'Plan Design 1'!B5</f>
        <v xml:space="preserve">Division/Class </v>
      </c>
      <c r="C5" s="592" t="str">
        <f>'Plan Design 1'!C5</f>
        <v xml:space="preserve">Division/Class </v>
      </c>
    </row>
    <row r="6" spans="1:3" s="1" customFormat="1" ht="4.5" customHeight="1">
      <c r="A6" s="99"/>
      <c r="B6" s="99"/>
      <c r="C6" s="99"/>
    </row>
    <row r="7" spans="1:3">
      <c r="A7" s="519" t="s">
        <v>133</v>
      </c>
      <c r="B7" s="581"/>
      <c r="C7" s="580"/>
    </row>
    <row r="8" spans="1:3">
      <c r="A8" s="523" t="s">
        <v>0</v>
      </c>
      <c r="B8" s="577"/>
      <c r="C8" s="577"/>
    </row>
    <row r="9" spans="1:3">
      <c r="A9" s="523" t="s">
        <v>273</v>
      </c>
      <c r="B9" s="577"/>
      <c r="C9" s="577"/>
    </row>
    <row r="10" spans="1:3">
      <c r="A10" s="523" t="s">
        <v>275</v>
      </c>
      <c r="B10" s="577"/>
      <c r="C10" s="577"/>
    </row>
    <row r="11" spans="1:3">
      <c r="A11" s="523" t="s">
        <v>233</v>
      </c>
      <c r="B11" s="577"/>
      <c r="C11" s="577"/>
    </row>
    <row r="12" spans="1:3">
      <c r="A12" s="523" t="s">
        <v>478</v>
      </c>
      <c r="B12" s="577"/>
      <c r="C12" s="577"/>
    </row>
    <row r="13" spans="1:3">
      <c r="A13" s="523" t="s">
        <v>227</v>
      </c>
      <c r="B13" s="577"/>
      <c r="C13" s="577"/>
    </row>
    <row r="14" spans="1:3" s="1" customFormat="1" ht="15" customHeight="1">
      <c r="A14" s="523" t="s">
        <v>586</v>
      </c>
      <c r="B14" s="577"/>
      <c r="C14" s="577"/>
    </row>
    <row r="15" spans="1:3" s="1" customFormat="1" ht="4.5" customHeight="1">
      <c r="A15" s="99"/>
      <c r="B15" s="99"/>
      <c r="C15" s="99"/>
    </row>
    <row r="16" spans="1:3" s="1" customFormat="1" ht="15" customHeight="1">
      <c r="A16" s="519" t="s">
        <v>12</v>
      </c>
      <c r="B16" s="581"/>
      <c r="C16" s="580"/>
    </row>
    <row r="17" spans="1:3" s="1" customFormat="1" ht="15" customHeight="1">
      <c r="A17" s="523" t="s">
        <v>218</v>
      </c>
      <c r="B17" s="577"/>
      <c r="C17" s="577"/>
    </row>
    <row r="18" spans="1:3" s="1" customFormat="1" ht="15" customHeight="1">
      <c r="A18" s="523" t="s">
        <v>219</v>
      </c>
      <c r="B18" s="577"/>
      <c r="C18" s="577"/>
    </row>
    <row r="19" spans="1:3" s="1" customFormat="1" ht="15" customHeight="1">
      <c r="A19" s="523" t="s">
        <v>220</v>
      </c>
      <c r="B19" s="577"/>
      <c r="C19" s="577"/>
    </row>
    <row r="20" spans="1:3" s="1" customFormat="1" ht="15" customHeight="1">
      <c r="A20" s="523" t="s">
        <v>221</v>
      </c>
      <c r="B20" s="577"/>
      <c r="C20" s="577"/>
    </row>
    <row r="21" spans="1:3" s="1" customFormat="1" ht="15" customHeight="1">
      <c r="A21" s="523" t="s">
        <v>222</v>
      </c>
      <c r="B21" s="577"/>
      <c r="C21" s="577"/>
    </row>
    <row r="22" spans="1:3" s="1" customFormat="1" ht="15" customHeight="1">
      <c r="A22" s="523" t="s">
        <v>223</v>
      </c>
      <c r="B22" s="577"/>
      <c r="C22" s="577"/>
    </row>
    <row r="23" spans="1:3" s="1" customFormat="1" ht="15" customHeight="1">
      <c r="A23" s="523" t="s">
        <v>224</v>
      </c>
      <c r="B23" s="577"/>
      <c r="C23" s="577"/>
    </row>
    <row r="24" spans="1:3" s="1" customFormat="1" ht="15" customHeight="1">
      <c r="A24" s="523" t="s">
        <v>225</v>
      </c>
      <c r="B24" s="577"/>
      <c r="C24" s="577"/>
    </row>
    <row r="25" spans="1:3" s="1" customFormat="1" ht="15" customHeight="1">
      <c r="A25" s="523" t="s">
        <v>587</v>
      </c>
      <c r="B25" s="577"/>
      <c r="C25" s="577"/>
    </row>
    <row r="26" spans="1:3" s="1" customFormat="1" ht="15" customHeight="1">
      <c r="A26" s="523" t="s">
        <v>226</v>
      </c>
      <c r="B26" s="577"/>
      <c r="C26" s="577"/>
    </row>
    <row r="27" spans="1:3" s="1" customFormat="1" ht="15" customHeight="1">
      <c r="A27" s="523" t="s">
        <v>227</v>
      </c>
      <c r="B27" s="577"/>
      <c r="C27" s="577"/>
    </row>
    <row r="28" spans="1:3" s="1" customFormat="1" ht="15" customHeight="1">
      <c r="A28" s="523" t="s">
        <v>586</v>
      </c>
      <c r="B28" s="577"/>
      <c r="C28" s="577"/>
    </row>
    <row r="29" spans="1:3" s="1" customFormat="1" ht="4.5" customHeight="1">
      <c r="A29" s="761"/>
      <c r="B29" s="54"/>
      <c r="C29" s="762"/>
    </row>
    <row r="30" spans="1:3" s="1" customFormat="1" ht="15" customHeight="1">
      <c r="A30" s="519" t="s">
        <v>10</v>
      </c>
      <c r="B30" s="581"/>
      <c r="C30" s="580"/>
    </row>
    <row r="31" spans="1:3" s="1" customFormat="1" ht="15.75" customHeight="1">
      <c r="A31" s="523" t="s">
        <v>218</v>
      </c>
      <c r="B31" s="795"/>
      <c r="C31" s="795"/>
    </row>
    <row r="32" spans="1:3" s="1" customFormat="1" ht="15" customHeight="1">
      <c r="A32" s="523" t="s">
        <v>219</v>
      </c>
      <c r="B32" s="591"/>
      <c r="C32" s="591"/>
    </row>
    <row r="33" spans="1:3" s="1" customFormat="1" ht="15" customHeight="1">
      <c r="A33" s="523" t="s">
        <v>225</v>
      </c>
      <c r="B33" s="591"/>
      <c r="C33" s="591"/>
    </row>
    <row r="34" spans="1:3" s="1" customFormat="1" ht="15" customHeight="1">
      <c r="A34" s="523" t="s">
        <v>228</v>
      </c>
      <c r="B34" s="577"/>
      <c r="C34" s="577"/>
    </row>
    <row r="35" spans="1:3" s="1" customFormat="1" ht="15" customHeight="1">
      <c r="A35" s="523" t="s">
        <v>229</v>
      </c>
      <c r="B35" s="577"/>
      <c r="C35" s="577"/>
    </row>
    <row r="36" spans="1:3" s="1" customFormat="1" ht="15" customHeight="1">
      <c r="A36" s="523" t="s">
        <v>230</v>
      </c>
      <c r="B36" s="577"/>
      <c r="C36" s="577"/>
    </row>
    <row r="37" spans="1:3" s="1" customFormat="1" ht="15" customHeight="1">
      <c r="A37" s="523" t="s">
        <v>231</v>
      </c>
      <c r="B37" s="577"/>
      <c r="C37" s="577"/>
    </row>
    <row r="38" spans="1:3" s="1" customFormat="1" ht="15" customHeight="1">
      <c r="A38" s="523" t="s">
        <v>232</v>
      </c>
      <c r="B38" s="813"/>
      <c r="C38" s="813"/>
    </row>
    <row r="39" spans="1:3" s="1" customFormat="1" ht="15" customHeight="1">
      <c r="A39" s="523" t="s">
        <v>233</v>
      </c>
      <c r="B39" s="577"/>
      <c r="C39" s="577"/>
    </row>
    <row r="40" spans="1:3" s="1" customFormat="1" ht="15" customHeight="1">
      <c r="A40" s="523" t="s">
        <v>234</v>
      </c>
      <c r="B40" s="577"/>
      <c r="C40" s="577"/>
    </row>
    <row r="41" spans="1:3" s="1" customFormat="1" ht="15" customHeight="1">
      <c r="A41" s="523" t="s">
        <v>226</v>
      </c>
      <c r="B41" s="577"/>
      <c r="C41" s="577"/>
    </row>
    <row r="42" spans="1:3" s="1" customFormat="1" ht="15" customHeight="1">
      <c r="A42" s="523" t="s">
        <v>588</v>
      </c>
      <c r="B42" s="577"/>
      <c r="C42" s="577"/>
    </row>
    <row r="43" spans="1:3" s="1" customFormat="1" ht="15" customHeight="1">
      <c r="A43" s="523" t="s">
        <v>586</v>
      </c>
      <c r="B43" s="577"/>
      <c r="C43" s="577"/>
    </row>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sheetData>
  <mergeCells count="1">
    <mergeCell ref="A2:B3"/>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38">
    <tabColor rgb="FFFF0000"/>
  </sheetPr>
  <dimension ref="A1:C51"/>
  <sheetViews>
    <sheetView showGridLines="0" view="pageLayout" zoomScaleNormal="100" workbookViewId="0">
      <selection activeCell="C42" sqref="C42"/>
    </sheetView>
  </sheetViews>
  <sheetFormatPr baseColWidth="10" defaultColWidth="9.1640625" defaultRowHeight="15"/>
  <cols>
    <col min="1" max="3" width="32.6640625" style="63" customWidth="1"/>
  </cols>
  <sheetData>
    <row r="1" spans="1:3" ht="6" customHeight="1">
      <c r="A1" s="28"/>
      <c r="B1" s="28"/>
      <c r="C1" s="28"/>
    </row>
    <row r="2" spans="1:3" s="1" customFormat="1" ht="15" customHeight="1">
      <c r="A2" s="1303" t="s">
        <v>29</v>
      </c>
      <c r="B2" s="1303"/>
      <c r="C2" s="48"/>
    </row>
    <row r="3" spans="1:3" s="1" customFormat="1" ht="9" customHeight="1">
      <c r="A3" s="1303"/>
      <c r="B3" s="1303"/>
      <c r="C3" s="48"/>
    </row>
    <row r="4" spans="1:3" s="1" customFormat="1" ht="15" customHeight="1">
      <c r="A4" s="46" t="s">
        <v>260</v>
      </c>
      <c r="B4" s="46" t="s">
        <v>276</v>
      </c>
      <c r="C4" s="46" t="s">
        <v>276</v>
      </c>
    </row>
    <row r="5" spans="1:3" s="1" customFormat="1" ht="4.5" customHeight="1" thickBot="1">
      <c r="A5" s="99"/>
      <c r="B5" s="99"/>
      <c r="C5" s="99"/>
    </row>
    <row r="6" spans="1:3" s="1" customFormat="1" ht="15" customHeight="1" thickBot="1">
      <c r="A6" s="49" t="s">
        <v>261</v>
      </c>
      <c r="B6" s="64"/>
      <c r="C6" s="65"/>
    </row>
    <row r="7" spans="1:3" s="1" customFormat="1" ht="14.25" customHeight="1" thickBot="1">
      <c r="A7" s="92" t="s">
        <v>262</v>
      </c>
      <c r="B7" s="52"/>
      <c r="C7" s="52"/>
    </row>
    <row r="8" spans="1:3" s="1" customFormat="1" ht="14.25" customHeight="1" thickBot="1">
      <c r="A8" s="92" t="s">
        <v>263</v>
      </c>
      <c r="B8" s="52"/>
      <c r="C8" s="52"/>
    </row>
    <row r="9" spans="1:3" s="1" customFormat="1" ht="14.25" customHeight="1" thickBot="1">
      <c r="A9" s="92" t="s">
        <v>264</v>
      </c>
      <c r="B9" s="52"/>
      <c r="C9" s="52"/>
    </row>
    <row r="10" spans="1:3" s="1" customFormat="1" ht="14.25" customHeight="1" thickBot="1">
      <c r="A10" s="92" t="s">
        <v>265</v>
      </c>
      <c r="B10" s="52"/>
      <c r="C10" s="52"/>
    </row>
    <row r="11" spans="1:3" s="1" customFormat="1" ht="14.25" customHeight="1" thickBot="1">
      <c r="A11" s="92" t="s">
        <v>330</v>
      </c>
      <c r="B11" s="52"/>
      <c r="C11" s="52"/>
    </row>
    <row r="12" spans="1:3" s="1" customFormat="1" ht="14.25" customHeight="1" thickBot="1">
      <c r="A12" s="92" t="s">
        <v>266</v>
      </c>
      <c r="B12" s="52"/>
      <c r="C12" s="52"/>
    </row>
    <row r="13" spans="1:3" s="1" customFormat="1" ht="4.5" customHeight="1">
      <c r="A13" s="53"/>
      <c r="B13" s="54"/>
      <c r="C13" s="55"/>
    </row>
    <row r="14" spans="1:3" s="1" customFormat="1" ht="15" customHeight="1" thickBot="1">
      <c r="A14" s="56" t="s">
        <v>267</v>
      </c>
      <c r="B14" s="57"/>
      <c r="C14" s="58"/>
    </row>
    <row r="15" spans="1:3" s="1" customFormat="1" ht="14.25" customHeight="1" thickBot="1">
      <c r="A15" s="92" t="s">
        <v>218</v>
      </c>
      <c r="B15" s="52"/>
      <c r="C15" s="52"/>
    </row>
    <row r="16" spans="1:3" s="1" customFormat="1" ht="14.25" customHeight="1" thickBot="1">
      <c r="A16" s="92" t="s">
        <v>219</v>
      </c>
      <c r="B16" s="60"/>
      <c r="C16" s="60"/>
    </row>
    <row r="17" spans="1:3" s="1" customFormat="1" ht="14.25" customHeight="1" thickBot="1">
      <c r="A17" s="92" t="s">
        <v>225</v>
      </c>
      <c r="B17" s="60"/>
      <c r="C17" s="60"/>
    </row>
    <row r="18" spans="1:3" s="1" customFormat="1" ht="14.25" customHeight="1" thickBot="1">
      <c r="A18" s="92" t="s">
        <v>268</v>
      </c>
      <c r="B18" s="52"/>
      <c r="C18" s="52"/>
    </row>
    <row r="19" spans="1:3" s="1" customFormat="1" ht="14.25" customHeight="1" thickBot="1">
      <c r="A19" s="92" t="s">
        <v>337</v>
      </c>
      <c r="B19" s="52"/>
      <c r="C19" s="52"/>
    </row>
    <row r="20" spans="1:3" s="1" customFormat="1" ht="14.25" customHeight="1" thickBot="1">
      <c r="A20" s="92" t="s">
        <v>227</v>
      </c>
      <c r="B20" s="52"/>
      <c r="C20" s="52"/>
    </row>
    <row r="21" spans="1:3" s="1" customFormat="1" ht="4.5" customHeight="1">
      <c r="A21" s="53"/>
      <c r="B21" s="54"/>
      <c r="C21" s="55"/>
    </row>
    <row r="22" spans="1:3" s="1" customFormat="1" ht="15" customHeight="1" thickBot="1">
      <c r="A22" s="56" t="s">
        <v>269</v>
      </c>
      <c r="B22" s="57"/>
      <c r="C22" s="58"/>
    </row>
    <row r="23" spans="1:3" s="1" customFormat="1" ht="15" customHeight="1" thickBot="1">
      <c r="A23" s="92" t="s">
        <v>270</v>
      </c>
      <c r="B23" s="60"/>
      <c r="C23" s="60"/>
    </row>
    <row r="24" spans="1:3" s="1" customFormat="1" ht="15" customHeight="1" thickBot="1">
      <c r="A24" s="92" t="s">
        <v>271</v>
      </c>
      <c r="B24" s="60"/>
      <c r="C24" s="60"/>
    </row>
    <row r="25" spans="1:3" s="1" customFormat="1" ht="15" customHeight="1" thickBot="1">
      <c r="A25" s="92" t="s">
        <v>227</v>
      </c>
      <c r="B25" s="52"/>
      <c r="C25" s="52"/>
    </row>
    <row r="26" spans="1:3" s="1" customFormat="1" ht="4.5" customHeight="1">
      <c r="A26" s="53"/>
      <c r="B26" s="54"/>
      <c r="C26" s="55"/>
    </row>
    <row r="27" spans="1:3" s="1" customFormat="1" ht="15" customHeight="1" thickBot="1">
      <c r="A27" s="1304" t="s">
        <v>369</v>
      </c>
      <c r="B27" s="1305"/>
      <c r="C27" s="58"/>
    </row>
    <row r="28" spans="1:3" s="1" customFormat="1" ht="15" customHeight="1" thickBot="1">
      <c r="A28" s="92" t="s">
        <v>218</v>
      </c>
      <c r="B28" s="52"/>
      <c r="C28" s="52"/>
    </row>
    <row r="29" spans="1:3" s="1" customFormat="1" ht="15" customHeight="1" thickBot="1">
      <c r="A29" s="92" t="s">
        <v>219</v>
      </c>
      <c r="B29" s="60"/>
      <c r="C29" s="60"/>
    </row>
    <row r="30" spans="1:3" s="1" customFormat="1" ht="15" hidden="1" customHeight="1" thickBot="1">
      <c r="A30" s="92" t="s">
        <v>268</v>
      </c>
      <c r="B30" s="52"/>
      <c r="C30" s="52"/>
    </row>
    <row r="31" spans="1:3" s="1" customFormat="1" ht="15" customHeight="1" thickBot="1">
      <c r="A31" s="92" t="s">
        <v>272</v>
      </c>
      <c r="B31" s="52"/>
      <c r="C31" s="52"/>
    </row>
    <row r="32" spans="1:3" s="1" customFormat="1" ht="4.5" customHeight="1">
      <c r="A32" s="53"/>
      <c r="B32" s="54"/>
      <c r="C32" s="55"/>
    </row>
    <row r="33" spans="1:3" ht="16" thickBot="1">
      <c r="A33" s="56" t="s">
        <v>133</v>
      </c>
      <c r="B33" s="57"/>
      <c r="C33" s="58"/>
    </row>
    <row r="34" spans="1:3" ht="15" customHeight="1" thickBot="1">
      <c r="A34" s="92" t="s">
        <v>273</v>
      </c>
      <c r="B34" s="52"/>
      <c r="C34" s="52"/>
    </row>
    <row r="35" spans="1:3" ht="15" customHeight="1" thickBot="1">
      <c r="A35" s="92" t="s">
        <v>274</v>
      </c>
      <c r="B35" s="52"/>
      <c r="C35" s="52"/>
    </row>
    <row r="36" spans="1:3" ht="15" customHeight="1" thickBot="1">
      <c r="A36" s="92" t="s">
        <v>275</v>
      </c>
      <c r="B36" s="52"/>
      <c r="C36" s="52"/>
    </row>
    <row r="37" spans="1:3" ht="15" customHeight="1" thickBot="1">
      <c r="A37" s="92" t="s">
        <v>277</v>
      </c>
      <c r="B37" s="52"/>
      <c r="C37" s="52"/>
    </row>
    <row r="38" spans="1:3" ht="15" customHeight="1" thickBot="1">
      <c r="A38" s="92" t="s">
        <v>278</v>
      </c>
      <c r="B38" s="52"/>
      <c r="C38" s="52"/>
    </row>
    <row r="39" spans="1:3" ht="15" customHeight="1" thickBot="1">
      <c r="A39" s="92" t="s">
        <v>279</v>
      </c>
      <c r="B39" s="52"/>
      <c r="C39" s="52"/>
    </row>
    <row r="40" spans="1:3" ht="15" customHeight="1" thickBot="1">
      <c r="A40" s="92" t="s">
        <v>280</v>
      </c>
      <c r="B40" s="52"/>
      <c r="C40" s="52"/>
    </row>
    <row r="41" spans="1:3" ht="15" customHeight="1" thickBot="1">
      <c r="A41" s="92" t="s">
        <v>281</v>
      </c>
      <c r="B41" s="52"/>
      <c r="C41" s="52"/>
    </row>
    <row r="42" spans="1:3" ht="15" customHeight="1" thickBot="1">
      <c r="A42" s="92" t="s">
        <v>282</v>
      </c>
      <c r="B42" s="52"/>
      <c r="C42" s="52"/>
    </row>
    <row r="43" spans="1:3" ht="15" customHeight="1" thickBot="1">
      <c r="A43" s="92" t="s">
        <v>283</v>
      </c>
      <c r="B43" s="52"/>
      <c r="C43" s="52"/>
    </row>
    <row r="44" spans="1:3" ht="15" customHeight="1" thickBot="1">
      <c r="A44" s="92" t="s">
        <v>284</v>
      </c>
      <c r="B44" s="52"/>
      <c r="C44" s="52"/>
    </row>
    <row r="45" spans="1:3" ht="15" customHeight="1" thickBot="1">
      <c r="A45" s="92" t="s">
        <v>285</v>
      </c>
      <c r="B45" s="52"/>
      <c r="C45" s="52"/>
    </row>
    <row r="46" spans="1:3" ht="15" customHeight="1" thickBot="1">
      <c r="A46" s="92" t="s">
        <v>286</v>
      </c>
      <c r="B46" s="52"/>
      <c r="C46" s="52"/>
    </row>
    <row r="47" spans="1:3" ht="15" customHeight="1" thickBot="1">
      <c r="A47" s="92" t="s">
        <v>287</v>
      </c>
      <c r="B47" s="52"/>
      <c r="C47" s="52"/>
    </row>
    <row r="48" spans="1:3" ht="15" customHeight="1" thickBot="1">
      <c r="A48" s="92" t="s">
        <v>288</v>
      </c>
      <c r="B48" s="52"/>
      <c r="C48" s="62"/>
    </row>
    <row r="49" spans="1:3" ht="15" customHeight="1" thickBot="1">
      <c r="A49" s="92" t="s">
        <v>289</v>
      </c>
      <c r="B49" s="52"/>
      <c r="C49" s="62"/>
    </row>
    <row r="50" spans="1:3" ht="15" customHeight="1" thickBot="1">
      <c r="A50" s="92" t="s">
        <v>290</v>
      </c>
      <c r="B50" s="52"/>
      <c r="C50" s="62"/>
    </row>
    <row r="51" spans="1:3" ht="15" customHeight="1" thickBot="1">
      <c r="A51" s="92" t="s">
        <v>217</v>
      </c>
      <c r="B51" s="52"/>
      <c r="C51" s="62"/>
    </row>
  </sheetData>
  <mergeCells count="2">
    <mergeCell ref="A2:B3"/>
    <mergeCell ref="A27:B27"/>
  </mergeCells>
  <printOptions horizontalCentered="1"/>
  <pageMargins left="0.32291666666666669" right="0.32291666666666669" top="0.55118110236220474" bottom="0.94488188976377963" header="0.31496062992125984" footer="0.31496062992125984"/>
  <pageSetup orientation="portrait" r:id="rId1"/>
  <headerFooter>
    <oddHeader>&amp;L&amp;"Arial,Regular"&amp;9&amp;K4C5B52Page &amp;P&amp;R&amp;"Arial,Regular"&amp;9&amp;K4C5B52NFP Canada</oddHeader>
    <oddFooter>&amp;L&amp;"Arial,Bold"&amp;8&amp;K4C5B52Renewal Report.&amp;"Arial,Regular" Insurance services provided through NFP Canada, 
a subsidiary of NFP Corp. (NFP).&amp;R&amp;G</oddFooter>
  </headerFooter>
  <legacyDrawingHF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9">
    <tabColor rgb="FFFF0000"/>
  </sheetPr>
  <dimension ref="A1:C51"/>
  <sheetViews>
    <sheetView showGridLines="0" view="pageLayout" topLeftCell="A7" zoomScaleNormal="100" workbookViewId="0">
      <selection activeCell="C47" sqref="C47"/>
    </sheetView>
  </sheetViews>
  <sheetFormatPr baseColWidth="10" defaultColWidth="9.1640625" defaultRowHeight="15"/>
  <cols>
    <col min="1" max="3" width="33.1640625" style="63" customWidth="1"/>
  </cols>
  <sheetData>
    <row r="1" spans="1:3" ht="6" customHeight="1">
      <c r="A1" s="28"/>
      <c r="B1" s="28"/>
      <c r="C1" s="28"/>
    </row>
    <row r="2" spans="1:3" s="1" customFormat="1" ht="15" customHeight="1">
      <c r="A2" s="1303" t="s">
        <v>29</v>
      </c>
      <c r="B2" s="1303"/>
      <c r="C2" s="48"/>
    </row>
    <row r="3" spans="1:3" s="1" customFormat="1" ht="9" customHeight="1">
      <c r="A3" s="1303"/>
      <c r="B3" s="1303"/>
      <c r="C3" s="48"/>
    </row>
    <row r="4" spans="1:3" s="1" customFormat="1" ht="15" customHeight="1">
      <c r="A4" s="46" t="s">
        <v>260</v>
      </c>
      <c r="B4" s="46" t="str">
        <f>'Plan Design'!B4</f>
        <v xml:space="preserve">Division/Class </v>
      </c>
      <c r="C4" s="46" t="str">
        <f>'Plan Design'!C4</f>
        <v xml:space="preserve">Division/Class </v>
      </c>
    </row>
    <row r="5" spans="1:3" s="1" customFormat="1" ht="4.5" customHeight="1" thickBot="1">
      <c r="A5" s="99"/>
      <c r="B5" s="99"/>
      <c r="C5" s="99"/>
    </row>
    <row r="6" spans="1:3" s="1" customFormat="1" ht="15" customHeight="1" thickBot="1">
      <c r="A6" s="49" t="s">
        <v>12</v>
      </c>
      <c r="B6" s="50"/>
      <c r="C6" s="51"/>
    </row>
    <row r="7" spans="1:3" s="1" customFormat="1" ht="15" customHeight="1" thickBot="1">
      <c r="A7" s="92" t="s">
        <v>218</v>
      </c>
      <c r="B7" s="52"/>
      <c r="C7" s="52"/>
    </row>
    <row r="8" spans="1:3" s="1" customFormat="1" ht="15" customHeight="1" thickBot="1">
      <c r="A8" s="92" t="s">
        <v>219</v>
      </c>
      <c r="B8" s="52"/>
      <c r="C8" s="52"/>
    </row>
    <row r="9" spans="1:3" s="1" customFormat="1" ht="15" customHeight="1" thickBot="1">
      <c r="A9" s="92" t="s">
        <v>220</v>
      </c>
      <c r="B9" s="52"/>
      <c r="C9" s="52"/>
    </row>
    <row r="10" spans="1:3" s="1" customFormat="1" ht="15" customHeight="1" thickBot="1">
      <c r="A10" s="92" t="s">
        <v>221</v>
      </c>
      <c r="B10" s="52"/>
      <c r="C10" s="52"/>
    </row>
    <row r="11" spans="1:3" s="1" customFormat="1" ht="15" customHeight="1" thickBot="1">
      <c r="A11" s="92" t="s">
        <v>222</v>
      </c>
      <c r="B11" s="52"/>
      <c r="C11" s="52"/>
    </row>
    <row r="12" spans="1:3" s="1" customFormat="1" ht="15" customHeight="1" thickBot="1">
      <c r="A12" s="92" t="s">
        <v>223</v>
      </c>
      <c r="B12" s="52"/>
      <c r="C12" s="52"/>
    </row>
    <row r="13" spans="1:3" s="1" customFormat="1" ht="15" customHeight="1" thickBot="1">
      <c r="A13" s="92" t="s">
        <v>224</v>
      </c>
      <c r="B13" s="52"/>
      <c r="C13" s="52"/>
    </row>
    <row r="14" spans="1:3" s="1" customFormat="1" ht="15" customHeight="1" thickBot="1">
      <c r="A14" s="92" t="s">
        <v>225</v>
      </c>
      <c r="B14" s="52"/>
      <c r="C14" s="52"/>
    </row>
    <row r="15" spans="1:3" s="1" customFormat="1" ht="15" customHeight="1" thickBot="1">
      <c r="A15" s="92" t="s">
        <v>226</v>
      </c>
      <c r="B15" s="52"/>
      <c r="C15" s="52"/>
    </row>
    <row r="16" spans="1:3" s="1" customFormat="1" ht="15" customHeight="1" thickBot="1">
      <c r="A16" s="92" t="s">
        <v>227</v>
      </c>
      <c r="B16" s="52"/>
      <c r="C16" s="52"/>
    </row>
    <row r="17" spans="1:3" s="1" customFormat="1" ht="4.5" customHeight="1">
      <c r="A17" s="53"/>
      <c r="B17" s="54"/>
      <c r="C17" s="55"/>
    </row>
    <row r="18" spans="1:3" s="1" customFormat="1" ht="15" customHeight="1" thickBot="1">
      <c r="A18" s="56" t="s">
        <v>10</v>
      </c>
      <c r="B18" s="57"/>
      <c r="C18" s="58"/>
    </row>
    <row r="19" spans="1:3" s="1" customFormat="1" ht="15.75" customHeight="1" thickBot="1">
      <c r="A19" s="92" t="s">
        <v>218</v>
      </c>
      <c r="B19" s="59"/>
      <c r="C19" s="59"/>
    </row>
    <row r="20" spans="1:3" s="1" customFormat="1" ht="15" customHeight="1" thickBot="1">
      <c r="A20" s="92" t="s">
        <v>219</v>
      </c>
      <c r="B20" s="60"/>
      <c r="C20" s="60"/>
    </row>
    <row r="21" spans="1:3" s="1" customFormat="1" ht="15" customHeight="1" thickBot="1">
      <c r="A21" s="92" t="s">
        <v>225</v>
      </c>
      <c r="B21" s="60"/>
      <c r="C21" s="60"/>
    </row>
    <row r="22" spans="1:3" s="1" customFormat="1" ht="15" customHeight="1" thickBot="1">
      <c r="A22" s="92" t="s">
        <v>228</v>
      </c>
      <c r="B22" s="52"/>
      <c r="C22" s="52"/>
    </row>
    <row r="23" spans="1:3" s="1" customFormat="1" ht="15" customHeight="1" thickBot="1">
      <c r="A23" s="92" t="s">
        <v>229</v>
      </c>
      <c r="B23" s="52"/>
      <c r="C23" s="52"/>
    </row>
    <row r="24" spans="1:3" s="1" customFormat="1" ht="15" customHeight="1" thickBot="1">
      <c r="A24" s="92" t="s">
        <v>230</v>
      </c>
      <c r="B24" s="52"/>
      <c r="C24" s="52"/>
    </row>
    <row r="25" spans="1:3" s="1" customFormat="1" ht="15" customHeight="1" thickBot="1">
      <c r="A25" s="92" t="s">
        <v>231</v>
      </c>
      <c r="B25" s="52"/>
      <c r="C25" s="52"/>
    </row>
    <row r="26" spans="1:3" s="1" customFormat="1" ht="15" customHeight="1" thickBot="1">
      <c r="A26" s="92" t="s">
        <v>232</v>
      </c>
      <c r="B26" s="69"/>
      <c r="C26" s="69"/>
    </row>
    <row r="27" spans="1:3" s="1" customFormat="1" ht="15" customHeight="1" thickBot="1">
      <c r="A27" s="92" t="s">
        <v>233</v>
      </c>
      <c r="B27" s="52"/>
      <c r="C27" s="52"/>
    </row>
    <row r="28" spans="1:3" s="1" customFormat="1" ht="15" customHeight="1" thickBot="1">
      <c r="A28" s="92" t="s">
        <v>234</v>
      </c>
      <c r="B28" s="52"/>
      <c r="C28" s="52"/>
    </row>
    <row r="29" spans="1:3" s="1" customFormat="1" ht="15" customHeight="1" thickBot="1">
      <c r="A29" s="92" t="s">
        <v>226</v>
      </c>
      <c r="B29" s="52"/>
      <c r="C29" s="52"/>
    </row>
    <row r="30" spans="1:3" s="1" customFormat="1" ht="4.5" customHeight="1">
      <c r="A30" s="53"/>
      <c r="B30" s="54"/>
      <c r="C30" s="55"/>
    </row>
    <row r="31" spans="1:3" s="1" customFormat="1" ht="15" customHeight="1">
      <c r="A31" s="56" t="s">
        <v>236</v>
      </c>
      <c r="B31" s="57"/>
      <c r="C31" s="58"/>
    </row>
    <row r="32" spans="1:3" s="1" customFormat="1" ht="15" customHeight="1" thickBot="1">
      <c r="A32" s="93" t="s">
        <v>237</v>
      </c>
      <c r="B32" s="61"/>
      <c r="C32" s="61"/>
    </row>
    <row r="33" spans="1:3" s="1" customFormat="1" ht="15" customHeight="1" thickBot="1">
      <c r="A33" s="92" t="s">
        <v>238</v>
      </c>
      <c r="B33" s="52"/>
      <c r="C33" s="52"/>
    </row>
    <row r="34" spans="1:3" s="1" customFormat="1" ht="15" customHeight="1" thickBot="1">
      <c r="A34" s="92" t="s">
        <v>113</v>
      </c>
      <c r="B34" s="52"/>
      <c r="C34" s="52"/>
    </row>
    <row r="35" spans="1:3" s="1" customFormat="1" ht="27" thickBot="1">
      <c r="A35" s="92" t="s">
        <v>291</v>
      </c>
      <c r="B35" s="52"/>
      <c r="C35" s="52"/>
    </row>
    <row r="36" spans="1:3" s="1" customFormat="1" ht="27" thickBot="1">
      <c r="A36" s="92" t="s">
        <v>292</v>
      </c>
      <c r="B36" s="52"/>
      <c r="C36" s="52"/>
    </row>
    <row r="37" spans="1:3" s="1" customFormat="1" ht="15" customHeight="1" thickBot="1">
      <c r="A37" s="92" t="s">
        <v>336</v>
      </c>
      <c r="B37" s="52"/>
      <c r="C37" s="52"/>
    </row>
    <row r="38" spans="1:3" s="1" customFormat="1" ht="15" customHeight="1" thickBot="1">
      <c r="A38" s="92" t="s">
        <v>338</v>
      </c>
      <c r="B38" s="52"/>
      <c r="C38" s="52"/>
    </row>
    <row r="39" spans="1:3" s="1" customFormat="1" ht="15" customHeight="1" thickBot="1">
      <c r="A39" s="92" t="s">
        <v>239</v>
      </c>
      <c r="B39" s="52"/>
      <c r="C39" s="52"/>
    </row>
    <row r="40" spans="1:3" ht="15" customHeight="1" thickBot="1">
      <c r="A40" s="92" t="s">
        <v>240</v>
      </c>
      <c r="B40" s="52"/>
      <c r="C40" s="52"/>
    </row>
    <row r="41" spans="1:3" ht="15" customHeight="1" thickBot="1">
      <c r="A41" s="92" t="s">
        <v>241</v>
      </c>
      <c r="B41" s="52"/>
      <c r="C41" s="52"/>
    </row>
    <row r="42" spans="1:3" ht="15" customHeight="1" thickBot="1">
      <c r="A42" s="92" t="s">
        <v>242</v>
      </c>
      <c r="B42" s="52"/>
      <c r="C42" s="52"/>
    </row>
    <row r="43" spans="1:3" ht="15" customHeight="1" thickBot="1">
      <c r="A43" s="92" t="s">
        <v>243</v>
      </c>
      <c r="B43" s="52"/>
      <c r="C43" s="62"/>
    </row>
    <row r="44" spans="1:3" ht="15" customHeight="1" thickBot="1">
      <c r="A44" s="92" t="s">
        <v>244</v>
      </c>
      <c r="B44" s="52"/>
      <c r="C44" s="62"/>
    </row>
    <row r="45" spans="1:3" ht="15" customHeight="1" thickBot="1">
      <c r="A45" s="92" t="s">
        <v>245</v>
      </c>
      <c r="B45" s="52"/>
      <c r="C45" s="62"/>
    </row>
    <row r="46" spans="1:3" ht="15" customHeight="1" thickBot="1">
      <c r="A46" s="92" t="s">
        <v>227</v>
      </c>
      <c r="B46" s="52"/>
      <c r="C46" s="62"/>
    </row>
    <row r="47" spans="1:3" ht="15" customHeight="1" thickBot="1">
      <c r="A47" s="92" t="s">
        <v>235</v>
      </c>
      <c r="B47" s="62"/>
      <c r="C47" s="62"/>
    </row>
    <row r="48" spans="1:3" ht="15" customHeight="1">
      <c r="A48"/>
      <c r="B48"/>
      <c r="C48"/>
    </row>
    <row r="49" spans="1:3" ht="15" customHeight="1">
      <c r="A49"/>
      <c r="B49"/>
      <c r="C49"/>
    </row>
    <row r="50" spans="1:3" ht="15" customHeight="1">
      <c r="A50"/>
      <c r="B50"/>
      <c r="C50"/>
    </row>
    <row r="51" spans="1:3" ht="15" customHeight="1"/>
  </sheetData>
  <mergeCells count="1">
    <mergeCell ref="A2:B3"/>
  </mergeCells>
  <printOptions horizontalCentered="1"/>
  <pageMargins left="0.32291666666666669" right="0.32291666666666669" top="0.55118110236220474" bottom="0.94488188976377963" header="0.31496062992125984" footer="0.31496062992125984"/>
  <pageSetup orientation="portrait" r:id="rId1"/>
  <headerFooter>
    <oddHeader>&amp;L&amp;"Arial,Regular"&amp;9&amp;K4C5B52Page &amp;P&amp;R&amp;"Arial,Regular"&amp;9&amp;K4C5B52NFP Canada</oddHeader>
    <oddFooter>&amp;L&amp;"Arial,Bold"&amp;8&amp;K4C5B52Renewal Report. &amp;"Arial,Regular"Insurance services provided through NFP Canada, 
a subsidiary of NFP Corp. (NFP).&amp;R&amp;G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pageSetUpPr fitToPage="1"/>
  </sheetPr>
  <dimension ref="A1:G49"/>
  <sheetViews>
    <sheetView showGridLines="0" view="pageLayout" topLeftCell="A2" zoomScale="90" zoomScaleNormal="100" zoomScalePageLayoutView="90" workbookViewId="0">
      <selection activeCell="H4" sqref="H4"/>
    </sheetView>
  </sheetViews>
  <sheetFormatPr baseColWidth="10" defaultColWidth="8.83203125" defaultRowHeight="15"/>
  <cols>
    <col min="1" max="1" width="4.5" customWidth="1"/>
    <col min="2" max="2" width="18.5" customWidth="1"/>
    <col min="3" max="3" width="12.6640625" customWidth="1"/>
    <col min="4" max="5" width="12.5" customWidth="1"/>
    <col min="6" max="6" width="11.6640625" customWidth="1"/>
    <col min="7" max="7" width="14.83203125" customWidth="1"/>
    <col min="8" max="8" width="8" customWidth="1"/>
  </cols>
  <sheetData>
    <row r="1" spans="1:7" ht="32.5" customHeight="1"/>
    <row r="2" spans="1:7" s="1" customFormat="1" ht="20.25" customHeight="1">
      <c r="A2" s="601" t="s">
        <v>51</v>
      </c>
      <c r="B2" s="33"/>
      <c r="C2" s="33"/>
      <c r="F2" s="3"/>
      <c r="G2" s="3"/>
    </row>
    <row r="3" spans="1:7" s="1" customFormat="1" ht="3" customHeight="1">
      <c r="A3" s="33"/>
      <c r="B3" s="33"/>
      <c r="C3" s="33"/>
      <c r="F3" s="3"/>
      <c r="G3" s="3"/>
    </row>
    <row r="4" spans="1:7" s="1" customFormat="1" ht="36" customHeight="1">
      <c r="A4" s="1013" t="str">
        <f>"The " &amp; GroupName &amp; " Group Insurance benefits program, covered by " &amp; Carrier &amp; " is scheduled to renew on " &amp; RenewalMonth &amp; " 1, " &amp; RenewalYear &amp; "."</f>
        <v>The Group Name Group Insurance benefits program, covered by Carrier is scheduled to renew on Month 1, Year.</v>
      </c>
      <c r="B4" s="1013"/>
      <c r="C4" s="1013"/>
      <c r="D4" s="1013"/>
      <c r="E4" s="1013"/>
      <c r="F4" s="1013"/>
      <c r="G4" s="1013"/>
    </row>
    <row r="5" spans="1:7" s="1" customFormat="1" ht="8" customHeight="1">
      <c r="A5" s="425"/>
      <c r="B5" s="212"/>
      <c r="C5" s="212"/>
      <c r="D5" s="2"/>
      <c r="F5" s="3"/>
      <c r="G5" s="3"/>
    </row>
    <row r="6" spans="1:7" s="1" customFormat="1" ht="15" customHeight="1">
      <c r="A6" s="1013" t="s">
        <v>844</v>
      </c>
      <c r="B6" s="1013"/>
      <c r="C6" s="1013"/>
      <c r="D6" s="1013"/>
      <c r="E6" s="1013"/>
      <c r="F6" s="1013"/>
      <c r="G6" s="1013"/>
    </row>
    <row r="7" spans="1:7" s="1" customFormat="1" ht="15" customHeight="1">
      <c r="A7" s="425"/>
      <c r="B7" s="2"/>
      <c r="C7" s="2"/>
      <c r="D7" s="2"/>
      <c r="F7" s="3"/>
      <c r="G7" s="3"/>
    </row>
    <row r="8" spans="1:7" ht="15.75" customHeight="1">
      <c r="B8" s="216"/>
      <c r="C8" s="394" t="s">
        <v>31</v>
      </c>
      <c r="D8" s="1016" t="s">
        <v>32</v>
      </c>
      <c r="E8" s="1016"/>
      <c r="F8" s="1017" t="s">
        <v>33</v>
      </c>
      <c r="G8" s="1017"/>
    </row>
    <row r="9" spans="1:7" ht="15.75" customHeight="1">
      <c r="B9" s="395" t="s">
        <v>34</v>
      </c>
      <c r="C9" s="389" t="s">
        <v>35</v>
      </c>
      <c r="D9" s="389" t="s">
        <v>631</v>
      </c>
      <c r="E9" s="389" t="s">
        <v>36</v>
      </c>
      <c r="F9" s="390" t="s">
        <v>632</v>
      </c>
      <c r="G9" s="389" t="s">
        <v>635</v>
      </c>
    </row>
    <row r="10" spans="1:7" ht="15.75" customHeight="1">
      <c r="B10" s="585" t="s">
        <v>37</v>
      </c>
      <c r="C10" s="385">
        <f>'Renewal Rates '!D12</f>
        <v>0</v>
      </c>
      <c r="D10" s="385">
        <f>'Renewal Rates '!F12</f>
        <v>0</v>
      </c>
      <c r="E10" s="398" t="e">
        <f t="shared" ref="E10:E22" si="0">D10/C10-1</f>
        <v>#DIV/0!</v>
      </c>
      <c r="F10" s="385">
        <f>'Renewal Rates '!I12</f>
        <v>0</v>
      </c>
      <c r="G10" s="399" t="e">
        <f t="shared" ref="G10:G22" si="1">F10/C10-1</f>
        <v>#DIV/0!</v>
      </c>
    </row>
    <row r="11" spans="1:7" ht="15.75" customHeight="1">
      <c r="B11" s="585" t="s">
        <v>38</v>
      </c>
      <c r="C11" s="385">
        <f>'Renewal Rates '!D19</f>
        <v>0</v>
      </c>
      <c r="D11" s="385">
        <f>'Renewal Rates '!F19</f>
        <v>0</v>
      </c>
      <c r="E11" s="398" t="e">
        <f t="shared" si="0"/>
        <v>#DIV/0!</v>
      </c>
      <c r="F11" s="385">
        <f>'Renewal Rates '!I19</f>
        <v>0</v>
      </c>
      <c r="G11" s="399" t="e">
        <f t="shared" si="1"/>
        <v>#DIV/0!</v>
      </c>
    </row>
    <row r="12" spans="1:7" ht="15.75" customHeight="1">
      <c r="B12" s="585" t="s">
        <v>9</v>
      </c>
      <c r="C12" s="385">
        <f>'Renewal Rates '!D26</f>
        <v>0</v>
      </c>
      <c r="D12" s="385">
        <f>'Renewal Rates '!F26</f>
        <v>0</v>
      </c>
      <c r="E12" s="398" t="e">
        <f t="shared" si="0"/>
        <v>#DIV/0!</v>
      </c>
      <c r="F12" s="385">
        <f>'Renewal Rates '!I26</f>
        <v>0</v>
      </c>
      <c r="G12" s="399" t="e">
        <f t="shared" si="1"/>
        <v>#DIV/0!</v>
      </c>
    </row>
    <row r="13" spans="1:7" ht="15.75" customHeight="1">
      <c r="B13" s="585" t="s">
        <v>39</v>
      </c>
      <c r="C13" s="385">
        <f>'Renewal Rates '!D33</f>
        <v>0</v>
      </c>
      <c r="D13" s="385">
        <f>'Renewal Rates '!F33</f>
        <v>0</v>
      </c>
      <c r="E13" s="398" t="e">
        <f>D13/C13-1</f>
        <v>#DIV/0!</v>
      </c>
      <c r="F13" s="385">
        <f>'Renewal Rates '!I33</f>
        <v>0</v>
      </c>
      <c r="G13" s="399" t="e">
        <f>F13/C13-1</f>
        <v>#DIV/0!</v>
      </c>
    </row>
    <row r="14" spans="1:7" s="233" customFormat="1" ht="15.75" customHeight="1">
      <c r="B14" s="585" t="s">
        <v>133</v>
      </c>
      <c r="C14" s="385">
        <f>'Renewal Rates '!D40</f>
        <v>0</v>
      </c>
      <c r="D14" s="385">
        <f>'Renewal Rates '!F40</f>
        <v>0</v>
      </c>
      <c r="E14" s="398" t="e">
        <f>D14/C14-1</f>
        <v>#DIV/0!</v>
      </c>
      <c r="F14" s="385">
        <f>'Renewal Rates '!I40</f>
        <v>0</v>
      </c>
      <c r="G14" s="399" t="e">
        <f>F14/C14-1</f>
        <v>#DIV/0!</v>
      </c>
    </row>
    <row r="15" spans="1:7" ht="15.75" customHeight="1">
      <c r="B15" s="585" t="s">
        <v>40</v>
      </c>
      <c r="C15" s="385">
        <f>'Renewal Rates '!D49</f>
        <v>0</v>
      </c>
      <c r="D15" s="385">
        <f>'Renewal Rates '!F49</f>
        <v>0</v>
      </c>
      <c r="E15" s="398" t="e">
        <f>D15/C15-1</f>
        <v>#DIV/0!</v>
      </c>
      <c r="F15" s="385">
        <f>'Renewal Rates '!I49</f>
        <v>0</v>
      </c>
      <c r="G15" s="399" t="e">
        <f>F15/C15-1</f>
        <v>#DIV/0!</v>
      </c>
    </row>
    <row r="16" spans="1:7" ht="15.75" customHeight="1">
      <c r="B16" s="585" t="s">
        <v>41</v>
      </c>
      <c r="C16" s="385">
        <f>'Renewal Rates '!D66</f>
        <v>0</v>
      </c>
      <c r="D16" s="385">
        <f>'Renewal Rates '!F66</f>
        <v>0</v>
      </c>
      <c r="E16" s="398" t="e">
        <f t="shared" si="0"/>
        <v>#DIV/0!</v>
      </c>
      <c r="F16" s="385">
        <f>'Renewal Rates '!I66</f>
        <v>0</v>
      </c>
      <c r="G16" s="399" t="e">
        <f t="shared" si="1"/>
        <v>#DIV/0!</v>
      </c>
    </row>
    <row r="17" spans="1:7" s="233" customFormat="1" ht="15.75" customHeight="1">
      <c r="B17" s="585" t="s">
        <v>110</v>
      </c>
      <c r="C17" s="385">
        <f>'Renewal Rates '!D83</f>
        <v>0</v>
      </c>
      <c r="D17" s="385">
        <f>'Renewal Rates '!F83</f>
        <v>0</v>
      </c>
      <c r="E17" s="398" t="e">
        <f t="shared" si="0"/>
        <v>#DIV/0!</v>
      </c>
      <c r="F17" s="385">
        <f>'Renewal Rates '!I83</f>
        <v>0</v>
      </c>
      <c r="G17" s="399" t="e">
        <f t="shared" si="1"/>
        <v>#DIV/0!</v>
      </c>
    </row>
    <row r="18" spans="1:7" s="233" customFormat="1" ht="15.75" customHeight="1">
      <c r="B18" s="585" t="s">
        <v>680</v>
      </c>
      <c r="C18" s="385">
        <f>'Renewal Rates '!D100</f>
        <v>0</v>
      </c>
      <c r="D18" s="385">
        <f>'Renewal Rates '!F100</f>
        <v>0</v>
      </c>
      <c r="E18" s="398" t="e">
        <f t="shared" si="0"/>
        <v>#DIV/0!</v>
      </c>
      <c r="F18" s="385">
        <f>'Renewal Rates '!I100</f>
        <v>0</v>
      </c>
      <c r="G18" s="399" t="e">
        <f t="shared" si="1"/>
        <v>#DIV/0!</v>
      </c>
    </row>
    <row r="19" spans="1:7" ht="15.75" customHeight="1">
      <c r="B19" s="585" t="s">
        <v>432</v>
      </c>
      <c r="C19" s="385">
        <f>'Renewal Rates '!D117</f>
        <v>0</v>
      </c>
      <c r="D19" s="385">
        <f>'Renewal Rates '!F117</f>
        <v>0</v>
      </c>
      <c r="E19" s="398" t="e">
        <f t="shared" si="0"/>
        <v>#DIV/0!</v>
      </c>
      <c r="F19" s="385">
        <f>'Renewal Rates '!I117</f>
        <v>0</v>
      </c>
      <c r="G19" s="399" t="e">
        <f t="shared" si="1"/>
        <v>#DIV/0!</v>
      </c>
    </row>
    <row r="20" spans="1:7" ht="15.75" customHeight="1">
      <c r="B20" s="585" t="s">
        <v>44</v>
      </c>
      <c r="C20" s="385">
        <f>'Renewal Rates '!D134</f>
        <v>0</v>
      </c>
      <c r="D20" s="385">
        <f>'Renewal Rates '!F134</f>
        <v>0</v>
      </c>
      <c r="E20" s="398" t="e">
        <f t="shared" si="0"/>
        <v>#DIV/0!</v>
      </c>
      <c r="F20" s="385">
        <f>'Renewal Rates '!I134</f>
        <v>0</v>
      </c>
      <c r="G20" s="399" t="e">
        <f t="shared" si="1"/>
        <v>#DIV/0!</v>
      </c>
    </row>
    <row r="21" spans="1:7" s="233" customFormat="1" ht="15.75" customHeight="1">
      <c r="B21" s="585" t="s">
        <v>437</v>
      </c>
      <c r="C21" s="385">
        <f>'Renewal Rates '!D151</f>
        <v>0</v>
      </c>
      <c r="D21" s="385">
        <f>'Renewal Rates '!F151</f>
        <v>0</v>
      </c>
      <c r="E21" s="398" t="e">
        <f t="shared" si="0"/>
        <v>#DIV/0!</v>
      </c>
      <c r="F21" s="385">
        <f>'Renewal Rates '!I151</f>
        <v>0</v>
      </c>
      <c r="G21" s="399" t="e">
        <f t="shared" si="1"/>
        <v>#DIV/0!</v>
      </c>
    </row>
    <row r="22" spans="1:7" s="233" customFormat="1" ht="15.75" customHeight="1">
      <c r="B22" s="585" t="s">
        <v>134</v>
      </c>
      <c r="C22" s="385">
        <f>'Renewal Rates '!D158</f>
        <v>0</v>
      </c>
      <c r="D22" s="385">
        <f>'Renewal Rates '!F158</f>
        <v>0</v>
      </c>
      <c r="E22" s="398" t="e">
        <f t="shared" si="0"/>
        <v>#DIV/0!</v>
      </c>
      <c r="F22" s="385">
        <f>'Renewal Rates '!I158</f>
        <v>0</v>
      </c>
      <c r="G22" s="399" t="e">
        <f t="shared" si="1"/>
        <v>#DIV/0!</v>
      </c>
    </row>
    <row r="23" spans="1:7" ht="15.75" customHeight="1">
      <c r="B23" s="416" t="s">
        <v>45</v>
      </c>
      <c r="C23" s="417">
        <f>SUM(C10:C22)</f>
        <v>0</v>
      </c>
      <c r="D23" s="417">
        <f>SUM(D10:D22)</f>
        <v>0</v>
      </c>
      <c r="E23" s="418" t="e">
        <f>D25/C24</f>
        <v>#DIV/0!</v>
      </c>
      <c r="F23" s="417">
        <f>SUM(F10:F22)</f>
        <v>0</v>
      </c>
      <c r="G23" s="419" t="e">
        <f>F25/C24</f>
        <v>#DIV/0!</v>
      </c>
    </row>
    <row r="24" spans="1:7" ht="15.75" customHeight="1">
      <c r="B24" s="416" t="s">
        <v>46</v>
      </c>
      <c r="C24" s="417">
        <f>C23*12</f>
        <v>0</v>
      </c>
      <c r="D24" s="417">
        <f>D23*12</f>
        <v>0</v>
      </c>
      <c r="E24" s="418"/>
      <c r="F24" s="417">
        <f>F23*12</f>
        <v>0</v>
      </c>
      <c r="G24" s="419"/>
    </row>
    <row r="25" spans="1:7" ht="15" customHeight="1">
      <c r="B25" s="420" t="s">
        <v>47</v>
      </c>
      <c r="C25" s="421"/>
      <c r="D25" s="422">
        <f>D24-C24</f>
        <v>0</v>
      </c>
      <c r="E25" s="423"/>
      <c r="F25" s="422">
        <f>F24-C24</f>
        <v>0</v>
      </c>
      <c r="G25" s="424"/>
    </row>
    <row r="26" spans="1:7" ht="9" customHeight="1">
      <c r="B26" s="5"/>
      <c r="C26" s="5"/>
      <c r="D26" s="5"/>
      <c r="E26" s="6"/>
      <c r="F26" s="40"/>
    </row>
    <row r="27" spans="1:7" hidden="1">
      <c r="A27" s="392" t="s">
        <v>574</v>
      </c>
      <c r="B27" s="392"/>
      <c r="C27" s="263"/>
      <c r="D27" s="5"/>
      <c r="E27" s="5"/>
      <c r="F27" s="6"/>
    </row>
    <row r="28" spans="1:7" ht="4.5" hidden="1" customHeight="1">
      <c r="A28" s="9"/>
      <c r="B28" s="234"/>
      <c r="C28" s="233"/>
      <c r="D28" s="5"/>
      <c r="E28" s="5"/>
      <c r="F28" s="6"/>
      <c r="G28" s="233"/>
    </row>
    <row r="29" spans="1:7" ht="30" hidden="1" customHeight="1">
      <c r="A29" s="1012" t="s">
        <v>573</v>
      </c>
      <c r="B29" s="1012"/>
      <c r="C29" s="1012"/>
      <c r="D29" s="1012"/>
      <c r="E29" s="1012"/>
      <c r="F29" s="1012"/>
      <c r="G29" s="1012"/>
    </row>
    <row r="30" spans="1:7" ht="28.5" hidden="1" customHeight="1">
      <c r="A30" s="1012" t="s">
        <v>789</v>
      </c>
      <c r="B30" s="1012"/>
      <c r="C30" s="1012"/>
      <c r="D30" s="1012"/>
      <c r="E30" s="1012"/>
      <c r="F30" s="1012"/>
      <c r="G30" s="1012"/>
    </row>
    <row r="31" spans="1:7">
      <c r="A31" s="392" t="s">
        <v>57</v>
      </c>
      <c r="B31" s="9"/>
    </row>
    <row r="32" spans="1:7" ht="6" customHeight="1">
      <c r="B32" s="9"/>
    </row>
    <row r="33" spans="1:7" ht="30" hidden="1" customHeight="1">
      <c r="A33" s="90" t="s">
        <v>320</v>
      </c>
      <c r="B33" s="1011" t="e">
        <v>#DIV/0!</v>
      </c>
      <c r="C33" s="1011"/>
      <c r="D33" s="1011"/>
      <c r="E33" s="1011"/>
      <c r="F33" s="1011"/>
      <c r="G33" s="1011"/>
    </row>
    <row r="34" spans="1:7" ht="30" customHeight="1">
      <c r="A34" s="218" t="s">
        <v>320</v>
      </c>
      <c r="B34" s="1010" t="e">
        <f>IF(G10^2+E10^2=0,("The  Life rate is scheduled to renew with a no change. "),IF(G10=E10,("The Life rate is scheduled to renew with a "&amp;IF(G10&lt;&gt;0,(TEXT((ABS(G10)),"0.0%")&amp;IF(G10&gt;0," increase. "," decrease. ")),"no change. ")),(("The Life rate is scheduled to renew with a "&amp;IF(G10&lt;&gt;0,(TEXT((ABS(G10)),"0.0%")&amp;IF(G10&gt;0," increase"," decrease")),"no change")&amp;" against the initial proposed "&amp;IF(E10&lt;&gt;0,(TEXT((ABS(E10)),"0.0%")&amp;IF(E10&gt;0," increase. "," decrease. ")),"no change. ")))))&amp;IF('Experience Summary'!E11&lt;&gt;0,"There has been " &amp; COUNT('Pooled Benefits '!G43:H46)-1 &amp; " open claim(s) over the current period.","There have been no claims over the current period.")</f>
        <v>#DIV/0!</v>
      </c>
      <c r="C34" s="1010"/>
      <c r="D34" s="1010"/>
      <c r="E34" s="1010"/>
      <c r="F34" s="1010"/>
      <c r="G34" s="1010"/>
    </row>
    <row r="35" spans="1:7" ht="30" customHeight="1">
      <c r="A35" s="218" t="s">
        <v>320</v>
      </c>
      <c r="B35" s="1010" t="e">
        <f>IF(G11^2+E11^2=0,("The  AD&amp;D rate is scheduled to renew with a no change. "),IF(G11=E11,("The AD&amp;D rate is scheduled to renew with a "&amp;IF(G11&lt;&gt;0,(TEXT((ABS(G11)),"0.0%")&amp;IF(G11&gt;0," increase. "," decrease. ")),"no change. ")),(("The AD&amp;D rate is scheduled to renew with a "&amp;IF(G11&lt;&gt;0,(TEXT((ABS(G11)),"0.0%")&amp;IF(G11&gt;0," increase"," decrease")),"no change")&amp;" against the initial proposed "&amp;IF(E11&lt;&gt;0,(TEXT((ABS(E11)),"0.0%")&amp;IF(E11&gt;0," increase. "," decrease. ")),"no change. ")))))&amp;IF('Experience Summary'!E12&lt;&gt;0,"There has been " &amp; COUNT('AD&amp;D Dep Life '!G9:H11)-1 &amp; " open claim(s) over the current period.","There have been no claims over the current period.")</f>
        <v>#DIV/0!</v>
      </c>
      <c r="C35" s="1010"/>
      <c r="D35" s="1010"/>
      <c r="E35" s="1010"/>
      <c r="F35" s="1010"/>
      <c r="G35" s="1010"/>
    </row>
    <row r="36" spans="1:7" ht="30" customHeight="1">
      <c r="A36" s="218" t="s">
        <v>320</v>
      </c>
      <c r="B36" s="1010" t="e">
        <f>IF(G12^2+E12^2=0,("The  Dependent Life rate is scheduled to renew with a no change. "),IF(G12=E12,("The Dependent Life rate is scheduled to renew with a "&amp;IF(G12&lt;&gt;0,(TEXT((ABS(G12)),"0.0%")&amp;IF(G12&gt;0," increase. "," decrease. ")),"no change. ")),(("The Dependent Life rate is scheduled to renew with a "&amp;IF(G12&lt;&gt;0,(TEXT((ABS(G12)),"0.0%")&amp;IF(G12&gt;0," increase"," decrease")),"no change")&amp;" against the initial proposed "&amp;IF(E12&lt;&gt;0,(TEXT((ABS(E12)),"0.0%")&amp;IF(E12&gt;0," increase. "," decrease. ")),"no change. ")))))&amp;IF('Experience Summary'!E13&lt;&gt;0,"There has been " &amp; COUNT('AD&amp;D Dep Life '!G27:H29)-1 &amp; " open claim(s) over the current period.","There have been no claims over the current period.")</f>
        <v>#DIV/0!</v>
      </c>
      <c r="C36" s="1010"/>
      <c r="D36" s="1010"/>
      <c r="E36" s="1010"/>
      <c r="F36" s="1010"/>
      <c r="G36" s="1010"/>
    </row>
    <row r="37" spans="1:7" ht="30" customHeight="1">
      <c r="A37" s="218" t="s">
        <v>320</v>
      </c>
      <c r="B37" s="1010" t="e">
        <f>IF(G13^2+E13^2=0,("The  LTD rate is scheduled to renew with a no change. "),IF(G13=E13,("The LTD rate is scheduled to renew with a "&amp;IF(G13&lt;&gt;0,(TEXT((ABS(G13)),"0.0%")&amp;IF(G13&gt;0," increase. "," decrease. ")),"no change. ")),(("The LTD rate is scheduled to renew with a "&amp;IF(G13&lt;&gt;0,(TEXT((ABS(G13)),"0.0%")&amp;IF(G13&gt;0," increase"," decrease")),"no change")&amp;" against the initial proposed "&amp;IF(E13&lt;&gt;0,(TEXT((ABS(E13)),"0.0%")&amp;IF(E13&gt;0," increase. "," decrease. ")),"no change. ")))))&amp;IF('Experience Summary'!E14&lt;&gt;0,"There has been " &amp; COUNT('Long Term Disability'!E42:F43)-1 &amp; " open claim(s) over the current period.","There have been no claims over the current period.")</f>
        <v>#DIV/0!</v>
      </c>
      <c r="C37" s="1010"/>
      <c r="D37" s="1010"/>
      <c r="E37" s="1010"/>
      <c r="F37" s="1010"/>
      <c r="G37" s="1010"/>
    </row>
    <row r="38" spans="1:7" s="233" customFormat="1" ht="30" customHeight="1">
      <c r="A38" s="218" t="s">
        <v>320</v>
      </c>
      <c r="B38" s="1015" t="e">
        <f>IF(G14^2+E14^2=0,("The Critical Illness rate is scheduled to renew with a no change. "),IF(G14=E14,("The Critical Illness rate is scheduled to renew with a "&amp;IF(G14&lt;&gt;0,(TEXT((ABS(G14)),"0.0%")&amp;IF(G14&gt;0," increase. "," decrease. ")),"no change. ")),(("The Critical Illness rate is scheduled to renew with a "&amp;IF(G14&lt;&gt;0,(TEXT((ABS(G14)),"0.0%")&amp;IF(G14&gt;0," increase"," decrease")),"no change")&amp;" against the initial proposed "&amp;IF(E14&lt;&gt;0,(TEXT((ABS(E14)),"0.0%")&amp;IF(E14&gt;0," increase. "," decrease. ")),"no change. ")))))&amp;IF('Experience Summary'!E15&lt;&gt;0,"There has been " &amp; COUNT('Long Term Disability'!E43:F44)-1 &amp; " open claim(s) over the current period.","There have been no claims over the current period.")</f>
        <v>#DIV/0!</v>
      </c>
      <c r="C38" s="1015"/>
      <c r="D38" s="1015"/>
      <c r="E38" s="1015"/>
      <c r="F38" s="1015"/>
      <c r="G38" s="1015"/>
    </row>
    <row r="39" spans="1:7" ht="14.25" customHeight="1">
      <c r="A39" s="392" t="s">
        <v>11</v>
      </c>
      <c r="B39" s="90"/>
      <c r="C39" s="44"/>
      <c r="D39" s="44"/>
      <c r="E39" s="44"/>
      <c r="F39" s="44"/>
      <c r="G39" s="44"/>
    </row>
    <row r="40" spans="1:7" ht="6" customHeight="1">
      <c r="A40" s="9"/>
      <c r="B40" s="90"/>
      <c r="C40" s="44"/>
      <c r="D40" s="44"/>
      <c r="E40" s="44"/>
      <c r="F40" s="44"/>
      <c r="G40" s="44"/>
    </row>
    <row r="41" spans="1:7" ht="30" customHeight="1">
      <c r="A41" s="90" t="s">
        <v>320</v>
      </c>
      <c r="B41" s="1010" t="e">
        <f>IF(G15^2+E15^2=0,("The  STD rate is scheduled to renew with a no change. "),IF(G15=E15,("The STD rate is scheduled to renew with a "&amp;IF(G15&lt;&gt;0,(TEXT((ABS(G15)),"0.0%")&amp;IF(G15&gt;0," increase. "," decrease. ")),"no change. ")),(("The STD rate is scheduled to renew with a "&amp;IF(G15&lt;&gt;0,(TEXT((ABS(G15)),"0.0%")&amp;IF(G15&gt;0," increase"," decrease")),"no change")&amp;" against the initial proposed "&amp;IF(E15&lt;&gt;0,(TEXT((ABS(E15)),"0.0%")&amp;IF(E15&gt;0," increase. "," decrease. ")),"no change. ")))))&amp;" The benefit is trending at a " &amp;TEXT('Experience Summary'!F19, "0.0%") &amp;" incurred loss ratio over the current period."</f>
        <v>#DIV/0!</v>
      </c>
      <c r="C41" s="1010"/>
      <c r="D41" s="1010"/>
      <c r="E41" s="1010"/>
      <c r="F41" s="1010"/>
      <c r="G41" s="1010"/>
    </row>
    <row r="42" spans="1:7" ht="30" customHeight="1">
      <c r="A42" s="90" t="s">
        <v>320</v>
      </c>
      <c r="B42" s="1010" t="e">
        <f>IF(G16^2+E16^2=0,("The Health rate is scheduled to renew with a no change."),IF(G16=E16,("The Health rate is scheduled to renew with a "&amp;IF(G16&lt;&gt;0,(TEXT((ABS(G16)),"0.0%")&amp;IF(G16&gt;0," increase."," decrease.")),"no change.")),(("The Health rate is scheduled to renew with a "&amp;IF(G16&lt;&gt;0,(TEXT((ABS(G16)),"0.0%")&amp;IF(G16&gt;0," increase"," decrease")),"no change")&amp;" against the initial proposed "&amp;IF(E16&lt;&gt;0,(TEXT((ABS(E16)),"0.0%")&amp;IF(E16&gt;0," increase."," decrease.")),"no change.")))))&amp;" The benefit is trending at a " &amp;TEXT('Experience Summary'!F21, "0.0%") &amp;" incurred loss ratio over the current period."</f>
        <v>#DIV/0!</v>
      </c>
      <c r="C42" s="1010"/>
      <c r="D42" s="1010"/>
      <c r="E42" s="1010"/>
      <c r="F42" s="1010"/>
      <c r="G42" s="1010"/>
    </row>
    <row r="43" spans="1:7" s="233" customFormat="1" ht="30" customHeight="1">
      <c r="A43" s="90" t="s">
        <v>320</v>
      </c>
      <c r="B43" s="1010" t="e">
        <f>IF(G17^2+E17^2=0,("The Drug rate is scheduled to renew with a no change."),IF(G17=E17,("The Drug rate is scheduled to renew with a "&amp;IF(G17&lt;&gt;0,(TEXT((ABS(G17)),"0.0%")&amp;IF(G17&gt;0," increase."," decrease.")),"no change.")),(("The Drug rate is scheduled to renew with a "&amp;IF(G17&lt;&gt;0,(TEXT((ABS(G17)),"0.0%")&amp;IF(G17&gt;0," increase"," decrease")),"no change")&amp;" against the initial proposed "&amp;IF(E17&lt;&gt;0,(TEXT((ABS(E17)),"0.0%")&amp;IF(E17&gt;0," increase."," decrease.")),"no change.")))))&amp;" The benefit is trending at a " &amp;TEXT('Experience Summary'!F22, "0.0%") &amp;" incurred loss ratio over the current period."</f>
        <v>#DIV/0!</v>
      </c>
      <c r="C43" s="1010"/>
      <c r="D43" s="1010"/>
      <c r="E43" s="1010"/>
      <c r="F43" s="1010"/>
      <c r="G43" s="1010"/>
    </row>
    <row r="44" spans="1:7" s="233" customFormat="1" ht="30" customHeight="1">
      <c r="A44" s="90" t="s">
        <v>320</v>
      </c>
      <c r="B44" s="1010" t="e">
        <f>IF(G18^2+E18^2=0,("The Vision rate is scheduled to renew with a no change."),IF(G18=E18,("The Vision rate is scheduled to renew with a "&amp;IF(G18&lt;&gt;0,(TEXT((ABS(G18)),"0.0%")&amp;IF(G18&gt;0," increase."," decrease.")),"no change.")),(("The Vision rate is scheduled to renew with a "&amp;IF(G18&lt;&gt;0,(TEXT((ABS(G18)),"0.0%")&amp;IF(G18&gt;0," increase"," decrease")),"no change")&amp;" against the initial proposed "&amp;IF(E18&lt;&gt;0,(TEXT((ABS(E18)),"0.0%")&amp;IF(E18&gt;0," increase."," decrease.")),"no change.")))))&amp;" The benefit is trending at a " &amp;TEXT('Experience Summary'!F23, "0.0%") &amp;" incurred loss ratio over the current period."</f>
        <v>#DIV/0!</v>
      </c>
      <c r="C44" s="1010"/>
      <c r="D44" s="1010"/>
      <c r="E44" s="1010"/>
      <c r="F44" s="1010"/>
      <c r="G44" s="1010"/>
    </row>
    <row r="45" spans="1:7" ht="30" customHeight="1">
      <c r="A45" s="90" t="s">
        <v>320</v>
      </c>
      <c r="B45" s="1010" t="e">
        <f>IF(G20^2+E20^2=0,("The Dental rate is scheduled to renew with a no change."),IF(G20=E20,("The Dental rate is scheduled to renew with a "&amp;IF(G20&lt;&gt;0,(TEXT((ABS(G20)),"0.0%")&amp;IF(G20&gt;0," increase."," decrease.")),"no change.")),(("The Dental rate is scheduled to renew with a "&amp;IF(G20&lt;&gt;0,(TEXT((ABS(G20)),"0.0%")&amp;IF(G20&gt;0," increase"," decrease")),"no change")&amp;" against the initial proposed "&amp;IF(E20&lt;&gt;0,(TEXT((ABS(E20)),"0.0%")&amp;IF(E20&gt;0," increase."," decrease.")),"no change.")))))&amp;" The benefit is trending at a " &amp;TEXT('Experience Summary'!F24, "0.0%") &amp;" incurred loss ratio over the current period."</f>
        <v>#DIV/0!</v>
      </c>
      <c r="C45" s="1010"/>
      <c r="D45" s="1010"/>
      <c r="E45" s="1010"/>
      <c r="F45" s="1010"/>
      <c r="G45" s="1010"/>
    </row>
    <row r="46" spans="1:7" s="364" customFormat="1" ht="15" customHeight="1">
      <c r="A46" s="90" t="s">
        <v>320</v>
      </c>
      <c r="B46" s="1014" t="str">
        <f>"Over the last year the carrier's EHC trend was "&amp;'Extended Health Care (EHC)'!B18*100&amp;"%."</f>
        <v>Over the last year the carrier's EHC trend was 0%.</v>
      </c>
      <c r="C46" s="1014"/>
      <c r="D46" s="1014"/>
      <c r="E46" s="1014"/>
      <c r="F46" s="1014"/>
      <c r="G46" s="1014"/>
    </row>
    <row r="47" spans="1:7" s="364" customFormat="1" ht="15" customHeight="1">
      <c r="A47" s="90" t="s">
        <v>320</v>
      </c>
      <c r="B47" s="1014" t="str">
        <f>"Over the last year the carrier's Dental trend was "&amp;'Dental Care'!B15*100&amp;"%."</f>
        <v>Over the last year the carrier's Dental trend was 0%.</v>
      </c>
      <c r="C47" s="1014"/>
      <c r="D47" s="1014"/>
      <c r="E47" s="1014"/>
      <c r="F47" s="1014"/>
      <c r="G47" s="1014"/>
    </row>
    <row r="48" spans="1:7" ht="15" customHeight="1">
      <c r="A48" s="90" t="s">
        <v>320</v>
      </c>
      <c r="B48" s="1014" t="e">
        <f>"Over the last "&amp;COUNT('Trend Review'!F6:F10,1)&amp;" year(s), your own EHC trend is "&amp;TEXT('Extended Health Care (EHC)'!B19*100,"0.0")&amp;"% compared to the carrier's trend of "&amp;'Extended Health Care (EHC)'!B18*100&amp;"%."</f>
        <v>#VALUE!</v>
      </c>
      <c r="C48" s="1014"/>
      <c r="D48" s="1014"/>
      <c r="E48" s="1014"/>
      <c r="F48" s="1014"/>
      <c r="G48" s="1014"/>
    </row>
    <row r="49" spans="1:7" ht="15" customHeight="1">
      <c r="A49" s="90" t="s">
        <v>320</v>
      </c>
      <c r="B49" s="1014" t="e">
        <f>"Over the last "&amp;COUNT('Trend Review'!F14:F18,1)&amp;" year(s), your own Dental trend is "&amp;TEXT('Dental Care'!B16:C16*100,"0.0")&amp;"% compared to the carrier's trend of "&amp;'Dental Care'!B15:C15*100&amp;"%."</f>
        <v>#VALUE!</v>
      </c>
      <c r="C49" s="1014"/>
      <c r="D49" s="1014"/>
      <c r="E49" s="1014"/>
      <c r="F49" s="1014"/>
      <c r="G49" s="1014"/>
    </row>
  </sheetData>
  <mergeCells count="21">
    <mergeCell ref="A4:G4"/>
    <mergeCell ref="A6:G6"/>
    <mergeCell ref="B49:G49"/>
    <mergeCell ref="B48:G48"/>
    <mergeCell ref="B45:G45"/>
    <mergeCell ref="B42:G42"/>
    <mergeCell ref="B41:G41"/>
    <mergeCell ref="B46:G46"/>
    <mergeCell ref="B47:G47"/>
    <mergeCell ref="A29:G29"/>
    <mergeCell ref="B38:G38"/>
    <mergeCell ref="B44:G44"/>
    <mergeCell ref="B43:G43"/>
    <mergeCell ref="D8:E8"/>
    <mergeCell ref="F8:G8"/>
    <mergeCell ref="B37:G37"/>
    <mergeCell ref="B36:G36"/>
    <mergeCell ref="B35:G35"/>
    <mergeCell ref="B34:G34"/>
    <mergeCell ref="B33:G33"/>
    <mergeCell ref="A30:G30"/>
  </mergeCells>
  <pageMargins left="0.40500000000000003" right="0.47453703703703698" top="0.55118110236220497" bottom="0.94488188976377996" header="0.31496062992126" footer="0.31496062992126"/>
  <pageSetup scale="82" orientation="portrait" r:id="rId1"/>
  <headerFooter scaleWithDoc="0">
    <oddHeader>&amp;C&amp;G</oddHeader>
    <oddFooter>&amp;C&amp;G&amp;R&amp;P</oddFooter>
  </headerFooter>
  <legacyDrawingHF r:id="rId2"/>
  <tableParts count="1">
    <tablePart r:id="rId3"/>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44">
    <tabColor rgb="FFFF0000"/>
  </sheetPr>
  <dimension ref="A1:C77"/>
  <sheetViews>
    <sheetView showGridLines="0" view="pageLayout" topLeftCell="A21" zoomScaleNormal="100" workbookViewId="0">
      <selection activeCell="H10" sqref="H10"/>
    </sheetView>
  </sheetViews>
  <sheetFormatPr baseColWidth="10" defaultColWidth="9.1640625" defaultRowHeight="15"/>
  <cols>
    <col min="1" max="1" width="27.1640625" style="63" customWidth="1"/>
    <col min="2" max="3" width="33.1640625" style="63" customWidth="1"/>
    <col min="4" max="4" width="5.33203125" customWidth="1"/>
    <col min="7" max="7" width="7.5" customWidth="1"/>
  </cols>
  <sheetData>
    <row r="1" spans="1:3" ht="21" customHeight="1">
      <c r="A1"/>
      <c r="B1"/>
      <c r="C1"/>
    </row>
    <row r="2" spans="1:3" s="1" customFormat="1" ht="15" customHeight="1">
      <c r="A2" s="1004" t="s">
        <v>29</v>
      </c>
      <c r="B2" s="1004"/>
      <c r="C2" s="205"/>
    </row>
    <row r="3" spans="1:3" s="1" customFormat="1" ht="15" customHeight="1">
      <c r="A3" s="1004"/>
      <c r="B3" s="1004"/>
      <c r="C3" s="205"/>
    </row>
    <row r="4" spans="1:3" s="1" customFormat="1" ht="3.75" customHeight="1">
      <c r="A4" s="207"/>
      <c r="B4" s="207"/>
      <c r="C4" s="48"/>
    </row>
    <row r="5" spans="1:3" s="1" customFormat="1" ht="15" customHeight="1">
      <c r="A5" s="593" t="s">
        <v>260</v>
      </c>
      <c r="B5" s="456" t="str">
        <f>'Plan Design 1'!B5</f>
        <v xml:space="preserve">Division/Class </v>
      </c>
      <c r="C5" s="592" t="str">
        <f>'Plan Design 1'!C5</f>
        <v xml:space="preserve">Division/Class </v>
      </c>
    </row>
    <row r="6" spans="1:3" s="1" customFormat="1" ht="4.5" customHeight="1">
      <c r="A6" s="761"/>
      <c r="B6" s="762"/>
      <c r="C6" s="762"/>
    </row>
    <row r="7" spans="1:3" s="1" customFormat="1" ht="15" customHeight="1">
      <c r="A7" s="597" t="s">
        <v>236</v>
      </c>
      <c r="B7" s="598"/>
      <c r="C7" s="599"/>
    </row>
    <row r="8" spans="1:3" s="1" customFormat="1" ht="15" customHeight="1">
      <c r="A8" s="523" t="s">
        <v>237</v>
      </c>
      <c r="B8" s="813"/>
      <c r="C8" s="813"/>
    </row>
    <row r="9" spans="1:3" s="1" customFormat="1" ht="15" customHeight="1">
      <c r="A9" s="523" t="s">
        <v>238</v>
      </c>
      <c r="B9" s="577"/>
      <c r="C9" s="577"/>
    </row>
    <row r="10" spans="1:3" s="1" customFormat="1" ht="15" customHeight="1">
      <c r="A10" s="523" t="s">
        <v>113</v>
      </c>
      <c r="B10" s="577"/>
      <c r="C10" s="577"/>
    </row>
    <row r="11" spans="1:3" s="1" customFormat="1" ht="26">
      <c r="A11" s="523" t="s">
        <v>291</v>
      </c>
      <c r="B11" s="577"/>
      <c r="C11" s="577"/>
    </row>
    <row r="12" spans="1:3" s="1" customFormat="1" ht="26">
      <c r="A12" s="523" t="s">
        <v>458</v>
      </c>
      <c r="B12" s="577"/>
      <c r="C12" s="577"/>
    </row>
    <row r="13" spans="1:3" s="1" customFormat="1" ht="15" customHeight="1">
      <c r="A13" s="523" t="s">
        <v>336</v>
      </c>
      <c r="B13" s="577"/>
      <c r="C13" s="577"/>
    </row>
    <row r="14" spans="1:3" s="1" customFormat="1" ht="15" customHeight="1">
      <c r="A14" s="523" t="s">
        <v>338</v>
      </c>
      <c r="B14" s="577"/>
      <c r="C14" s="577"/>
    </row>
    <row r="15" spans="1:3" s="1" customFormat="1" ht="15" customHeight="1">
      <c r="A15" s="523" t="s">
        <v>239</v>
      </c>
      <c r="B15" s="577"/>
      <c r="C15" s="577"/>
    </row>
    <row r="16" spans="1:3" ht="15" customHeight="1">
      <c r="A16" s="523" t="s">
        <v>240</v>
      </c>
      <c r="B16" s="577"/>
      <c r="C16" s="577"/>
    </row>
    <row r="17" spans="1:3" ht="15" customHeight="1">
      <c r="A17" s="523" t="s">
        <v>241</v>
      </c>
      <c r="B17" s="577"/>
      <c r="C17" s="577"/>
    </row>
    <row r="18" spans="1:3" ht="15" customHeight="1">
      <c r="A18" s="523" t="s">
        <v>242</v>
      </c>
      <c r="B18" s="577"/>
      <c r="C18" s="577"/>
    </row>
    <row r="19" spans="1:3" ht="15" customHeight="1">
      <c r="A19" s="523" t="s">
        <v>243</v>
      </c>
      <c r="B19" s="577"/>
      <c r="C19" s="577"/>
    </row>
    <row r="20" spans="1:3" ht="15" customHeight="1">
      <c r="A20" s="523" t="s">
        <v>244</v>
      </c>
      <c r="B20" s="577"/>
      <c r="C20" s="577"/>
    </row>
    <row r="21" spans="1:3" ht="15" customHeight="1">
      <c r="A21" s="523" t="s">
        <v>245</v>
      </c>
      <c r="B21" s="577"/>
      <c r="C21" s="577"/>
    </row>
    <row r="22" spans="1:3" ht="15" customHeight="1">
      <c r="A22" s="523" t="s">
        <v>227</v>
      </c>
      <c r="B22" s="577"/>
      <c r="C22" s="577"/>
    </row>
    <row r="23" spans="1:3" ht="15" customHeight="1">
      <c r="A23" s="523" t="s">
        <v>235</v>
      </c>
      <c r="B23" s="577"/>
      <c r="C23" s="577"/>
    </row>
    <row r="24" spans="1:3" s="1" customFormat="1" ht="15" customHeight="1">
      <c r="A24" s="523" t="s">
        <v>586</v>
      </c>
      <c r="B24" s="577"/>
      <c r="C24" s="577"/>
    </row>
    <row r="25" spans="1:3" s="1" customFormat="1" ht="4.5" customHeight="1">
      <c r="A25" s="99"/>
      <c r="B25" s="99"/>
      <c r="C25" s="99"/>
    </row>
    <row r="26" spans="1:3" s="1" customFormat="1" ht="15" customHeight="1">
      <c r="A26" s="519" t="s">
        <v>110</v>
      </c>
      <c r="B26" s="581"/>
      <c r="C26" s="580"/>
    </row>
    <row r="27" spans="1:3" s="1" customFormat="1" ht="15" customHeight="1">
      <c r="A27" s="523" t="s">
        <v>237</v>
      </c>
      <c r="B27" s="813"/>
      <c r="C27" s="813"/>
    </row>
    <row r="28" spans="1:3" s="1" customFormat="1" ht="15" customHeight="1">
      <c r="A28" s="523" t="s">
        <v>238</v>
      </c>
      <c r="B28" s="577"/>
      <c r="C28" s="577"/>
    </row>
    <row r="29" spans="1:3" s="1" customFormat="1" ht="15" customHeight="1">
      <c r="A29" s="523" t="s">
        <v>246</v>
      </c>
      <c r="B29" s="577"/>
      <c r="C29" s="577"/>
    </row>
    <row r="30" spans="1:3" s="1" customFormat="1" ht="15" customHeight="1">
      <c r="A30" s="523" t="s">
        <v>247</v>
      </c>
      <c r="B30" s="577"/>
      <c r="C30" s="577"/>
    </row>
    <row r="31" spans="1:3" s="1" customFormat="1" ht="15" customHeight="1">
      <c r="A31" s="523" t="s">
        <v>219</v>
      </c>
      <c r="B31" s="577"/>
      <c r="C31" s="577"/>
    </row>
    <row r="32" spans="1:3" s="1" customFormat="1" ht="15" customHeight="1">
      <c r="A32" s="523" t="s">
        <v>248</v>
      </c>
      <c r="B32" s="577"/>
      <c r="C32" s="577"/>
    </row>
    <row r="33" spans="1:3" s="1" customFormat="1" ht="15" customHeight="1">
      <c r="A33" s="523" t="s">
        <v>249</v>
      </c>
      <c r="B33" s="577"/>
      <c r="C33" s="577"/>
    </row>
    <row r="34" spans="1:3" s="1" customFormat="1" ht="15" customHeight="1">
      <c r="A34" s="523" t="s">
        <v>328</v>
      </c>
      <c r="B34" s="577"/>
      <c r="C34" s="577"/>
    </row>
    <row r="35" spans="1:3" s="1" customFormat="1" ht="15" customHeight="1">
      <c r="A35" s="523" t="s">
        <v>250</v>
      </c>
      <c r="B35" s="577"/>
      <c r="C35" s="577"/>
    </row>
    <row r="36" spans="1:3" s="1" customFormat="1" ht="15" customHeight="1">
      <c r="A36" s="523" t="s">
        <v>227</v>
      </c>
      <c r="B36" s="577"/>
      <c r="C36" s="577"/>
    </row>
    <row r="37" spans="1:3" s="1" customFormat="1" ht="15" customHeight="1">
      <c r="A37" s="523" t="s">
        <v>235</v>
      </c>
      <c r="B37" s="577"/>
      <c r="C37" s="577"/>
    </row>
    <row r="38" spans="1:3" s="1" customFormat="1" ht="15" customHeight="1">
      <c r="A38" s="523" t="s">
        <v>586</v>
      </c>
      <c r="B38" s="577"/>
      <c r="C38" s="577"/>
    </row>
    <row r="39" spans="1:3" s="1" customFormat="1" ht="4.5" customHeight="1">
      <c r="A39" s="761"/>
      <c r="B39" s="762"/>
      <c r="C39" s="762"/>
    </row>
    <row r="40" spans="1:3" s="1" customFormat="1" ht="15" customHeight="1">
      <c r="A40" s="519" t="s">
        <v>252</v>
      </c>
      <c r="B40" s="581"/>
      <c r="C40" s="580"/>
    </row>
    <row r="41" spans="1:3" s="1" customFormat="1" ht="15" customHeight="1">
      <c r="A41" s="523" t="s">
        <v>253</v>
      </c>
      <c r="B41" s="577"/>
      <c r="C41" s="577"/>
    </row>
    <row r="42" spans="1:3" s="1" customFormat="1" ht="15" customHeight="1">
      <c r="A42" s="523" t="s">
        <v>254</v>
      </c>
      <c r="B42" s="577"/>
      <c r="C42" s="577"/>
    </row>
    <row r="43" spans="1:3" s="1" customFormat="1" ht="15" customHeight="1">
      <c r="A43" s="523" t="s">
        <v>227</v>
      </c>
      <c r="B43" s="577"/>
      <c r="C43" s="577"/>
    </row>
    <row r="44" spans="1:3" s="1" customFormat="1" ht="15" customHeight="1">
      <c r="A44" s="523" t="s">
        <v>235</v>
      </c>
      <c r="B44" s="577"/>
      <c r="C44" s="577"/>
    </row>
    <row r="45" spans="1:3" s="1" customFormat="1" ht="15" customHeight="1">
      <c r="A45" s="523" t="s">
        <v>586</v>
      </c>
      <c r="B45" s="577"/>
      <c r="C45" s="577"/>
    </row>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sheetData>
  <mergeCells count="1">
    <mergeCell ref="A2:B3"/>
  </mergeCells>
  <pageMargins left="0.405092592592593" right="0.47453703703703698" top="0.55118110236220497" bottom="0.94488188976377996" header="0.31496062992126" footer="0.31496062992126"/>
  <pageSetup scale="98" fitToHeight="0" orientation="portrait" r:id="rId1"/>
  <headerFooter scaleWithDoc="0">
    <oddHeader>&amp;C&amp;G</oddHeader>
    <oddFooter>&amp;C&amp;G&amp;R&amp;P</oddFooter>
  </headerFooter>
  <legacyDrawingHF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45">
    <tabColor rgb="FFFF0000"/>
  </sheetPr>
  <dimension ref="A1:C48"/>
  <sheetViews>
    <sheetView showGridLines="0" view="pageLayout" zoomScaleNormal="100" workbookViewId="0">
      <selection activeCell="H10" sqref="H10"/>
    </sheetView>
  </sheetViews>
  <sheetFormatPr baseColWidth="10" defaultColWidth="9.1640625" defaultRowHeight="15"/>
  <cols>
    <col min="1" max="1" width="27.1640625" style="63" customWidth="1"/>
    <col min="2" max="3" width="33.1640625" style="63" customWidth="1"/>
    <col min="4" max="4" width="5.33203125" customWidth="1"/>
    <col min="7" max="7" width="7.5" customWidth="1"/>
  </cols>
  <sheetData>
    <row r="1" spans="1:3" ht="21" customHeight="1">
      <c r="A1"/>
      <c r="B1"/>
      <c r="C1"/>
    </row>
    <row r="2" spans="1:3" s="1" customFormat="1" ht="15" customHeight="1">
      <c r="A2" s="1004" t="s">
        <v>29</v>
      </c>
      <c r="B2" s="1004"/>
      <c r="C2" s="205"/>
    </row>
    <row r="3" spans="1:3" s="1" customFormat="1" ht="15" customHeight="1">
      <c r="A3" s="1004"/>
      <c r="B3" s="1004"/>
      <c r="C3" s="205"/>
    </row>
    <row r="4" spans="1:3" s="1" customFormat="1" ht="3.75" customHeight="1">
      <c r="A4" s="207"/>
      <c r="B4" s="207"/>
      <c r="C4" s="48"/>
    </row>
    <row r="5" spans="1:3" s="1" customFormat="1" ht="15" customHeight="1">
      <c r="A5" s="594" t="s">
        <v>260</v>
      </c>
      <c r="B5" s="596" t="str">
        <f>'Plan Design 1'!B5</f>
        <v xml:space="preserve">Division/Class </v>
      </c>
      <c r="C5" s="595" t="str">
        <f>'Plan Design 1'!C5</f>
        <v xml:space="preserve">Division/Class </v>
      </c>
    </row>
    <row r="6" spans="1:3" s="1" customFormat="1" ht="3.75" customHeight="1">
      <c r="A6" s="772"/>
      <c r="B6" s="773"/>
      <c r="C6" s="773"/>
    </row>
    <row r="7" spans="1:3" s="1" customFormat="1" ht="15" customHeight="1">
      <c r="A7" s="519" t="s">
        <v>44</v>
      </c>
      <c r="B7" s="581"/>
      <c r="C7" s="580"/>
    </row>
    <row r="8" spans="1:3" s="1" customFormat="1" ht="15" customHeight="1">
      <c r="A8" s="523" t="s">
        <v>238</v>
      </c>
      <c r="B8" s="577"/>
      <c r="C8" s="577"/>
    </row>
    <row r="9" spans="1:3" s="1" customFormat="1" ht="15" customHeight="1">
      <c r="A9" s="523" t="s">
        <v>237</v>
      </c>
      <c r="B9" s="577"/>
      <c r="C9" s="577"/>
    </row>
    <row r="10" spans="1:3" s="1" customFormat="1" ht="15" customHeight="1">
      <c r="A10" s="523" t="s">
        <v>479</v>
      </c>
      <c r="B10" s="813"/>
      <c r="C10" s="813"/>
    </row>
    <row r="11" spans="1:3" s="1" customFormat="1" ht="15" customHeight="1">
      <c r="A11" s="523" t="s">
        <v>480</v>
      </c>
      <c r="B11" s="813"/>
      <c r="C11" s="813"/>
    </row>
    <row r="12" spans="1:3" s="1" customFormat="1" ht="15" customHeight="1">
      <c r="A12" s="523" t="s">
        <v>481</v>
      </c>
      <c r="B12" s="813"/>
      <c r="C12" s="813"/>
    </row>
    <row r="13" spans="1:3" s="1" customFormat="1" ht="15" customHeight="1">
      <c r="A13" s="523" t="s">
        <v>219</v>
      </c>
      <c r="B13" s="577"/>
      <c r="C13" s="577"/>
    </row>
    <row r="14" spans="1:3" ht="15" customHeight="1">
      <c r="A14" s="523" t="s">
        <v>479</v>
      </c>
      <c r="B14" s="577"/>
      <c r="C14" s="577"/>
    </row>
    <row r="15" spans="1:3" ht="15" customHeight="1">
      <c r="A15" s="523" t="s">
        <v>480</v>
      </c>
      <c r="B15" s="577"/>
      <c r="C15" s="577"/>
    </row>
    <row r="16" spans="1:3" ht="15" customHeight="1">
      <c r="A16" s="523" t="s">
        <v>481</v>
      </c>
      <c r="B16" s="577"/>
      <c r="C16" s="577"/>
    </row>
    <row r="17" spans="1:3" ht="15" customHeight="1">
      <c r="A17" s="523" t="s">
        <v>258</v>
      </c>
      <c r="B17" s="577"/>
      <c r="C17" s="577"/>
    </row>
    <row r="18" spans="1:3" ht="15" customHeight="1">
      <c r="A18" s="523" t="s">
        <v>329</v>
      </c>
      <c r="B18" s="577"/>
      <c r="C18" s="577"/>
    </row>
    <row r="19" spans="1:3" ht="15" customHeight="1">
      <c r="A19" s="523" t="s">
        <v>259</v>
      </c>
      <c r="B19" s="577"/>
      <c r="C19" s="577"/>
    </row>
    <row r="20" spans="1:3" ht="15" customHeight="1">
      <c r="A20" s="523" t="s">
        <v>227</v>
      </c>
      <c r="B20" s="577"/>
      <c r="C20" s="577"/>
    </row>
    <row r="21" spans="1:3" ht="15" customHeight="1">
      <c r="A21" s="523" t="s">
        <v>235</v>
      </c>
      <c r="B21" s="577"/>
      <c r="C21" s="577"/>
    </row>
    <row r="22" spans="1:3" s="1" customFormat="1" ht="15" customHeight="1">
      <c r="A22" s="523" t="s">
        <v>586</v>
      </c>
      <c r="B22" s="577"/>
      <c r="C22" s="577"/>
    </row>
    <row r="23" spans="1:3" s="1" customFormat="1" ht="4.5" customHeight="1">
      <c r="A23" s="772"/>
      <c r="B23" s="773"/>
      <c r="C23" s="774"/>
    </row>
    <row r="24" spans="1:3" s="1" customFormat="1" ht="15" customHeight="1">
      <c r="A24" s="519" t="s">
        <v>467</v>
      </c>
      <c r="B24" s="581"/>
      <c r="C24" s="580"/>
    </row>
    <row r="25" spans="1:3" s="1" customFormat="1" ht="15" customHeight="1">
      <c r="A25" s="523" t="s">
        <v>459</v>
      </c>
      <c r="B25" s="577"/>
      <c r="C25" s="577"/>
    </row>
    <row r="26" spans="1:3" s="1" customFormat="1" ht="15" customHeight="1">
      <c r="A26" s="523" t="s">
        <v>460</v>
      </c>
      <c r="B26" s="577"/>
      <c r="C26" s="577"/>
    </row>
    <row r="27" spans="1:3" s="1" customFormat="1" ht="4.5" customHeight="1">
      <c r="A27" s="772"/>
      <c r="B27" s="773"/>
      <c r="C27" s="773"/>
    </row>
    <row r="28" spans="1:3" s="1" customFormat="1" ht="15" customHeight="1">
      <c r="A28" s="519" t="s">
        <v>589</v>
      </c>
      <c r="B28" s="581"/>
      <c r="C28" s="580"/>
    </row>
    <row r="29" spans="1:3" s="1" customFormat="1" ht="15" customHeight="1">
      <c r="A29" s="523" t="s">
        <v>459</v>
      </c>
      <c r="B29" s="577"/>
      <c r="C29" s="577"/>
    </row>
    <row r="30" spans="1:3" s="1" customFormat="1" ht="15" customHeight="1">
      <c r="A30" s="746" t="s">
        <v>460</v>
      </c>
      <c r="B30" s="747"/>
      <c r="C30" s="747"/>
    </row>
    <row r="31" spans="1:3" s="1" customFormat="1" ht="4.5" customHeight="1">
      <c r="A31" s="772"/>
      <c r="B31" s="773"/>
      <c r="C31" s="774"/>
    </row>
    <row r="32" spans="1:3" s="1" customFormat="1" ht="15" customHeight="1">
      <c r="A32" s="751" t="s">
        <v>358</v>
      </c>
      <c r="B32" s="749"/>
      <c r="C32" s="750"/>
    </row>
    <row r="33" spans="1:3" s="1" customFormat="1" ht="15" customHeight="1">
      <c r="A33" s="523" t="s">
        <v>461</v>
      </c>
      <c r="B33" s="577"/>
      <c r="C33" s="577"/>
    </row>
    <row r="34" spans="1:3" s="1" customFormat="1" ht="16.5" customHeight="1">
      <c r="A34" s="523" t="s">
        <v>492</v>
      </c>
      <c r="B34" s="577"/>
      <c r="C34" s="577"/>
    </row>
    <row r="35" spans="1:3" s="1" customFormat="1" ht="4.5" customHeight="1">
      <c r="A35" s="772"/>
      <c r="B35" s="773"/>
      <c r="C35" s="774"/>
    </row>
    <row r="36" spans="1:3" s="1" customFormat="1" ht="15" customHeight="1">
      <c r="A36" s="519" t="s">
        <v>452</v>
      </c>
      <c r="B36" s="581"/>
      <c r="C36" s="580"/>
    </row>
    <row r="37" spans="1:3" s="1" customFormat="1" ht="15" customHeight="1">
      <c r="A37" s="523" t="s">
        <v>461</v>
      </c>
      <c r="B37" s="577"/>
      <c r="C37" s="577"/>
    </row>
    <row r="38" spans="1:3" s="1" customFormat="1" ht="15" customHeight="1">
      <c r="A38" s="746" t="s">
        <v>798</v>
      </c>
      <c r="B38" s="747"/>
      <c r="C38" s="747"/>
    </row>
    <row r="39" spans="1:3" s="1" customFormat="1" ht="4.5" customHeight="1">
      <c r="A39" s="772"/>
      <c r="B39" s="773"/>
      <c r="C39" s="774"/>
    </row>
    <row r="40" spans="1:3" s="1" customFormat="1" ht="15.75" customHeight="1">
      <c r="A40" s="748" t="s">
        <v>799</v>
      </c>
      <c r="B40" s="749"/>
      <c r="C40" s="750"/>
    </row>
    <row r="41" spans="1:3">
      <c r="A41" s="523" t="s">
        <v>461</v>
      </c>
      <c r="B41" s="577"/>
      <c r="C41" s="577"/>
    </row>
    <row r="42" spans="1:3" s="1" customFormat="1" ht="4.5" customHeight="1">
      <c r="A42" s="772"/>
      <c r="B42" s="773"/>
      <c r="C42" s="774"/>
    </row>
    <row r="43" spans="1:3" s="1" customFormat="1" ht="15" customHeight="1">
      <c r="A43" s="519" t="s">
        <v>342</v>
      </c>
      <c r="B43" s="581"/>
      <c r="C43" s="580"/>
    </row>
    <row r="44" spans="1:3" s="1" customFormat="1" ht="15" customHeight="1">
      <c r="A44" s="523" t="s">
        <v>461</v>
      </c>
      <c r="B44" s="577"/>
      <c r="C44" s="577"/>
    </row>
    <row r="45" spans="1:3" s="1" customFormat="1" ht="15" customHeight="1">
      <c r="A45" s="746" t="s">
        <v>471</v>
      </c>
      <c r="B45" s="747"/>
      <c r="C45" s="747"/>
    </row>
    <row r="46" spans="1:3" s="1" customFormat="1" ht="4.5" customHeight="1">
      <c r="A46" s="772"/>
      <c r="B46" s="773"/>
      <c r="C46" s="774"/>
    </row>
    <row r="47" spans="1:3" s="1" customFormat="1" ht="15" customHeight="1">
      <c r="A47" s="748" t="s">
        <v>368</v>
      </c>
      <c r="B47" s="749"/>
      <c r="C47" s="750"/>
    </row>
    <row r="48" spans="1:3" s="364" customFormat="1">
      <c r="A48" s="523" t="s">
        <v>461</v>
      </c>
      <c r="B48" s="577"/>
      <c r="C48" s="577"/>
    </row>
  </sheetData>
  <mergeCells count="1">
    <mergeCell ref="A2:B3"/>
  </mergeCells>
  <pageMargins left="0.405092592592593"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40">
    <tabColor rgb="FFFF0000"/>
  </sheetPr>
  <dimension ref="A1:C53"/>
  <sheetViews>
    <sheetView showGridLines="0" view="pageLayout" zoomScaleNormal="100" workbookViewId="0">
      <selection activeCell="B43" sqref="B43"/>
    </sheetView>
  </sheetViews>
  <sheetFormatPr baseColWidth="10" defaultColWidth="9.1640625" defaultRowHeight="15"/>
  <cols>
    <col min="1" max="3" width="33.1640625" style="63" customWidth="1"/>
  </cols>
  <sheetData>
    <row r="1" spans="1:3" ht="6" customHeight="1">
      <c r="A1" s="28"/>
      <c r="B1" s="28"/>
      <c r="C1" s="28"/>
    </row>
    <row r="2" spans="1:3" s="1" customFormat="1" ht="15" customHeight="1">
      <c r="A2" s="1303" t="s">
        <v>29</v>
      </c>
      <c r="B2" s="1303"/>
      <c r="C2" s="48"/>
    </row>
    <row r="3" spans="1:3" s="1" customFormat="1" ht="9" customHeight="1">
      <c r="A3" s="1303"/>
      <c r="B3" s="1303"/>
      <c r="C3" s="48"/>
    </row>
    <row r="4" spans="1:3" s="1" customFormat="1" ht="15" customHeight="1">
      <c r="A4" s="46" t="s">
        <v>260</v>
      </c>
      <c r="B4" s="46" t="str">
        <f>'Plan Design'!B4</f>
        <v xml:space="preserve">Division/Class </v>
      </c>
      <c r="C4" s="46" t="str">
        <f>'Plan Design'!C4</f>
        <v xml:space="preserve">Division/Class </v>
      </c>
    </row>
    <row r="5" spans="1:3" s="1" customFormat="1" ht="4.5" customHeight="1" thickBot="1">
      <c r="A5" s="99"/>
      <c r="B5" s="99"/>
      <c r="C5" s="99"/>
    </row>
    <row r="6" spans="1:3" s="1" customFormat="1" ht="15" customHeight="1" thickBot="1">
      <c r="A6" s="66" t="s">
        <v>110</v>
      </c>
      <c r="B6" s="67"/>
      <c r="C6" s="68"/>
    </row>
    <row r="7" spans="1:3" s="1" customFormat="1" ht="15" customHeight="1" thickBot="1">
      <c r="A7" s="92" t="s">
        <v>237</v>
      </c>
      <c r="B7" s="69"/>
      <c r="C7" s="69"/>
    </row>
    <row r="8" spans="1:3" s="1" customFormat="1" ht="15" customHeight="1" thickBot="1">
      <c r="A8" s="92" t="s">
        <v>238</v>
      </c>
      <c r="B8" s="52"/>
      <c r="C8" s="52"/>
    </row>
    <row r="9" spans="1:3" s="1" customFormat="1" ht="15" customHeight="1" thickBot="1">
      <c r="A9" s="92" t="s">
        <v>246</v>
      </c>
      <c r="B9" s="52"/>
      <c r="C9" s="52"/>
    </row>
    <row r="10" spans="1:3" s="1" customFormat="1" ht="15" customHeight="1" thickBot="1">
      <c r="A10" s="92" t="s">
        <v>247</v>
      </c>
      <c r="B10" s="52"/>
      <c r="C10" s="52"/>
    </row>
    <row r="11" spans="1:3" s="1" customFormat="1" ht="15" customHeight="1" thickBot="1">
      <c r="A11" s="92" t="s">
        <v>219</v>
      </c>
      <c r="B11" s="52"/>
      <c r="C11" s="52"/>
    </row>
    <row r="12" spans="1:3" s="1" customFormat="1" ht="15" customHeight="1" thickBot="1">
      <c r="A12" s="92" t="s">
        <v>248</v>
      </c>
      <c r="B12" s="52"/>
      <c r="C12" s="52"/>
    </row>
    <row r="13" spans="1:3" s="1" customFormat="1" ht="15" customHeight="1" thickBot="1">
      <c r="A13" s="92" t="s">
        <v>249</v>
      </c>
      <c r="B13" s="52"/>
      <c r="C13" s="52"/>
    </row>
    <row r="14" spans="1:3" s="1" customFormat="1" ht="15" customHeight="1" thickBot="1">
      <c r="A14" s="92" t="s">
        <v>328</v>
      </c>
      <c r="B14" s="52"/>
      <c r="C14" s="52"/>
    </row>
    <row r="15" spans="1:3" s="1" customFormat="1" ht="15" customHeight="1" thickBot="1">
      <c r="A15" s="92" t="s">
        <v>250</v>
      </c>
      <c r="B15" s="52"/>
      <c r="C15" s="52"/>
    </row>
    <row r="16" spans="1:3" s="1" customFormat="1" ht="15" customHeight="1" thickBot="1">
      <c r="A16" s="92" t="s">
        <v>227</v>
      </c>
      <c r="B16" s="52"/>
      <c r="C16" s="52"/>
    </row>
    <row r="17" spans="1:3" s="1" customFormat="1" ht="15" customHeight="1" thickBot="1">
      <c r="A17" s="92" t="s">
        <v>235</v>
      </c>
      <c r="B17" s="52"/>
      <c r="C17" s="52"/>
    </row>
    <row r="18" spans="1:3" s="1" customFormat="1" ht="4.5" customHeight="1">
      <c r="A18" s="70"/>
      <c r="B18" s="54"/>
      <c r="C18" s="71"/>
    </row>
    <row r="19" spans="1:3" s="1" customFormat="1" ht="15" customHeight="1" thickBot="1">
      <c r="A19" s="72" t="s">
        <v>186</v>
      </c>
      <c r="B19" s="57"/>
      <c r="C19" s="73"/>
    </row>
    <row r="20" spans="1:3" s="1" customFormat="1" ht="15" customHeight="1" thickBot="1">
      <c r="A20" s="92" t="s">
        <v>251</v>
      </c>
      <c r="B20" s="52"/>
      <c r="C20" s="52"/>
    </row>
    <row r="21" spans="1:3" s="1" customFormat="1" ht="4.5" customHeight="1">
      <c r="A21" s="70"/>
      <c r="B21" s="54"/>
      <c r="C21" s="71"/>
    </row>
    <row r="22" spans="1:3" s="1" customFormat="1" ht="15" customHeight="1" thickBot="1">
      <c r="A22" s="72" t="s">
        <v>252</v>
      </c>
      <c r="B22" s="57"/>
      <c r="C22" s="73"/>
    </row>
    <row r="23" spans="1:3" s="1" customFormat="1" ht="15" customHeight="1" thickBot="1">
      <c r="A23" s="92" t="s">
        <v>253</v>
      </c>
      <c r="B23" s="52"/>
      <c r="C23" s="52"/>
    </row>
    <row r="24" spans="1:3" s="1" customFormat="1" ht="15" customHeight="1" thickBot="1">
      <c r="A24" s="92" t="s">
        <v>254</v>
      </c>
      <c r="B24" s="52"/>
      <c r="C24" s="52"/>
    </row>
    <row r="25" spans="1:3" s="1" customFormat="1" ht="15" customHeight="1" thickBot="1">
      <c r="A25" s="92" t="s">
        <v>227</v>
      </c>
      <c r="B25" s="52"/>
      <c r="C25" s="52"/>
    </row>
    <row r="26" spans="1:3" s="1" customFormat="1" ht="15" customHeight="1" thickBot="1">
      <c r="A26" s="92" t="s">
        <v>235</v>
      </c>
      <c r="B26" s="52"/>
      <c r="C26" s="52"/>
    </row>
    <row r="27" spans="1:3" s="1" customFormat="1" ht="4.5" customHeight="1">
      <c r="A27" s="70"/>
      <c r="B27" s="54"/>
      <c r="C27" s="71"/>
    </row>
    <row r="28" spans="1:3" s="1" customFormat="1" ht="15" customHeight="1" thickBot="1">
      <c r="A28" s="106" t="s">
        <v>358</v>
      </c>
      <c r="B28" s="109"/>
      <c r="C28" s="87"/>
    </row>
    <row r="29" spans="1:3" s="1" customFormat="1" ht="15" customHeight="1" thickBot="1">
      <c r="A29" s="96" t="s">
        <v>0</v>
      </c>
      <c r="B29" s="84"/>
      <c r="C29" s="84"/>
    </row>
    <row r="30" spans="1:3" s="1" customFormat="1" ht="3.75" customHeight="1">
      <c r="A30" s="70"/>
      <c r="B30" s="54"/>
      <c r="C30" s="71"/>
    </row>
    <row r="31" spans="1:3" s="1" customFormat="1" ht="15" customHeight="1" thickBot="1">
      <c r="A31" s="72" t="s">
        <v>44</v>
      </c>
      <c r="B31" s="74"/>
      <c r="C31" s="75"/>
    </row>
    <row r="32" spans="1:3" s="1" customFormat="1" ht="14" thickBot="1">
      <c r="A32" s="92" t="s">
        <v>238</v>
      </c>
      <c r="B32" s="52"/>
      <c r="C32" s="52"/>
    </row>
    <row r="33" spans="1:3" s="1" customFormat="1" ht="15" customHeight="1" thickBot="1">
      <c r="A33" s="1306" t="s">
        <v>237</v>
      </c>
      <c r="B33" s="1307"/>
      <c r="C33" s="1308"/>
    </row>
    <row r="34" spans="1:3" s="1" customFormat="1" ht="15" customHeight="1" thickBot="1">
      <c r="A34" s="92" t="s">
        <v>255</v>
      </c>
      <c r="B34" s="69"/>
      <c r="C34" s="69"/>
    </row>
    <row r="35" spans="1:3" s="1" customFormat="1" ht="15" customHeight="1" thickBot="1">
      <c r="A35" s="92" t="s">
        <v>256</v>
      </c>
      <c r="B35" s="69"/>
      <c r="C35" s="69"/>
    </row>
    <row r="36" spans="1:3" s="1" customFormat="1" ht="15" customHeight="1" thickBot="1">
      <c r="A36" s="92" t="s">
        <v>257</v>
      </c>
      <c r="B36" s="69"/>
      <c r="C36" s="69"/>
    </row>
    <row r="37" spans="1:3" s="1" customFormat="1" ht="15" customHeight="1" thickBot="1">
      <c r="A37" s="1306" t="s">
        <v>219</v>
      </c>
      <c r="B37" s="1307"/>
      <c r="C37" s="1308"/>
    </row>
    <row r="38" spans="1:3" ht="15" customHeight="1" thickBot="1">
      <c r="A38" s="92" t="s">
        <v>255</v>
      </c>
      <c r="B38" s="52"/>
      <c r="C38" s="52"/>
    </row>
    <row r="39" spans="1:3" ht="15" customHeight="1" thickBot="1">
      <c r="A39" s="92" t="s">
        <v>256</v>
      </c>
      <c r="B39" s="52"/>
      <c r="C39" s="52"/>
    </row>
    <row r="40" spans="1:3" ht="15" customHeight="1" thickBot="1">
      <c r="A40" s="92" t="s">
        <v>257</v>
      </c>
      <c r="B40" s="52"/>
      <c r="C40" s="52"/>
    </row>
    <row r="41" spans="1:3" ht="15" customHeight="1" thickBot="1">
      <c r="A41" s="92" t="s">
        <v>258</v>
      </c>
      <c r="B41" s="52"/>
      <c r="C41" s="52"/>
    </row>
    <row r="42" spans="1:3" ht="15" customHeight="1" thickBot="1">
      <c r="A42" s="92" t="s">
        <v>329</v>
      </c>
      <c r="B42" s="52"/>
      <c r="C42" s="52"/>
    </row>
    <row r="43" spans="1:3" ht="15" customHeight="1" thickBot="1">
      <c r="A43" s="92" t="s">
        <v>259</v>
      </c>
      <c r="B43" s="52"/>
      <c r="C43" s="52"/>
    </row>
    <row r="44" spans="1:3" ht="15" customHeight="1" thickBot="1">
      <c r="A44" s="92" t="s">
        <v>227</v>
      </c>
      <c r="B44" s="52"/>
      <c r="C44" s="52"/>
    </row>
    <row r="45" spans="1:3" ht="15" customHeight="1" thickBot="1">
      <c r="A45" s="92" t="s">
        <v>235</v>
      </c>
      <c r="B45" s="52"/>
      <c r="C45" s="52"/>
    </row>
    <row r="46" spans="1:3" ht="15" customHeight="1">
      <c r="A46"/>
      <c r="B46"/>
      <c r="C46"/>
    </row>
    <row r="47" spans="1:3" ht="15" customHeight="1">
      <c r="A47"/>
      <c r="B47"/>
      <c r="C47"/>
    </row>
    <row r="48" spans="1:3" ht="15" customHeight="1">
      <c r="A48"/>
      <c r="B48"/>
      <c r="C48"/>
    </row>
    <row r="49" spans="1:3" ht="15" customHeight="1">
      <c r="A49"/>
      <c r="B49"/>
      <c r="C49"/>
    </row>
    <row r="50" spans="1:3" ht="15" customHeight="1">
      <c r="A50"/>
      <c r="B50"/>
      <c r="C50"/>
    </row>
    <row r="51" spans="1:3" ht="15" customHeight="1">
      <c r="A51"/>
      <c r="B51"/>
      <c r="C51"/>
    </row>
    <row r="52" spans="1:3" ht="15" customHeight="1">
      <c r="A52"/>
      <c r="B52"/>
      <c r="C52"/>
    </row>
    <row r="53" spans="1:3" ht="15" customHeight="1">
      <c r="A53"/>
      <c r="B53"/>
      <c r="C53"/>
    </row>
  </sheetData>
  <mergeCells count="3">
    <mergeCell ref="A2:B3"/>
    <mergeCell ref="A33:C33"/>
    <mergeCell ref="A37:C37"/>
  </mergeCells>
  <printOptions horizontalCentered="1"/>
  <pageMargins left="0.32291666666666669" right="0.32291666666666669" top="0.55118110236220474" bottom="0.94488188976377963" header="0.31496062992125984" footer="0.31496062992125984"/>
  <pageSetup orientation="portrait" r:id="rId1"/>
  <headerFooter>
    <oddHeader>&amp;L&amp;"Arial,Regular"&amp;9&amp;K4C5B52Page &amp;P&amp;R&amp;"Arial,Regular"&amp;9&amp;K4C5B52NFP Canada</oddHeader>
    <oddFooter>&amp;L&amp;"Arial,Bold"&amp;8&amp;K4C5B52Renewal Report.&amp;"Arial,Regular" Insurance services provided through NFP Canada, 
a subsidiary of NFP Corp. (NFP).&amp;R&amp;G</oddFooter>
  </headerFooter>
  <legacyDrawingHF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48">
    <tabColor rgb="FFFF0000"/>
  </sheetPr>
  <dimension ref="A1:C50"/>
  <sheetViews>
    <sheetView showGridLines="0" view="pageLayout" zoomScaleNormal="100" workbookViewId="0">
      <selection activeCell="C38" sqref="C38"/>
    </sheetView>
  </sheetViews>
  <sheetFormatPr baseColWidth="10" defaultColWidth="9.1640625" defaultRowHeight="15"/>
  <cols>
    <col min="1" max="3" width="33.1640625" style="63" customWidth="1"/>
  </cols>
  <sheetData>
    <row r="1" spans="1:3" ht="6" customHeight="1">
      <c r="A1" s="28"/>
      <c r="B1" s="28"/>
      <c r="C1" s="28"/>
    </row>
    <row r="2" spans="1:3" s="1" customFormat="1" ht="15" customHeight="1">
      <c r="A2" s="1303" t="s">
        <v>29</v>
      </c>
      <c r="B2" s="1303"/>
      <c r="C2" s="48"/>
    </row>
    <row r="3" spans="1:3" s="1" customFormat="1" ht="9" customHeight="1">
      <c r="A3" s="1303"/>
      <c r="B3" s="1303"/>
      <c r="C3" s="48"/>
    </row>
    <row r="4" spans="1:3" s="1" customFormat="1" ht="15" customHeight="1">
      <c r="A4" s="46" t="s">
        <v>260</v>
      </c>
      <c r="B4" s="46" t="str">
        <f>'Plan Design'!B4</f>
        <v xml:space="preserve">Division/Class </v>
      </c>
      <c r="C4" s="46" t="str">
        <f>'Plan Design'!C4</f>
        <v xml:space="preserve">Division/Class </v>
      </c>
    </row>
    <row r="5" spans="1:3" s="1" customFormat="1" ht="4.5" customHeight="1" thickBot="1">
      <c r="A5" s="99"/>
      <c r="B5" s="99"/>
      <c r="C5" s="99"/>
    </row>
    <row r="6" spans="1:3" s="1" customFormat="1" ht="15" customHeight="1" thickBot="1">
      <c r="A6" s="101" t="s">
        <v>342</v>
      </c>
      <c r="B6" s="102" t="s">
        <v>345</v>
      </c>
      <c r="C6" s="103" t="s">
        <v>345</v>
      </c>
    </row>
    <row r="7" spans="1:3" s="1" customFormat="1" ht="15" customHeight="1" thickBot="1">
      <c r="A7" s="94" t="s">
        <v>0</v>
      </c>
      <c r="B7" s="81" t="s">
        <v>343</v>
      </c>
      <c r="C7" s="81" t="s">
        <v>343</v>
      </c>
    </row>
    <row r="8" spans="1:3" s="1" customFormat="1" ht="15" customHeight="1" thickBot="1">
      <c r="A8" s="95" t="s">
        <v>346</v>
      </c>
      <c r="B8" s="82"/>
      <c r="C8" s="82"/>
    </row>
    <row r="9" spans="1:3" s="1" customFormat="1" ht="15" customHeight="1" thickBot="1">
      <c r="A9" s="95" t="s">
        <v>347</v>
      </c>
      <c r="B9" s="82"/>
      <c r="C9" s="82"/>
    </row>
    <row r="10" spans="1:3" s="1" customFormat="1" ht="15" customHeight="1" thickBot="1">
      <c r="A10" s="96" t="s">
        <v>348</v>
      </c>
      <c r="B10" s="84"/>
      <c r="C10" s="84"/>
    </row>
    <row r="11" spans="1:3" s="1" customFormat="1" ht="15" customHeight="1" thickBot="1">
      <c r="A11" s="95" t="s">
        <v>349</v>
      </c>
      <c r="B11" s="82"/>
      <c r="C11" s="82"/>
    </row>
    <row r="12" spans="1:3" s="1" customFormat="1" ht="15" customHeight="1" thickBot="1">
      <c r="A12" s="96" t="s">
        <v>350</v>
      </c>
      <c r="B12" s="84"/>
      <c r="C12" s="84"/>
    </row>
    <row r="13" spans="1:3" s="1" customFormat="1" ht="4.5" customHeight="1" thickBot="1">
      <c r="A13" s="104"/>
      <c r="B13" s="105"/>
      <c r="C13" s="84"/>
    </row>
    <row r="14" spans="1:3" s="1" customFormat="1" ht="15" customHeight="1" thickBot="1">
      <c r="A14" s="106" t="s">
        <v>351</v>
      </c>
      <c r="B14" s="107" t="s">
        <v>352</v>
      </c>
      <c r="C14" s="85" t="s">
        <v>352</v>
      </c>
    </row>
    <row r="15" spans="1:3" s="1" customFormat="1" ht="15" customHeight="1" thickBot="1">
      <c r="A15" s="96" t="s">
        <v>353</v>
      </c>
      <c r="B15" s="86"/>
      <c r="C15" s="86"/>
    </row>
    <row r="16" spans="1:3" s="1" customFormat="1" ht="15" customHeight="1" thickBot="1">
      <c r="A16" s="96" t="s">
        <v>354</v>
      </c>
      <c r="B16" s="84"/>
      <c r="C16" s="84"/>
    </row>
    <row r="17" spans="1:3" s="1" customFormat="1" ht="15" customHeight="1" thickBot="1">
      <c r="A17" s="96" t="s">
        <v>355</v>
      </c>
      <c r="B17" s="84"/>
      <c r="C17" s="84"/>
    </row>
    <row r="18" spans="1:3" s="1" customFormat="1" ht="15" customHeight="1" thickBot="1">
      <c r="A18" s="96" t="s">
        <v>356</v>
      </c>
      <c r="B18" s="84"/>
      <c r="C18" s="84"/>
    </row>
    <row r="19" spans="1:3" s="1" customFormat="1" ht="13" thickBot="1">
      <c r="A19" s="83" t="s">
        <v>357</v>
      </c>
      <c r="B19" s="84"/>
      <c r="C19" s="84"/>
    </row>
    <row r="20" spans="1:3" s="1" customFormat="1" ht="4.5" customHeight="1" thickBot="1">
      <c r="A20" s="108"/>
      <c r="B20" s="105"/>
      <c r="C20" s="84"/>
    </row>
    <row r="21" spans="1:3" s="1" customFormat="1" ht="15" customHeight="1" thickBot="1">
      <c r="A21" s="106" t="s">
        <v>358</v>
      </c>
      <c r="B21" s="109" t="s">
        <v>359</v>
      </c>
      <c r="C21" s="87" t="s">
        <v>359</v>
      </c>
    </row>
    <row r="22" spans="1:3" s="1" customFormat="1" ht="15" customHeight="1" thickBot="1">
      <c r="A22" s="96" t="s">
        <v>0</v>
      </c>
      <c r="B22" s="84" t="s">
        <v>360</v>
      </c>
      <c r="C22" s="84" t="s">
        <v>360</v>
      </c>
    </row>
    <row r="23" spans="1:3" s="1" customFormat="1" ht="13" thickBot="1">
      <c r="A23" s="96" t="s">
        <v>361</v>
      </c>
      <c r="B23" s="84"/>
      <c r="C23" s="84"/>
    </row>
    <row r="24" spans="1:3" s="1" customFormat="1" ht="15" customHeight="1" thickBot="1">
      <c r="A24" s="96" t="s">
        <v>362</v>
      </c>
      <c r="B24" s="84"/>
      <c r="C24" s="84"/>
    </row>
    <row r="25" spans="1:3" s="1" customFormat="1" ht="15" customHeight="1">
      <c r="A25" s="97" t="s">
        <v>363</v>
      </c>
      <c r="B25" s="1309"/>
      <c r="C25" s="1309"/>
    </row>
    <row r="26" spans="1:3" s="1" customFormat="1" ht="15" customHeight="1">
      <c r="A26" s="98" t="s">
        <v>364</v>
      </c>
      <c r="B26" s="1310"/>
      <c r="C26" s="1310"/>
    </row>
    <row r="27" spans="1:3" s="1" customFormat="1" ht="15" customHeight="1">
      <c r="A27" s="98" t="s">
        <v>365</v>
      </c>
      <c r="B27" s="1310"/>
      <c r="C27" s="1310"/>
    </row>
    <row r="28" spans="1:3" s="1" customFormat="1" ht="15" customHeight="1">
      <c r="A28" s="98" t="s">
        <v>366</v>
      </c>
      <c r="B28" s="1310"/>
      <c r="C28" s="1310"/>
    </row>
    <row r="29" spans="1:3" s="1" customFormat="1" ht="13" thickBot="1">
      <c r="A29" s="98" t="s">
        <v>367</v>
      </c>
      <c r="B29" s="1310"/>
      <c r="C29" s="1310"/>
    </row>
    <row r="30" spans="1:3" s="1" customFormat="1" ht="4.5" customHeight="1" thickBot="1">
      <c r="A30" s="110"/>
      <c r="B30" s="111"/>
      <c r="C30" s="81"/>
    </row>
    <row r="31" spans="1:3" s="1" customFormat="1" ht="13" thickBot="1">
      <c r="A31" s="106" t="s">
        <v>368</v>
      </c>
      <c r="B31" s="107" t="s">
        <v>345</v>
      </c>
      <c r="C31" s="85" t="s">
        <v>345</v>
      </c>
    </row>
    <row r="32" spans="1:3" s="1" customFormat="1" ht="15" customHeight="1"/>
    <row r="33" customFormat="1" ht="15" customHeight="1"/>
    <row r="34" customFormat="1" ht="15" customHeight="1"/>
    <row r="35" customFormat="1" ht="15" customHeight="1"/>
    <row r="36" customFormat="1" ht="15" customHeight="1"/>
    <row r="37" customFormat="1" ht="15" customHeight="1"/>
    <row r="38" customFormat="1" ht="15" customHeight="1"/>
    <row r="39" customFormat="1" ht="15" customHeight="1"/>
    <row r="40" customFormat="1" ht="15" customHeight="1"/>
    <row r="41" customFormat="1" ht="15" customHeight="1"/>
    <row r="42" customFormat="1" ht="15" customHeight="1"/>
    <row r="43" customFormat="1" ht="15" customHeight="1"/>
    <row r="44" customFormat="1" ht="15" customHeight="1"/>
    <row r="45" customFormat="1"/>
    <row r="46" customFormat="1"/>
    <row r="47" customFormat="1"/>
    <row r="48" customFormat="1"/>
    <row r="49" customFormat="1"/>
    <row r="50" customFormat="1"/>
  </sheetData>
  <mergeCells count="3">
    <mergeCell ref="A2:B3"/>
    <mergeCell ref="B25:B29"/>
    <mergeCell ref="C25:C29"/>
  </mergeCells>
  <printOptions horizontalCentered="1"/>
  <pageMargins left="0.32291666666666669" right="0.32291666666666669" top="0.55118110236220474" bottom="0.94488188976377963" header="0.31496062992125984" footer="0.31496062992125984"/>
  <pageSetup orientation="portrait" r:id="rId1"/>
  <headerFooter>
    <oddHeader>&amp;L&amp;"Arial,Regular"&amp;9&amp;K4C5B52Page &amp;P&amp;R&amp;"Arial,Regular"&amp;9&amp;K4C5B52NFP Canada</oddHeader>
    <oddFooter>&amp;L&amp;"Arial,Bold"&amp;8&amp;K4C5B52Renewal Report.&amp;"Arial,Regular" Insurance services provided through NFP Canada, 
a subsidiary of NFP Corp. (NFP).&amp;R&amp;G</oddFooter>
  </headerFooter>
  <legacyDrawingHF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41">
    <tabColor rgb="FFFF0000"/>
  </sheetPr>
  <dimension ref="A1:K64"/>
  <sheetViews>
    <sheetView showGridLines="0" view="pageLayout" zoomScale="90" zoomScaleNormal="100" zoomScalePageLayoutView="90" workbookViewId="0">
      <selection activeCell="G5" sqref="G5:K45"/>
    </sheetView>
  </sheetViews>
  <sheetFormatPr baseColWidth="10" defaultColWidth="9.1640625" defaultRowHeight="15"/>
  <cols>
    <col min="1" max="4" width="9.5" customWidth="1"/>
    <col min="5" max="5" width="8.1640625" customWidth="1"/>
    <col min="6" max="6" width="3.1640625" customWidth="1"/>
    <col min="7" max="11" width="9.5" customWidth="1"/>
  </cols>
  <sheetData>
    <row r="1" spans="1:11" ht="27.75" customHeight="1"/>
    <row r="2" spans="1:11" s="1" customFormat="1" ht="15" customHeight="1">
      <c r="A2" s="1004" t="s">
        <v>30</v>
      </c>
      <c r="B2" s="1004"/>
      <c r="C2" s="205"/>
    </row>
    <row r="3" spans="1:11" s="1" customFormat="1" ht="15" customHeight="1">
      <c r="A3" s="1004"/>
      <c r="B3" s="1004"/>
      <c r="C3" s="205"/>
    </row>
    <row r="4" spans="1:11" s="1" customFormat="1" ht="15" customHeight="1">
      <c r="A4" s="207"/>
      <c r="B4" s="207"/>
      <c r="C4" s="48"/>
    </row>
    <row r="5" spans="1:11" s="1" customFormat="1" ht="15" customHeight="1">
      <c r="A5" s="1010" t="s">
        <v>753</v>
      </c>
      <c r="B5" s="1311"/>
      <c r="C5" s="1311"/>
      <c r="D5" s="1311"/>
      <c r="E5" s="1311"/>
      <c r="F5" s="27"/>
      <c r="G5" s="1010" t="s">
        <v>754</v>
      </c>
      <c r="H5" s="1311"/>
      <c r="I5" s="1311"/>
      <c r="J5" s="1311"/>
      <c r="K5" s="1311"/>
    </row>
    <row r="6" spans="1:11" s="1" customFormat="1" ht="15" customHeight="1">
      <c r="A6" s="1311"/>
      <c r="B6" s="1311"/>
      <c r="C6" s="1311"/>
      <c r="D6" s="1311"/>
      <c r="E6" s="1311"/>
      <c r="F6" s="27"/>
      <c r="G6" s="1311"/>
      <c r="H6" s="1311"/>
      <c r="I6" s="1311"/>
      <c r="J6" s="1311"/>
      <c r="K6" s="1311"/>
    </row>
    <row r="7" spans="1:11" s="1" customFormat="1" ht="15" customHeight="1">
      <c r="A7" s="1311"/>
      <c r="B7" s="1311"/>
      <c r="C7" s="1311"/>
      <c r="D7" s="1311"/>
      <c r="E7" s="1311"/>
      <c r="F7" s="27"/>
      <c r="G7" s="1311"/>
      <c r="H7" s="1311"/>
      <c r="I7" s="1311"/>
      <c r="J7" s="1311"/>
      <c r="K7" s="1311"/>
    </row>
    <row r="8" spans="1:11" s="1" customFormat="1" ht="15" customHeight="1">
      <c r="A8" s="1311"/>
      <c r="B8" s="1311"/>
      <c r="C8" s="1311"/>
      <c r="D8" s="1311"/>
      <c r="E8" s="1311"/>
      <c r="F8" s="27"/>
      <c r="G8" s="1311"/>
      <c r="H8" s="1311"/>
      <c r="I8" s="1311"/>
      <c r="J8" s="1311"/>
      <c r="K8" s="1311"/>
    </row>
    <row r="9" spans="1:11" s="1" customFormat="1" ht="15" customHeight="1">
      <c r="A9" s="1311"/>
      <c r="B9" s="1311"/>
      <c r="C9" s="1311"/>
      <c r="D9" s="1311"/>
      <c r="E9" s="1311"/>
      <c r="F9" s="27"/>
      <c r="G9" s="1311"/>
      <c r="H9" s="1311"/>
      <c r="I9" s="1311"/>
      <c r="J9" s="1311"/>
      <c r="K9" s="1311"/>
    </row>
    <row r="10" spans="1:11" s="1" customFormat="1" ht="15" customHeight="1">
      <c r="A10" s="1311"/>
      <c r="B10" s="1311"/>
      <c r="C10" s="1311"/>
      <c r="D10" s="1311"/>
      <c r="E10" s="1311"/>
      <c r="F10" s="27"/>
      <c r="G10" s="1311"/>
      <c r="H10" s="1311"/>
      <c r="I10" s="1311"/>
      <c r="J10" s="1311"/>
      <c r="K10" s="1311"/>
    </row>
    <row r="11" spans="1:11" s="1" customFormat="1" ht="15" customHeight="1">
      <c r="A11" s="1311"/>
      <c r="B11" s="1311"/>
      <c r="C11" s="1311"/>
      <c r="D11" s="1311"/>
      <c r="E11" s="1311"/>
      <c r="F11" s="27"/>
      <c r="G11" s="1311"/>
      <c r="H11" s="1311"/>
      <c r="I11" s="1311"/>
      <c r="J11" s="1311"/>
      <c r="K11" s="1311"/>
    </row>
    <row r="12" spans="1:11" s="1" customFormat="1" ht="15" customHeight="1">
      <c r="A12" s="1311"/>
      <c r="B12" s="1311"/>
      <c r="C12" s="1311"/>
      <c r="D12" s="1311"/>
      <c r="E12" s="1311"/>
      <c r="F12" s="27"/>
      <c r="G12" s="1311"/>
      <c r="H12" s="1311"/>
      <c r="I12" s="1311"/>
      <c r="J12" s="1311"/>
      <c r="K12" s="1311"/>
    </row>
    <row r="13" spans="1:11" s="1" customFormat="1" ht="15" customHeight="1">
      <c r="A13" s="1311"/>
      <c r="B13" s="1311"/>
      <c r="C13" s="1311"/>
      <c r="D13" s="1311"/>
      <c r="E13" s="1311"/>
      <c r="F13" s="27"/>
      <c r="G13" s="1311"/>
      <c r="H13" s="1311"/>
      <c r="I13" s="1311"/>
      <c r="J13" s="1311"/>
      <c r="K13" s="1311"/>
    </row>
    <row r="14" spans="1:11" s="1" customFormat="1" ht="15" customHeight="1">
      <c r="A14" s="1311"/>
      <c r="B14" s="1311"/>
      <c r="C14" s="1311"/>
      <c r="D14" s="1311"/>
      <c r="E14" s="1311"/>
      <c r="F14" s="27"/>
      <c r="G14" s="1311"/>
      <c r="H14" s="1311"/>
      <c r="I14" s="1311"/>
      <c r="J14" s="1311"/>
      <c r="K14" s="1311"/>
    </row>
    <row r="15" spans="1:11" s="1" customFormat="1" ht="15" customHeight="1">
      <c r="A15" s="1311"/>
      <c r="B15" s="1311"/>
      <c r="C15" s="1311"/>
      <c r="D15" s="1311"/>
      <c r="E15" s="1311"/>
      <c r="F15" s="27"/>
      <c r="G15" s="1311"/>
      <c r="H15" s="1311"/>
      <c r="I15" s="1311"/>
      <c r="J15" s="1311"/>
      <c r="K15" s="1311"/>
    </row>
    <row r="16" spans="1:11" s="1" customFormat="1" ht="15" customHeight="1">
      <c r="A16" s="1311"/>
      <c r="B16" s="1311"/>
      <c r="C16" s="1311"/>
      <c r="D16" s="1311"/>
      <c r="E16" s="1311"/>
      <c r="F16" s="27"/>
      <c r="G16" s="1311"/>
      <c r="H16" s="1311"/>
      <c r="I16" s="1311"/>
      <c r="J16" s="1311"/>
      <c r="K16" s="1311"/>
    </row>
    <row r="17" spans="1:11" s="1" customFormat="1" ht="15" customHeight="1">
      <c r="A17" s="1311"/>
      <c r="B17" s="1311"/>
      <c r="C17" s="1311"/>
      <c r="D17" s="1311"/>
      <c r="E17" s="1311"/>
      <c r="F17" s="27"/>
      <c r="G17" s="1311"/>
      <c r="H17" s="1311"/>
      <c r="I17" s="1311"/>
      <c r="J17" s="1311"/>
      <c r="K17" s="1311"/>
    </row>
    <row r="18" spans="1:11" s="1" customFormat="1" ht="15" customHeight="1">
      <c r="A18" s="1311"/>
      <c r="B18" s="1311"/>
      <c r="C18" s="1311"/>
      <c r="D18" s="1311"/>
      <c r="E18" s="1311"/>
      <c r="F18" s="27"/>
      <c r="G18" s="1311"/>
      <c r="H18" s="1311"/>
      <c r="I18" s="1311"/>
      <c r="J18" s="1311"/>
      <c r="K18" s="1311"/>
    </row>
    <row r="19" spans="1:11" s="1" customFormat="1" ht="15" customHeight="1">
      <c r="A19" s="1311"/>
      <c r="B19" s="1311"/>
      <c r="C19" s="1311"/>
      <c r="D19" s="1311"/>
      <c r="E19" s="1311"/>
      <c r="F19" s="27"/>
      <c r="G19" s="1311"/>
      <c r="H19" s="1311"/>
      <c r="I19" s="1311"/>
      <c r="J19" s="1311"/>
      <c r="K19" s="1311"/>
    </row>
    <row r="20" spans="1:11" s="1" customFormat="1" ht="15" customHeight="1">
      <c r="A20" s="1311"/>
      <c r="B20" s="1311"/>
      <c r="C20" s="1311"/>
      <c r="D20" s="1311"/>
      <c r="E20" s="1311"/>
      <c r="F20" s="27"/>
      <c r="G20" s="1311"/>
      <c r="H20" s="1311"/>
      <c r="I20" s="1311"/>
      <c r="J20" s="1311"/>
      <c r="K20" s="1311"/>
    </row>
    <row r="21" spans="1:11" s="1" customFormat="1" ht="15" customHeight="1">
      <c r="A21" s="1311"/>
      <c r="B21" s="1311"/>
      <c r="C21" s="1311"/>
      <c r="D21" s="1311"/>
      <c r="E21" s="1311"/>
      <c r="F21" s="27"/>
      <c r="G21" s="1311"/>
      <c r="H21" s="1311"/>
      <c r="I21" s="1311"/>
      <c r="J21" s="1311"/>
      <c r="K21" s="1311"/>
    </row>
    <row r="22" spans="1:11" s="1" customFormat="1" ht="15" customHeight="1">
      <c r="A22" s="1311"/>
      <c r="B22" s="1311"/>
      <c r="C22" s="1312"/>
      <c r="D22" s="1311"/>
      <c r="E22" s="1311"/>
      <c r="F22" s="27"/>
      <c r="G22" s="1311"/>
      <c r="H22" s="1311"/>
      <c r="I22" s="1311"/>
      <c r="J22" s="1311"/>
      <c r="K22" s="1311"/>
    </row>
    <row r="23" spans="1:11" s="1" customFormat="1" ht="15" customHeight="1">
      <c r="A23" s="1311"/>
      <c r="B23" s="1311"/>
      <c r="C23" s="1311"/>
      <c r="D23" s="1311"/>
      <c r="E23" s="1311"/>
      <c r="F23" s="27"/>
      <c r="G23" s="1311"/>
      <c r="H23" s="1311"/>
      <c r="I23" s="1311"/>
      <c r="J23" s="1311"/>
      <c r="K23" s="1311"/>
    </row>
    <row r="24" spans="1:11" s="1" customFormat="1" ht="15" customHeight="1">
      <c r="A24" s="1311"/>
      <c r="B24" s="1311"/>
      <c r="C24" s="1311"/>
      <c r="D24" s="1311"/>
      <c r="E24" s="1311"/>
      <c r="F24" s="27"/>
      <c r="G24" s="1311"/>
      <c r="H24" s="1311"/>
      <c r="I24" s="1311"/>
      <c r="J24" s="1311"/>
      <c r="K24" s="1311"/>
    </row>
    <row r="25" spans="1:11" s="1" customFormat="1" ht="15" customHeight="1">
      <c r="A25" s="1311"/>
      <c r="B25" s="1311"/>
      <c r="C25" s="1311"/>
      <c r="D25" s="1311"/>
      <c r="E25" s="1311"/>
      <c r="F25" s="27"/>
      <c r="G25" s="1311"/>
      <c r="H25" s="1311"/>
      <c r="I25" s="1311"/>
      <c r="J25" s="1311"/>
      <c r="K25" s="1311"/>
    </row>
    <row r="26" spans="1:11" s="1" customFormat="1" ht="15" customHeight="1">
      <c r="A26" s="1311"/>
      <c r="B26" s="1311"/>
      <c r="C26" s="1311"/>
      <c r="D26" s="1311"/>
      <c r="E26" s="1311"/>
      <c r="F26" s="27"/>
      <c r="G26" s="1311"/>
      <c r="H26" s="1311"/>
      <c r="I26" s="1311"/>
      <c r="J26" s="1311"/>
      <c r="K26" s="1311"/>
    </row>
    <row r="27" spans="1:11" s="1" customFormat="1" ht="15" customHeight="1">
      <c r="A27" s="1311"/>
      <c r="B27" s="1311"/>
      <c r="C27" s="1311"/>
      <c r="D27" s="1311"/>
      <c r="E27" s="1311"/>
      <c r="F27" s="27"/>
      <c r="G27" s="1311"/>
      <c r="H27" s="1311"/>
      <c r="I27" s="1311"/>
      <c r="J27" s="1311"/>
      <c r="K27" s="1311"/>
    </row>
    <row r="28" spans="1:11" s="1" customFormat="1" ht="15" customHeight="1">
      <c r="A28" s="1311"/>
      <c r="B28" s="1311"/>
      <c r="C28" s="1311"/>
      <c r="D28" s="1311"/>
      <c r="E28" s="1311"/>
      <c r="F28" s="27"/>
      <c r="G28" s="1311"/>
      <c r="H28" s="1311"/>
      <c r="I28" s="1311"/>
      <c r="J28" s="1311"/>
      <c r="K28" s="1311"/>
    </row>
    <row r="29" spans="1:11" s="1" customFormat="1" ht="15" customHeight="1">
      <c r="A29" s="1311"/>
      <c r="B29" s="1311"/>
      <c r="C29" s="1311"/>
      <c r="D29" s="1311"/>
      <c r="E29" s="1311"/>
      <c r="F29" s="27"/>
      <c r="G29" s="1311"/>
      <c r="H29" s="1311"/>
      <c r="I29" s="1311"/>
      <c r="J29" s="1311"/>
      <c r="K29" s="1311"/>
    </row>
    <row r="30" spans="1:11" s="1" customFormat="1" ht="15" customHeight="1">
      <c r="A30" s="1311"/>
      <c r="B30" s="1311"/>
      <c r="C30" s="1311"/>
      <c r="D30" s="1311"/>
      <c r="E30" s="1311"/>
      <c r="F30" s="27"/>
      <c r="G30" s="1311"/>
      <c r="H30" s="1311"/>
      <c r="I30" s="1311"/>
      <c r="J30" s="1311"/>
      <c r="K30" s="1311"/>
    </row>
    <row r="31" spans="1:11" s="1" customFormat="1" ht="15" customHeight="1">
      <c r="A31" s="1311"/>
      <c r="B31" s="1311"/>
      <c r="C31" s="1311"/>
      <c r="D31" s="1311"/>
      <c r="E31" s="1311"/>
      <c r="F31" s="27"/>
      <c r="G31" s="1311"/>
      <c r="H31" s="1311"/>
      <c r="I31" s="1311"/>
      <c r="J31" s="1311"/>
      <c r="K31" s="1311"/>
    </row>
    <row r="32" spans="1:11" s="1" customFormat="1" ht="15" customHeight="1">
      <c r="A32" s="1311"/>
      <c r="B32" s="1311"/>
      <c r="C32" s="1311"/>
      <c r="D32" s="1311"/>
      <c r="E32" s="1311"/>
      <c r="F32" s="27"/>
      <c r="G32" s="1311"/>
      <c r="H32" s="1311"/>
      <c r="I32" s="1311"/>
      <c r="J32" s="1311"/>
      <c r="K32" s="1311"/>
    </row>
    <row r="33" spans="1:11" s="1" customFormat="1" ht="15" customHeight="1">
      <c r="A33" s="1311"/>
      <c r="B33" s="1311"/>
      <c r="C33" s="1311"/>
      <c r="D33" s="1311"/>
      <c r="E33" s="1311"/>
      <c r="F33" s="27"/>
      <c r="G33" s="1311"/>
      <c r="H33" s="1311"/>
      <c r="I33" s="1311"/>
      <c r="J33" s="1311"/>
      <c r="K33" s="1311"/>
    </row>
    <row r="34" spans="1:11" s="1" customFormat="1" ht="15" customHeight="1">
      <c r="A34" s="1311"/>
      <c r="B34" s="1311"/>
      <c r="C34" s="1311"/>
      <c r="D34" s="1311"/>
      <c r="E34" s="1311"/>
      <c r="F34" s="27"/>
      <c r="G34" s="1311"/>
      <c r="H34" s="1311"/>
      <c r="I34" s="1311"/>
      <c r="J34" s="1311"/>
      <c r="K34" s="1311"/>
    </row>
    <row r="35" spans="1:11" s="1" customFormat="1" ht="15" customHeight="1">
      <c r="A35" s="1311"/>
      <c r="B35" s="1311"/>
      <c r="C35" s="1311"/>
      <c r="D35" s="1311"/>
      <c r="E35" s="1311"/>
      <c r="F35" s="27"/>
      <c r="G35" s="1311"/>
      <c r="H35" s="1311"/>
      <c r="I35" s="1311"/>
      <c r="J35" s="1311"/>
      <c r="K35" s="1311"/>
    </row>
    <row r="36" spans="1:11" s="1" customFormat="1" ht="15" customHeight="1">
      <c r="A36" s="1311"/>
      <c r="B36" s="1311"/>
      <c r="C36" s="1311"/>
      <c r="D36" s="1311"/>
      <c r="E36" s="1311"/>
      <c r="F36" s="27"/>
      <c r="G36" s="1311"/>
      <c r="H36" s="1311"/>
      <c r="I36" s="1311"/>
      <c r="J36" s="1311"/>
      <c r="K36" s="1311"/>
    </row>
    <row r="37" spans="1:11" s="1" customFormat="1" ht="15" customHeight="1">
      <c r="A37" s="1311"/>
      <c r="B37" s="1311"/>
      <c r="C37" s="1311"/>
      <c r="D37" s="1311"/>
      <c r="E37" s="1311"/>
      <c r="F37" s="27"/>
      <c r="G37" s="1311"/>
      <c r="H37" s="1311"/>
      <c r="I37" s="1311"/>
      <c r="J37" s="1311"/>
      <c r="K37" s="1311"/>
    </row>
    <row r="38" spans="1:11" s="1" customFormat="1" ht="15" customHeight="1">
      <c r="A38" s="1311"/>
      <c r="B38" s="1311"/>
      <c r="C38" s="1311"/>
      <c r="D38" s="1311"/>
      <c r="E38" s="1311"/>
      <c r="F38" s="27"/>
      <c r="G38" s="1311"/>
      <c r="H38" s="1311"/>
      <c r="I38" s="1311"/>
      <c r="J38" s="1311"/>
      <c r="K38" s="1311"/>
    </row>
    <row r="39" spans="1:11" s="1" customFormat="1" ht="15" customHeight="1">
      <c r="A39" s="1311"/>
      <c r="B39" s="1311"/>
      <c r="C39" s="1311"/>
      <c r="D39" s="1311"/>
      <c r="E39" s="1311"/>
      <c r="F39" s="27"/>
      <c r="G39" s="1311"/>
      <c r="H39" s="1311"/>
      <c r="I39" s="1311"/>
      <c r="J39" s="1311"/>
      <c r="K39" s="1311"/>
    </row>
    <row r="40" spans="1:11" s="1" customFormat="1" ht="15" customHeight="1">
      <c r="A40" s="1311"/>
      <c r="B40" s="1311"/>
      <c r="C40" s="1311"/>
      <c r="D40" s="1311"/>
      <c r="E40" s="1311"/>
      <c r="F40" s="27"/>
      <c r="G40" s="1311"/>
      <c r="H40" s="1311"/>
      <c r="I40" s="1311"/>
      <c r="J40" s="1311"/>
      <c r="K40" s="1311"/>
    </row>
    <row r="41" spans="1:11" s="1" customFormat="1" ht="15" customHeight="1">
      <c r="A41" s="1311"/>
      <c r="B41" s="1311"/>
      <c r="C41" s="1311"/>
      <c r="D41" s="1311"/>
      <c r="E41" s="1311"/>
      <c r="F41" s="27"/>
      <c r="G41" s="1311"/>
      <c r="H41" s="1311"/>
      <c r="I41" s="1311"/>
      <c r="J41" s="1311"/>
      <c r="K41" s="1311"/>
    </row>
    <row r="42" spans="1:11" s="1" customFormat="1" ht="15" customHeight="1">
      <c r="A42" s="1311"/>
      <c r="B42" s="1311"/>
      <c r="C42" s="1311"/>
      <c r="D42" s="1311"/>
      <c r="E42" s="1311"/>
      <c r="F42" s="27"/>
      <c r="G42" s="1311"/>
      <c r="H42" s="1311"/>
      <c r="I42" s="1311"/>
      <c r="J42" s="1311"/>
      <c r="K42" s="1311"/>
    </row>
    <row r="43" spans="1:11" s="1" customFormat="1" ht="15" customHeight="1">
      <c r="A43" s="1311"/>
      <c r="B43" s="1311"/>
      <c r="C43" s="1311"/>
      <c r="D43" s="1311"/>
      <c r="E43" s="1311"/>
      <c r="F43" s="27"/>
      <c r="G43" s="1311"/>
      <c r="H43" s="1311"/>
      <c r="I43" s="1311"/>
      <c r="J43" s="1311"/>
      <c r="K43" s="1311"/>
    </row>
    <row r="44" spans="1:11" s="1" customFormat="1" ht="15" customHeight="1">
      <c r="A44" s="1311"/>
      <c r="B44" s="1311"/>
      <c r="C44" s="1311"/>
      <c r="D44" s="1311"/>
      <c r="E44" s="1311"/>
      <c r="F44" s="27"/>
      <c r="G44" s="1311"/>
      <c r="H44" s="1311"/>
      <c r="I44" s="1311"/>
      <c r="J44" s="1311"/>
      <c r="K44" s="1311"/>
    </row>
    <row r="45" spans="1:11" s="1" customFormat="1" ht="15" customHeight="1">
      <c r="A45" s="1311"/>
      <c r="B45" s="1311"/>
      <c r="C45" s="1311"/>
      <c r="D45" s="1311"/>
      <c r="E45" s="1311"/>
      <c r="F45" s="27"/>
      <c r="G45" s="1311"/>
      <c r="H45" s="1311"/>
      <c r="I45" s="1311"/>
      <c r="J45" s="1311"/>
      <c r="K45" s="1311"/>
    </row>
    <row r="46" spans="1:11" s="1" customFormat="1" ht="15" customHeight="1">
      <c r="A46" s="27"/>
      <c r="B46" s="27"/>
      <c r="C46" s="27"/>
      <c r="D46" s="27"/>
      <c r="E46" s="27"/>
      <c r="F46" s="27"/>
      <c r="G46" s="26"/>
      <c r="H46" s="26"/>
      <c r="I46" s="26"/>
      <c r="J46" s="26"/>
      <c r="K46" s="26"/>
    </row>
    <row r="47" spans="1:11" s="1" customFormat="1" ht="15" customHeight="1">
      <c r="A47" s="24"/>
      <c r="B47" s="24"/>
      <c r="C47" s="24"/>
      <c r="D47" s="24"/>
      <c r="E47" s="3"/>
      <c r="F47" s="3"/>
      <c r="G47" s="3"/>
      <c r="H47" s="3"/>
    </row>
    <row r="48" spans="1:11"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sheetData>
  <mergeCells count="3">
    <mergeCell ref="A5:E45"/>
    <mergeCell ref="G5:K45"/>
    <mergeCell ref="A2:B3"/>
  </mergeCells>
  <pageMargins left="0.405092592592593" right="0.47453703703703698" top="0.55118110236220497" bottom="0.94488188976377996" header="0.31496062992126" footer="0.31496062992126"/>
  <pageSetup scale="99" orientation="portrait" r:id="rId1"/>
  <headerFooter scaleWithDoc="0">
    <oddHeader>&amp;C&amp;G</oddHeader>
    <oddFooter>&amp;C&amp;G&amp;R&amp;P</oddFooter>
  </headerFooter>
  <legacyDrawingHF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42">
    <tabColor rgb="FFFF0000"/>
    <pageSetUpPr fitToPage="1"/>
  </sheetPr>
  <dimension ref="A1:J64"/>
  <sheetViews>
    <sheetView showGridLines="0" view="pageLayout" zoomScale="90" zoomScaleNormal="100" zoomScalePageLayoutView="90" workbookViewId="0">
      <selection activeCell="H10" sqref="H10"/>
    </sheetView>
  </sheetViews>
  <sheetFormatPr baseColWidth="10" defaultColWidth="9.1640625" defaultRowHeight="15"/>
  <cols>
    <col min="1" max="4" width="9.1640625" customWidth="1"/>
    <col min="5" max="5" width="12.5" customWidth="1"/>
    <col min="6" max="6" width="2.5" customWidth="1"/>
    <col min="7" max="8" width="9.1640625" customWidth="1"/>
    <col min="11" max="11" width="11.83203125" customWidth="1"/>
  </cols>
  <sheetData>
    <row r="1" spans="1:10">
      <c r="A1" s="263"/>
      <c r="B1" s="263"/>
      <c r="C1" s="263"/>
      <c r="D1" s="263"/>
      <c r="E1" s="263"/>
      <c r="F1" s="263"/>
      <c r="G1" s="263"/>
      <c r="H1" s="263"/>
      <c r="I1" s="263"/>
      <c r="J1" s="263"/>
    </row>
    <row r="2" spans="1:10" s="1" customFormat="1" ht="15" customHeight="1">
      <c r="A2" s="2"/>
      <c r="B2" s="2"/>
      <c r="C2" s="2"/>
      <c r="D2" s="2"/>
      <c r="E2" s="2"/>
      <c r="F2" s="2"/>
      <c r="G2" s="2"/>
      <c r="H2" s="2"/>
      <c r="I2" s="2"/>
      <c r="J2" s="2"/>
    </row>
    <row r="3" spans="1:10" s="1" customFormat="1" ht="15" customHeight="1">
      <c r="A3" s="2"/>
      <c r="B3" s="2"/>
      <c r="C3" s="2"/>
      <c r="D3" s="2"/>
      <c r="E3" s="2"/>
      <c r="F3" s="2"/>
      <c r="G3" s="2"/>
      <c r="H3" s="2"/>
      <c r="I3" s="2"/>
      <c r="J3" s="2"/>
    </row>
    <row r="4" spans="1:10" s="1" customFormat="1" ht="15" customHeight="1">
      <c r="A4" s="2"/>
      <c r="B4" s="2"/>
      <c r="C4" s="2"/>
      <c r="D4" s="2"/>
      <c r="E4" s="2"/>
      <c r="F4" s="2"/>
      <c r="G4" s="2"/>
      <c r="H4" s="2"/>
      <c r="I4" s="2"/>
      <c r="J4" s="2"/>
    </row>
    <row r="5" spans="1:10" s="1" customFormat="1" ht="15" customHeight="1">
      <c r="A5" s="2"/>
      <c r="B5" s="2"/>
      <c r="C5" s="2"/>
      <c r="D5" s="2"/>
      <c r="E5" s="2"/>
      <c r="F5" s="2"/>
      <c r="G5" s="2"/>
      <c r="H5" s="2"/>
      <c r="I5" s="2"/>
      <c r="J5" s="2"/>
    </row>
    <row r="6" spans="1:10" s="1" customFormat="1" ht="15" customHeight="1">
      <c r="A6" s="2"/>
      <c r="B6" s="2"/>
      <c r="C6" s="2"/>
      <c r="D6" s="2"/>
      <c r="E6" s="2"/>
      <c r="F6" s="2"/>
      <c r="G6" s="2"/>
      <c r="H6" s="2"/>
      <c r="I6" s="2"/>
      <c r="J6" s="2"/>
    </row>
    <row r="7" spans="1:10" s="1" customFormat="1" ht="15" customHeight="1">
      <c r="A7" s="2"/>
      <c r="B7" s="2"/>
      <c r="C7" s="2"/>
      <c r="D7" s="2"/>
      <c r="E7" s="2"/>
      <c r="F7" s="2"/>
      <c r="G7" s="2"/>
      <c r="H7" s="2"/>
      <c r="I7" s="2"/>
      <c r="J7" s="2"/>
    </row>
    <row r="8" spans="1:10" s="1" customFormat="1" ht="15" customHeight="1">
      <c r="A8" s="2"/>
      <c r="B8" s="2"/>
      <c r="C8" s="2"/>
      <c r="D8" s="2"/>
      <c r="E8" s="2"/>
      <c r="F8" s="2"/>
      <c r="G8" s="2"/>
      <c r="H8" s="2"/>
      <c r="I8" s="2"/>
      <c r="J8" s="2"/>
    </row>
    <row r="9" spans="1:10" s="1" customFormat="1" ht="15" customHeight="1">
      <c r="A9" s="2"/>
      <c r="B9" s="2"/>
      <c r="C9" s="2"/>
      <c r="D9" s="2"/>
      <c r="E9" s="2"/>
      <c r="F9" s="2"/>
      <c r="G9" s="2"/>
      <c r="H9" s="2"/>
      <c r="I9" s="2"/>
      <c r="J9" s="2"/>
    </row>
    <row r="10" spans="1:10" s="1" customFormat="1" ht="15" customHeight="1">
      <c r="A10" s="2"/>
      <c r="B10" s="2"/>
      <c r="C10" s="2"/>
      <c r="D10" s="2"/>
      <c r="E10" s="2"/>
      <c r="F10" s="2"/>
      <c r="G10" s="2"/>
      <c r="H10" s="2"/>
      <c r="I10" s="2"/>
      <c r="J10" s="2"/>
    </row>
    <row r="11" spans="1:10" s="1" customFormat="1" ht="15" customHeight="1">
      <c r="A11" s="2"/>
      <c r="B11" s="2"/>
      <c r="C11" s="2"/>
      <c r="D11" s="2"/>
      <c r="E11" s="2"/>
      <c r="F11" s="2"/>
      <c r="G11" s="2"/>
      <c r="H11" s="2"/>
      <c r="I11" s="2"/>
      <c r="J11" s="2"/>
    </row>
    <row r="12" spans="1:10" s="1" customFormat="1" ht="15" customHeight="1">
      <c r="A12" s="2"/>
      <c r="B12" s="2"/>
      <c r="C12" s="2"/>
      <c r="D12" s="2"/>
      <c r="E12" s="2"/>
      <c r="F12" s="2"/>
      <c r="G12" s="2"/>
      <c r="H12" s="2"/>
      <c r="I12" s="2"/>
      <c r="J12" s="2"/>
    </row>
    <row r="13" spans="1:10" s="1" customFormat="1" ht="15" customHeight="1">
      <c r="A13" s="2"/>
      <c r="B13" s="2"/>
      <c r="C13" s="2"/>
      <c r="D13" s="2"/>
      <c r="E13" s="2"/>
      <c r="F13" s="2"/>
      <c r="G13" s="2"/>
      <c r="H13" s="2"/>
      <c r="I13" s="2"/>
      <c r="J13" s="2"/>
    </row>
    <row r="14" spans="1:10" s="1" customFormat="1" ht="15" customHeight="1">
      <c r="A14" s="2"/>
      <c r="B14" s="2"/>
      <c r="C14" s="2"/>
      <c r="D14" s="2"/>
      <c r="E14" s="2"/>
      <c r="F14" s="2"/>
      <c r="G14" s="2"/>
      <c r="H14" s="2"/>
      <c r="I14" s="2"/>
      <c r="J14" s="2"/>
    </row>
    <row r="15" spans="1:10" s="1" customFormat="1" ht="15" customHeight="1">
      <c r="A15" s="2"/>
      <c r="B15" s="2"/>
      <c r="C15" s="2"/>
      <c r="D15" s="2"/>
      <c r="E15" s="2"/>
      <c r="F15" s="2"/>
      <c r="G15" s="2"/>
      <c r="H15" s="2"/>
      <c r="I15" s="2"/>
      <c r="J15" s="2"/>
    </row>
    <row r="16" spans="1:10" s="1" customFormat="1" ht="15" customHeight="1">
      <c r="A16" s="2"/>
      <c r="B16" s="2"/>
      <c r="C16" s="2"/>
      <c r="D16" s="2"/>
      <c r="E16" s="2"/>
      <c r="F16" s="2"/>
      <c r="G16" s="2"/>
      <c r="H16" s="2"/>
      <c r="I16" s="2"/>
      <c r="J16" s="2"/>
    </row>
    <row r="17" spans="1:10" s="1" customFormat="1" ht="15" customHeight="1">
      <c r="A17" s="2"/>
      <c r="B17" s="2"/>
      <c r="C17" s="2"/>
      <c r="D17" s="2"/>
      <c r="E17" s="2"/>
      <c r="F17" s="2"/>
      <c r="G17" s="2"/>
      <c r="H17" s="2"/>
      <c r="I17" s="2"/>
      <c r="J17" s="2"/>
    </row>
    <row r="18" spans="1:10" s="1" customFormat="1" ht="15" customHeight="1">
      <c r="A18" s="2"/>
      <c r="B18" s="2"/>
      <c r="C18" s="2"/>
      <c r="D18" s="2"/>
      <c r="E18" s="2"/>
      <c r="F18" s="2"/>
      <c r="G18" s="2"/>
      <c r="H18" s="2"/>
      <c r="I18" s="2"/>
      <c r="J18" s="2"/>
    </row>
    <row r="19" spans="1:10" s="1" customFormat="1" ht="15" customHeight="1">
      <c r="A19" s="2"/>
      <c r="B19" s="2"/>
      <c r="C19" s="2"/>
      <c r="D19" s="264" t="s">
        <v>653</v>
      </c>
      <c r="E19" s="2"/>
      <c r="F19" s="2"/>
      <c r="G19" s="2"/>
      <c r="H19" s="2"/>
      <c r="I19" s="2"/>
      <c r="J19" s="2"/>
    </row>
    <row r="20" spans="1:10" s="1" customFormat="1" ht="15" customHeight="1">
      <c r="A20" s="2"/>
      <c r="B20" s="2"/>
      <c r="C20" s="2"/>
      <c r="D20" s="2"/>
      <c r="E20" s="2"/>
      <c r="F20" s="2"/>
      <c r="G20" s="2"/>
      <c r="H20" s="2"/>
      <c r="I20" s="2"/>
      <c r="J20" s="2"/>
    </row>
    <row r="21" spans="1:10" s="1" customFormat="1" ht="15" customHeight="1">
      <c r="A21" s="2"/>
      <c r="B21" s="2"/>
      <c r="C21" s="2"/>
      <c r="D21" s="2"/>
      <c r="E21" s="2"/>
      <c r="F21" s="2"/>
      <c r="G21" s="2"/>
      <c r="H21" s="2"/>
      <c r="I21" s="2"/>
      <c r="J21" s="2"/>
    </row>
    <row r="22" spans="1:10" s="1" customFormat="1" ht="15" customHeight="1">
      <c r="A22" s="2"/>
      <c r="B22" s="2"/>
      <c r="C22" s="2"/>
      <c r="D22" s="2"/>
      <c r="E22" s="2"/>
      <c r="F22" s="2"/>
      <c r="G22" s="2"/>
      <c r="H22" s="2"/>
      <c r="I22" s="2"/>
      <c r="J22" s="2"/>
    </row>
    <row r="23" spans="1:10" s="1" customFormat="1" ht="15" customHeight="1">
      <c r="A23" s="2"/>
      <c r="B23" s="2"/>
      <c r="C23" s="2"/>
      <c r="D23" s="2"/>
      <c r="E23" s="2"/>
      <c r="F23" s="2"/>
      <c r="G23" s="2"/>
      <c r="H23" s="2"/>
      <c r="I23" s="2"/>
      <c r="J23" s="2"/>
    </row>
    <row r="24" spans="1:10" s="1" customFormat="1" ht="15" customHeight="1">
      <c r="A24" s="2"/>
      <c r="B24" s="2"/>
      <c r="C24" s="2"/>
      <c r="D24" s="2"/>
      <c r="E24" s="2"/>
      <c r="F24" s="2"/>
      <c r="G24" s="2"/>
      <c r="H24" s="2"/>
      <c r="I24" s="2"/>
      <c r="J24" s="2"/>
    </row>
    <row r="25" spans="1:10" s="1" customFormat="1" ht="15" customHeight="1">
      <c r="A25" s="2"/>
      <c r="B25" s="2"/>
      <c r="C25" s="2"/>
      <c r="D25" s="2"/>
      <c r="E25" s="2"/>
      <c r="F25" s="2"/>
      <c r="G25" s="2"/>
      <c r="H25" s="2"/>
      <c r="I25" s="2"/>
      <c r="J25" s="2"/>
    </row>
    <row r="26" spans="1:10" s="1" customFormat="1" ht="15" customHeight="1">
      <c r="A26" s="2"/>
      <c r="B26" s="2"/>
      <c r="C26" s="2"/>
      <c r="D26" s="2"/>
      <c r="E26" s="2"/>
      <c r="F26" s="2"/>
      <c r="G26" s="2"/>
      <c r="H26" s="2"/>
      <c r="I26" s="2"/>
      <c r="J26" s="2"/>
    </row>
    <row r="27" spans="1:10" s="1" customFormat="1" ht="15" customHeight="1">
      <c r="A27" s="2"/>
      <c r="B27" s="2"/>
      <c r="C27" s="2"/>
      <c r="D27" s="2"/>
      <c r="E27" s="2"/>
      <c r="F27" s="2"/>
      <c r="G27" s="2"/>
      <c r="H27" s="2"/>
      <c r="I27" s="2"/>
      <c r="J27" s="2"/>
    </row>
    <row r="28" spans="1:10" s="1" customFormat="1" ht="15" customHeight="1">
      <c r="A28" s="2"/>
      <c r="B28" s="2"/>
      <c r="C28" s="2"/>
      <c r="D28" s="2"/>
      <c r="E28" s="2"/>
      <c r="F28" s="2"/>
      <c r="G28" s="2"/>
      <c r="H28" s="2"/>
      <c r="I28" s="2"/>
      <c r="J28" s="2"/>
    </row>
    <row r="29" spans="1:10" s="1" customFormat="1" ht="15" customHeight="1">
      <c r="A29" s="2"/>
      <c r="B29" s="2"/>
      <c r="C29" s="2"/>
      <c r="D29" s="2"/>
      <c r="E29" s="2"/>
      <c r="F29" s="2"/>
      <c r="G29" s="2"/>
      <c r="H29" s="2"/>
      <c r="I29" s="2"/>
      <c r="J29" s="2"/>
    </row>
    <row r="30" spans="1:10" s="1" customFormat="1" ht="15" customHeight="1">
      <c r="A30" s="2"/>
      <c r="B30" s="2"/>
      <c r="C30" s="2"/>
      <c r="D30" s="2"/>
      <c r="E30" s="2"/>
      <c r="F30" s="2"/>
      <c r="G30" s="2"/>
      <c r="H30" s="2"/>
      <c r="I30" s="2"/>
      <c r="J30" s="2"/>
    </row>
    <row r="31" spans="1:10" s="1" customFormat="1" ht="15" customHeight="1">
      <c r="A31" s="2"/>
      <c r="B31" s="2"/>
      <c r="C31" s="2"/>
      <c r="D31" s="2"/>
      <c r="E31" s="2"/>
      <c r="F31" s="2"/>
      <c r="G31" s="2"/>
      <c r="H31" s="2"/>
      <c r="I31" s="2"/>
      <c r="J31" s="2"/>
    </row>
    <row r="32" spans="1:10" s="1" customFormat="1" ht="15" customHeight="1">
      <c r="A32" s="2"/>
      <c r="B32" s="2"/>
      <c r="C32" s="2"/>
      <c r="D32" s="2"/>
      <c r="E32" s="2"/>
      <c r="F32" s="2"/>
      <c r="G32" s="2"/>
      <c r="H32" s="2"/>
      <c r="I32" s="2"/>
      <c r="J32" s="2"/>
    </row>
    <row r="33" spans="1:10" s="1" customFormat="1" ht="15" customHeight="1">
      <c r="A33" s="2"/>
      <c r="B33" s="2"/>
      <c r="C33" s="2"/>
      <c r="D33" s="2"/>
      <c r="E33" s="2"/>
      <c r="F33" s="2"/>
      <c r="G33" s="2"/>
      <c r="H33" s="2"/>
      <c r="I33" s="2"/>
      <c r="J33" s="2"/>
    </row>
    <row r="34" spans="1:10" s="1" customFormat="1" ht="15" customHeight="1">
      <c r="A34" s="2"/>
      <c r="B34" s="2"/>
      <c r="C34" s="2"/>
      <c r="D34" s="2"/>
      <c r="E34" s="2"/>
      <c r="F34" s="2"/>
      <c r="G34" s="2"/>
      <c r="H34" s="2"/>
      <c r="I34" s="2"/>
      <c r="J34" s="2"/>
    </row>
    <row r="35" spans="1:10" s="1" customFormat="1" ht="15" customHeight="1">
      <c r="A35" s="2"/>
      <c r="B35" s="2"/>
      <c r="C35" s="2"/>
      <c r="D35" s="2"/>
      <c r="E35" s="2"/>
      <c r="F35" s="2"/>
      <c r="G35" s="2"/>
      <c r="H35" s="2"/>
      <c r="I35" s="2"/>
      <c r="J35" s="2"/>
    </row>
    <row r="36" spans="1:10" s="1" customFormat="1" ht="15" customHeight="1">
      <c r="A36" s="2"/>
      <c r="B36" s="2"/>
      <c r="C36" s="2"/>
      <c r="D36" s="2"/>
      <c r="E36" s="2"/>
      <c r="F36" s="2"/>
      <c r="G36" s="2"/>
      <c r="H36" s="2"/>
      <c r="I36" s="2"/>
      <c r="J36" s="2"/>
    </row>
    <row r="37" spans="1:10" s="1" customFormat="1" ht="15" customHeight="1">
      <c r="A37" s="2"/>
      <c r="B37" s="2"/>
      <c r="C37" s="2"/>
      <c r="D37" s="2"/>
      <c r="E37" s="2"/>
      <c r="F37" s="2"/>
      <c r="G37" s="2"/>
      <c r="H37" s="2"/>
      <c r="I37" s="2"/>
      <c r="J37" s="2"/>
    </row>
    <row r="38" spans="1:10" s="1" customFormat="1" ht="15" customHeight="1">
      <c r="A38" s="2"/>
      <c r="B38" s="2"/>
      <c r="C38" s="2"/>
      <c r="D38" s="2"/>
      <c r="E38" s="2"/>
      <c r="F38" s="2"/>
      <c r="G38" s="2"/>
      <c r="H38" s="2"/>
      <c r="I38" s="2"/>
      <c r="J38" s="2"/>
    </row>
    <row r="39" spans="1:10" s="1" customFormat="1" ht="15" customHeight="1">
      <c r="A39" s="2"/>
      <c r="B39" s="2"/>
      <c r="C39" s="2"/>
      <c r="D39" s="2"/>
      <c r="E39" s="2"/>
      <c r="F39" s="2"/>
      <c r="G39" s="2"/>
      <c r="H39" s="2"/>
      <c r="I39" s="2"/>
      <c r="J39" s="2"/>
    </row>
    <row r="40" spans="1:10" s="1" customFormat="1" ht="15" customHeight="1">
      <c r="A40" s="2"/>
      <c r="B40" s="2"/>
      <c r="C40" s="2"/>
      <c r="D40" s="2"/>
      <c r="E40" s="2"/>
      <c r="F40" s="2"/>
      <c r="G40" s="2"/>
      <c r="H40" s="2"/>
      <c r="I40" s="2"/>
      <c r="J40" s="2"/>
    </row>
    <row r="41" spans="1:10" s="1" customFormat="1" ht="15" customHeight="1">
      <c r="A41" s="2"/>
      <c r="B41" s="2"/>
      <c r="C41" s="2"/>
      <c r="D41" s="2"/>
      <c r="E41" s="2"/>
      <c r="F41" s="2"/>
      <c r="G41" s="2"/>
      <c r="H41" s="2"/>
      <c r="I41" s="2"/>
      <c r="J41" s="2"/>
    </row>
    <row r="42" spans="1:10" s="1" customFormat="1" ht="15" customHeight="1">
      <c r="A42" s="2"/>
      <c r="B42" s="2"/>
      <c r="C42" s="2"/>
      <c r="D42" s="2"/>
      <c r="E42" s="2"/>
      <c r="F42" s="2"/>
      <c r="G42" s="2"/>
      <c r="H42" s="2"/>
      <c r="I42" s="2"/>
      <c r="J42" s="2"/>
    </row>
    <row r="43" spans="1:10" s="1" customFormat="1" ht="15" customHeight="1">
      <c r="A43" s="2"/>
      <c r="B43" s="2"/>
      <c r="C43" s="2"/>
      <c r="D43" s="2"/>
      <c r="E43" s="2"/>
      <c r="F43" s="2"/>
      <c r="G43" s="2"/>
      <c r="H43" s="2"/>
      <c r="I43" s="2"/>
      <c r="J43" s="2"/>
    </row>
    <row r="44" spans="1:10" s="1" customFormat="1" ht="15" customHeight="1">
      <c r="A44" s="2"/>
      <c r="B44" s="2"/>
      <c r="C44" s="2"/>
      <c r="D44" s="2"/>
      <c r="E44" s="2"/>
      <c r="F44" s="2"/>
      <c r="G44" s="2"/>
      <c r="H44" s="2"/>
      <c r="I44" s="2"/>
      <c r="J44" s="2"/>
    </row>
    <row r="45" spans="1:10" s="1" customFormat="1" ht="15" customHeight="1">
      <c r="A45" s="2"/>
      <c r="B45" s="2"/>
      <c r="C45" s="2"/>
      <c r="D45" s="2"/>
      <c r="E45" s="2"/>
      <c r="F45" s="2"/>
      <c r="G45" s="2"/>
      <c r="H45" s="2"/>
      <c r="I45" s="2"/>
      <c r="J45" s="2"/>
    </row>
    <row r="46" spans="1:10" s="1" customFormat="1" ht="15" customHeight="1">
      <c r="A46" s="2"/>
      <c r="B46" s="2"/>
      <c r="C46" s="2"/>
      <c r="D46" s="2"/>
      <c r="E46" s="2"/>
      <c r="F46" s="2"/>
      <c r="G46" s="2"/>
      <c r="H46" s="2"/>
      <c r="I46" s="2"/>
      <c r="J46" s="2"/>
    </row>
    <row r="47" spans="1:10" s="1" customFormat="1" ht="15" customHeight="1">
      <c r="A47" s="2"/>
      <c r="B47" s="2"/>
      <c r="C47" s="2"/>
      <c r="D47" s="2"/>
      <c r="E47" s="2"/>
      <c r="F47" s="2"/>
      <c r="G47" s="2"/>
      <c r="H47" s="2"/>
      <c r="I47" s="2"/>
      <c r="J47" s="2"/>
    </row>
    <row r="48" spans="1:10"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sheetData>
  <pageMargins left="0.405092592592593" right="0.47453703703703698" top="0.55118110236220497" bottom="0.94488188976377996" header="0.31496062992126" footer="0.31496062992126"/>
  <pageSetup fitToHeight="0" orientation="portrait" r:id="rId1"/>
  <headerFooter scaleWithDoc="0">
    <oddHeader>&amp;C&amp;G</oddHeader>
    <oddFooter>&amp;C&amp;G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rgb="FF7030A0"/>
    <pageSetUpPr fitToPage="1"/>
  </sheetPr>
  <dimension ref="A1:K44"/>
  <sheetViews>
    <sheetView showGridLines="0" view="pageLayout" zoomScale="90" zoomScaleNormal="100" zoomScalePageLayoutView="90" workbookViewId="0">
      <selection activeCell="H10" sqref="H10"/>
    </sheetView>
  </sheetViews>
  <sheetFormatPr baseColWidth="10" defaultColWidth="9.1640625" defaultRowHeight="14"/>
  <cols>
    <col min="1" max="1" width="2.5" style="208" customWidth="1"/>
    <col min="2" max="2" width="17" style="208" customWidth="1"/>
    <col min="3" max="3" width="14.5" style="208" customWidth="1"/>
    <col min="4" max="4" width="12.5" style="208" customWidth="1"/>
    <col min="5" max="5" width="13.33203125" style="208" bestFit="1" customWidth="1"/>
    <col min="6" max="6" width="14.5" style="208" customWidth="1"/>
    <col min="7" max="7" width="12.5" style="208" customWidth="1"/>
    <col min="8" max="8" width="6.6640625" style="208" customWidth="1"/>
    <col min="9" max="9" width="19.5" style="208" customWidth="1"/>
    <col min="10" max="16384" width="9.1640625" style="208"/>
  </cols>
  <sheetData>
    <row r="1" spans="1:11" ht="22.5" customHeight="1"/>
    <row r="2" spans="1:11" s="1" customFormat="1" ht="20.25" customHeight="1">
      <c r="A2" s="1004" t="s">
        <v>51</v>
      </c>
      <c r="B2" s="1004"/>
      <c r="C2" s="1004"/>
      <c r="D2" s="1004"/>
      <c r="E2" s="1004"/>
      <c r="F2" s="3"/>
      <c r="G2" s="3"/>
      <c r="H2" s="3"/>
      <c r="I2" s="3"/>
      <c r="J2" s="208"/>
      <c r="K2" s="208"/>
    </row>
    <row r="3" spans="1:11" s="1" customFormat="1" ht="8.25" customHeight="1">
      <c r="A3" s="1004"/>
      <c r="B3" s="1004"/>
      <c r="C3" s="1004"/>
      <c r="D3" s="1004"/>
      <c r="E3" s="1004"/>
      <c r="F3" s="3"/>
      <c r="G3" s="3"/>
      <c r="H3" s="3"/>
      <c r="I3" s="3"/>
      <c r="J3" s="208"/>
      <c r="K3" s="208"/>
    </row>
    <row r="4" spans="1:11" s="1" customFormat="1" ht="28.5" customHeight="1">
      <c r="A4" s="1013" t="str">
        <f>"The " &amp; GroupName &amp; " Group Insurance benefits program, covered by " &amp; Carrier &amp; " is scheduled to renew on " &amp; RenewalMonth &amp; " 1, " &amp; RenewalYear &amp; "."</f>
        <v>The Group Name Group Insurance benefits program, covered by Carrier is scheduled to renew on Month 1, Year.</v>
      </c>
      <c r="B4" s="1013"/>
      <c r="C4" s="1013"/>
      <c r="D4" s="1013"/>
      <c r="E4" s="1013"/>
      <c r="F4" s="1013"/>
      <c r="G4" s="1013"/>
      <c r="H4" s="3"/>
      <c r="I4" s="3"/>
      <c r="J4" s="208"/>
      <c r="K4" s="208"/>
    </row>
    <row r="5" spans="1:11" s="1" customFormat="1" ht="8.5" customHeight="1">
      <c r="A5" s="425"/>
      <c r="B5" s="212"/>
      <c r="C5" s="212"/>
      <c r="D5" s="2"/>
      <c r="F5" s="3"/>
      <c r="G5" s="3"/>
      <c r="H5" s="3"/>
      <c r="I5" s="3"/>
      <c r="J5" s="208"/>
      <c r="K5" s="208"/>
    </row>
    <row r="6" spans="1:11" s="1" customFormat="1" ht="15" customHeight="1">
      <c r="A6" s="1013" t="s">
        <v>844</v>
      </c>
      <c r="B6" s="1013"/>
      <c r="C6" s="1013"/>
      <c r="D6" s="1013"/>
      <c r="E6" s="1013"/>
      <c r="F6" s="1013"/>
      <c r="G6" s="1013"/>
      <c r="H6" s="3"/>
      <c r="I6" s="3"/>
      <c r="J6" s="208"/>
      <c r="K6" s="208"/>
    </row>
    <row r="7" spans="1:11" s="1" customFormat="1" ht="15" customHeight="1">
      <c r="A7" s="425"/>
      <c r="B7" s="2"/>
      <c r="C7" s="2"/>
      <c r="D7" s="2"/>
      <c r="F7" s="3"/>
      <c r="G7" s="3"/>
      <c r="H7" s="3"/>
      <c r="I7" s="3"/>
      <c r="J7" s="208"/>
      <c r="K7" s="208"/>
    </row>
    <row r="8" spans="1:11" ht="15.75" customHeight="1">
      <c r="B8" s="216"/>
      <c r="C8" s="811" t="s">
        <v>31</v>
      </c>
      <c r="D8" s="1018" t="s">
        <v>32</v>
      </c>
      <c r="E8" s="1018"/>
      <c r="F8" s="1019" t="s">
        <v>33</v>
      </c>
      <c r="G8" s="1020"/>
    </row>
    <row r="9" spans="1:11" ht="15.75" customHeight="1">
      <c r="B9" s="396" t="s">
        <v>34</v>
      </c>
      <c r="C9" s="389" t="s">
        <v>35</v>
      </c>
      <c r="D9" s="389" t="s">
        <v>631</v>
      </c>
      <c r="E9" s="389" t="s">
        <v>36</v>
      </c>
      <c r="F9" s="389" t="s">
        <v>632</v>
      </c>
      <c r="G9" s="389" t="s">
        <v>635</v>
      </c>
    </row>
    <row r="10" spans="1:11" ht="15.75" customHeight="1">
      <c r="B10" s="585" t="s">
        <v>334</v>
      </c>
      <c r="C10" s="385">
        <f>'Renewal Rates '!D12</f>
        <v>0</v>
      </c>
      <c r="D10" s="385">
        <f>'Renewal Rates '!F12</f>
        <v>0</v>
      </c>
      <c r="E10" s="398" t="e">
        <f t="shared" ref="E10:E13" si="0">D10/C10-1</f>
        <v>#DIV/0!</v>
      </c>
      <c r="F10" s="385">
        <f>'Renewal Rates '!I12</f>
        <v>0</v>
      </c>
      <c r="G10" s="399" t="e">
        <f t="shared" ref="G10:G13" si="1">F10/C10-1</f>
        <v>#DIV/0!</v>
      </c>
    </row>
    <row r="11" spans="1:11" ht="15.75" customHeight="1">
      <c r="B11" s="585" t="s">
        <v>38</v>
      </c>
      <c r="C11" s="385">
        <f>'Renewal Rates '!D19</f>
        <v>0</v>
      </c>
      <c r="D11" s="385">
        <f>'Renewal Rates '!F19</f>
        <v>0</v>
      </c>
      <c r="E11" s="398" t="e">
        <f t="shared" si="0"/>
        <v>#DIV/0!</v>
      </c>
      <c r="F11" s="385">
        <f>'Renewal Rates '!I19</f>
        <v>0</v>
      </c>
      <c r="G11" s="399" t="e">
        <f t="shared" si="1"/>
        <v>#DIV/0!</v>
      </c>
    </row>
    <row r="12" spans="1:11" ht="15.75" customHeight="1">
      <c r="B12" s="585" t="s">
        <v>9</v>
      </c>
      <c r="C12" s="385">
        <f>'Renewal Rates '!D26</f>
        <v>0</v>
      </c>
      <c r="D12" s="385">
        <f>'Renewal Rates '!F26</f>
        <v>0</v>
      </c>
      <c r="E12" s="398" t="e">
        <f t="shared" si="0"/>
        <v>#DIV/0!</v>
      </c>
      <c r="F12" s="385">
        <f>'Renewal Rates '!I26</f>
        <v>0</v>
      </c>
      <c r="G12" s="399" t="e">
        <f t="shared" si="1"/>
        <v>#DIV/0!</v>
      </c>
    </row>
    <row r="13" spans="1:11" ht="15.75" customHeight="1">
      <c r="B13" s="585" t="s">
        <v>39</v>
      </c>
      <c r="C13" s="385">
        <f>'Renewal Rates '!D33</f>
        <v>0</v>
      </c>
      <c r="D13" s="385">
        <f>'Renewal Rates '!F33</f>
        <v>0</v>
      </c>
      <c r="E13" s="398" t="e">
        <f t="shared" si="0"/>
        <v>#DIV/0!</v>
      </c>
      <c r="F13" s="385">
        <f>'Renewal Rates '!I33</f>
        <v>0</v>
      </c>
      <c r="G13" s="399" t="e">
        <f t="shared" si="1"/>
        <v>#DIV/0!</v>
      </c>
    </row>
    <row r="14" spans="1:11" ht="15.75" customHeight="1">
      <c r="B14" s="585" t="s">
        <v>40</v>
      </c>
      <c r="C14" s="385">
        <f>'Renewal Rates '!D49</f>
        <v>0</v>
      </c>
      <c r="D14" s="385">
        <f>'Renewal Rates '!F49</f>
        <v>0</v>
      </c>
      <c r="E14" s="398" t="e">
        <f t="shared" ref="E14:E19" si="2">D14/C14-1</f>
        <v>#DIV/0!</v>
      </c>
      <c r="F14" s="385">
        <f>'Renewal Rates '!I49</f>
        <v>0</v>
      </c>
      <c r="G14" s="399" t="e">
        <f t="shared" ref="G14:G19" si="3">F14/C14-1</f>
        <v>#DIV/0!</v>
      </c>
    </row>
    <row r="15" spans="1:11" ht="15.75" customHeight="1">
      <c r="B15" s="416" t="s">
        <v>45</v>
      </c>
      <c r="C15" s="417">
        <f>SUM(C10:C14)</f>
        <v>0</v>
      </c>
      <c r="D15" s="417">
        <f>SUM(D10:D14)</f>
        <v>0</v>
      </c>
      <c r="E15" s="418" t="e">
        <f>D15/C15-1</f>
        <v>#DIV/0!</v>
      </c>
      <c r="F15" s="417">
        <f>SUM(F10:F14)</f>
        <v>0</v>
      </c>
      <c r="G15" s="419" t="e">
        <f>F15/C15-1</f>
        <v>#DIV/0!</v>
      </c>
    </row>
    <row r="16" spans="1:11" ht="15.75" customHeight="1">
      <c r="B16" s="416" t="s">
        <v>46</v>
      </c>
      <c r="C16" s="417">
        <f>C15*12</f>
        <v>0</v>
      </c>
      <c r="D16" s="417">
        <f>D15*12</f>
        <v>0</v>
      </c>
      <c r="E16" s="418"/>
      <c r="F16" s="417">
        <f>F15*12</f>
        <v>0</v>
      </c>
      <c r="G16" s="419"/>
    </row>
    <row r="17" spans="1:9" ht="15.75" customHeight="1">
      <c r="B17" s="585" t="s">
        <v>138</v>
      </c>
      <c r="C17" s="385">
        <f>'ASO Projections '!B22</f>
        <v>0</v>
      </c>
      <c r="D17" s="385">
        <f>'ASO Projections '!C22</f>
        <v>0</v>
      </c>
      <c r="E17" s="398" t="e">
        <f t="shared" si="2"/>
        <v>#DIV/0!</v>
      </c>
      <c r="F17" s="385">
        <f>'ASO Projections '!D22</f>
        <v>0</v>
      </c>
      <c r="G17" s="399" t="e">
        <f t="shared" si="3"/>
        <v>#DIV/0!</v>
      </c>
    </row>
    <row r="18" spans="1:9" ht="15.75" customHeight="1">
      <c r="B18" s="585" t="s">
        <v>48</v>
      </c>
      <c r="C18" s="385">
        <f>'ASO Projections '!B33-'ASO Projections '!B31</f>
        <v>0</v>
      </c>
      <c r="D18" s="385">
        <f>'ASO Projections '!C33-'ASO Projections '!C31</f>
        <v>0</v>
      </c>
      <c r="E18" s="398" t="e">
        <f t="shared" si="2"/>
        <v>#DIV/0!</v>
      </c>
      <c r="F18" s="385">
        <f>'ASO Projections '!D33-'ASO Projections '!D31</f>
        <v>0</v>
      </c>
      <c r="G18" s="399" t="e">
        <f t="shared" si="3"/>
        <v>#DIV/0!</v>
      </c>
    </row>
    <row r="19" spans="1:9" ht="15.75" customHeight="1">
      <c r="B19" s="585" t="s">
        <v>482</v>
      </c>
      <c r="C19" s="385">
        <f>'ASO Projections '!B31</f>
        <v>0</v>
      </c>
      <c r="D19" s="385">
        <f>'ASO Projections '!C31</f>
        <v>0</v>
      </c>
      <c r="E19" s="398" t="e">
        <f t="shared" si="2"/>
        <v>#DIV/0!</v>
      </c>
      <c r="F19" s="385">
        <f>'ASO Projections '!D31</f>
        <v>0</v>
      </c>
      <c r="G19" s="399" t="e">
        <f t="shared" si="3"/>
        <v>#DIV/0!</v>
      </c>
    </row>
    <row r="20" spans="1:9" ht="15.75" hidden="1" customHeight="1">
      <c r="B20" s="397" t="s">
        <v>728</v>
      </c>
      <c r="C20" s="402">
        <f>SUM(C17:C19)/12</f>
        <v>0</v>
      </c>
      <c r="D20" s="402">
        <f>SUM(D17:D19)/12</f>
        <v>0</v>
      </c>
      <c r="E20" s="400"/>
      <c r="F20" s="402">
        <f>SUM(F17:F19)/12</f>
        <v>0</v>
      </c>
      <c r="G20" s="401"/>
    </row>
    <row r="21" spans="1:9" ht="15.75" customHeight="1">
      <c r="B21" s="416" t="s">
        <v>50</v>
      </c>
      <c r="C21" s="417">
        <f>SUM(C17:C19)</f>
        <v>0</v>
      </c>
      <c r="D21" s="417">
        <f>SUM(D17:D19)</f>
        <v>0</v>
      </c>
      <c r="E21" s="809" t="e">
        <f>(D21-C21)/C21</f>
        <v>#DIV/0!</v>
      </c>
      <c r="F21" s="417">
        <f>SUM(F17:F19)</f>
        <v>0</v>
      </c>
      <c r="G21" s="810" t="e">
        <f>(F21-C21)/C21</f>
        <v>#DIV/0!</v>
      </c>
    </row>
    <row r="22" spans="1:9" ht="15.75" customHeight="1">
      <c r="B22" s="416" t="s">
        <v>46</v>
      </c>
      <c r="C22" s="417">
        <f>C21+C16</f>
        <v>0</v>
      </c>
      <c r="D22" s="417">
        <f>D21+D16</f>
        <v>0</v>
      </c>
      <c r="E22" s="418" t="e">
        <f>D23/C22</f>
        <v>#DIV/0!</v>
      </c>
      <c r="F22" s="417">
        <f>F21+F16</f>
        <v>0</v>
      </c>
      <c r="G22" s="419" t="e">
        <f>F23/C22</f>
        <v>#DIV/0!</v>
      </c>
    </row>
    <row r="23" spans="1:9" ht="15" customHeight="1">
      <c r="B23" s="420" t="s">
        <v>47</v>
      </c>
      <c r="C23" s="421"/>
      <c r="D23" s="422">
        <f>D22-C22</f>
        <v>0</v>
      </c>
      <c r="E23" s="423"/>
      <c r="F23" s="422">
        <f>F22-C22</f>
        <v>0</v>
      </c>
      <c r="G23" s="424"/>
    </row>
    <row r="24" spans="1:9" ht="14.25" customHeight="1">
      <c r="B24" s="5"/>
      <c r="C24" s="5"/>
      <c r="D24" s="5"/>
      <c r="E24" s="6"/>
      <c r="F24" s="209"/>
      <c r="I24" s="44"/>
    </row>
    <row r="25" spans="1:9" hidden="1">
      <c r="A25" s="392" t="s">
        <v>574</v>
      </c>
      <c r="B25" s="9"/>
      <c r="D25" s="5"/>
      <c r="E25" s="5"/>
      <c r="F25" s="6"/>
    </row>
    <row r="26" spans="1:9" ht="12" hidden="1" customHeight="1">
      <c r="A26" s="9"/>
      <c r="B26" s="9"/>
      <c r="D26" s="5"/>
      <c r="E26" s="5"/>
      <c r="F26" s="6"/>
    </row>
    <row r="27" spans="1:9" ht="24.75" hidden="1" customHeight="1">
      <c r="A27" s="1012" t="s">
        <v>575</v>
      </c>
      <c r="B27" s="1012"/>
      <c r="C27" s="1012"/>
      <c r="D27" s="1012"/>
      <c r="E27" s="1012"/>
      <c r="F27" s="1012"/>
      <c r="G27" s="1012"/>
    </row>
    <row r="28" spans="1:9" ht="5.25" customHeight="1">
      <c r="A28" s="5"/>
      <c r="B28" s="5"/>
      <c r="D28" s="5"/>
      <c r="E28" s="5"/>
      <c r="F28" s="6"/>
    </row>
    <row r="29" spans="1:9">
      <c r="A29" s="392" t="s">
        <v>483</v>
      </c>
      <c r="B29" s="9"/>
    </row>
    <row r="30" spans="1:9" ht="6" customHeight="1">
      <c r="C30" s="9"/>
    </row>
    <row r="31" spans="1:9" ht="30" hidden="1" customHeight="1">
      <c r="B31" s="210" t="s">
        <v>616</v>
      </c>
      <c r="C31" s="1011" t="e">
        <v>#DIV/0!</v>
      </c>
      <c r="D31" s="1011"/>
      <c r="E31" s="1011"/>
      <c r="F31" s="1011"/>
      <c r="G31" s="1011"/>
      <c r="H31" s="1011"/>
      <c r="I31" s="1011"/>
    </row>
    <row r="32" spans="1:9" ht="30" customHeight="1">
      <c r="A32" s="218" t="s">
        <v>320</v>
      </c>
      <c r="B32" s="1010" t="e">
        <f>IF(G10^2+E10^2=0,("The  Life rate is scheduled to renew with a no change. "),IF(G10=E10,("The Life rate is scheduled to renew with a "&amp;IF(G10&lt;&gt;0,(TEXT((ABS(G10)),"0.0%")&amp;IF(G10&gt;0," increase. "," decrease. ")),"no change. ")),(("The Life rate is scheduled to renew with a "&amp;IF(G10&lt;&gt;0,(TEXT((ABS(G10)),"0.0%")&amp;IF(G10&gt;0," increase"," decrease")),"no change")&amp;" against the initial proposed "&amp;IF(E10&lt;&gt;0,(TEXT((ABS(E10)),"0.0%")&amp;IF(E10&gt;0," increase. "," decrease. ")),"no change. ")))))&amp;IF('Experience Summary'!E14&lt;&gt;0,"There has been " &amp; COUNT('Pooled Benefits '!G43:H46)-1 &amp; " open claim(s) over the current period.","There have been no claims over the current period.")</f>
        <v>#DIV/0!</v>
      </c>
      <c r="C32" s="1010"/>
      <c r="D32" s="1010"/>
      <c r="E32" s="1010"/>
      <c r="F32" s="1010"/>
      <c r="G32" s="1010"/>
      <c r="H32" s="1010"/>
    </row>
    <row r="33" spans="1:9" ht="30" customHeight="1">
      <c r="A33" s="218" t="s">
        <v>320</v>
      </c>
      <c r="B33" s="1010" t="e">
        <f>IF(G11^2+E11^2=0,("The  AD&amp;D rate is scheduled to renew with a no change. "),IF(G11=E11,("The AD&amp;D rate is scheduled to renew with a "&amp;IF(G11&lt;&gt;0,(TEXT((ABS(G11)),"0.0%")&amp;IF(G11&gt;0," increase. "," decrease. ")),"no change. ")),(("The AD&amp;D rate is scheduled to renew with a "&amp;IF(G11&lt;&gt;0,(TEXT((ABS(G11)),"0.0%")&amp;IF(G11&gt;0," increase"," decrease")),"no change")&amp;" against the initial proposed "&amp;IF(E11&lt;&gt;0,(TEXT((ABS(E11)),"0.0%")&amp;IF(E11&gt;0," increase. "," decrease. ")),"no change. ")))))&amp;IF('Experience Summary'!E16&lt;&gt;0,"There has been " &amp; COUNT('AD&amp;D Dep Life '!G8:H10)-1 &amp; " open claim(s) over the current period.","There have been no claims over the current period.")</f>
        <v>#DIV/0!</v>
      </c>
      <c r="C33" s="1010"/>
      <c r="D33" s="1010"/>
      <c r="E33" s="1010"/>
      <c r="F33" s="1010"/>
      <c r="G33" s="1010"/>
      <c r="H33" s="1010"/>
    </row>
    <row r="34" spans="1:9" ht="30" customHeight="1">
      <c r="A34" s="218" t="s">
        <v>320</v>
      </c>
      <c r="B34" s="1010" t="e">
        <f>IF(G12^2+E12^2=0,("The  Dependent Life rate is scheduled to renew with a no change. "),IF(G12=E12,("The Dependent Life rate is scheduled to renew with a "&amp;IF(G12&lt;&gt;0,(TEXT((ABS(G12)),"0.0%")&amp;IF(G12&gt;0," increase. "," decrease. ")),"no change. ")),(("The Dependent Life rate is scheduled to renew with a "&amp;IF(G12&lt;&gt;0,(TEXT((ABS(G12)),"0.0%")&amp;IF(G12&gt;0," increase"," decrease")),"no change")&amp;" against the initial proposed "&amp;IF(E12&lt;&gt;0,(TEXT((ABS(E12)),"0.0%")&amp;IF(E12&gt;0," increase. "," decrease. ")),"no change. ")))))&amp;IF('Experience Summary'!E17&lt;&gt;0,"There has been " &amp; COUNT('AD&amp;D Dep Life '!G26:H28)-1 &amp; " open claim(s) over the current period.","There have been no claims over the current period.")</f>
        <v>#DIV/0!</v>
      </c>
      <c r="C34" s="1010"/>
      <c r="D34" s="1010"/>
      <c r="E34" s="1010"/>
      <c r="F34" s="1010"/>
      <c r="G34" s="1010"/>
      <c r="H34" s="1010"/>
    </row>
    <row r="35" spans="1:9" ht="24" customHeight="1">
      <c r="A35" s="218" t="s">
        <v>320</v>
      </c>
      <c r="B35" s="1010" t="e">
        <f>IF(G13^2+E13^2=0,("The  LTD rate is scheduled to renew with a no change. "),IF(G13=E13,("The LTD rate is scheduled to renew with a "&amp;IF(G13&lt;&gt;0,(TEXT((ABS(G13)),"0.0%")&amp;IF(G13&gt;0," increase. "," decrease. ")),"no change. ")),(("The LTD rate is scheduled to renew with a "&amp;IF(G13&lt;&gt;0,(TEXT((ABS(G13)),"0.0%")&amp;IF(G13&gt;0," increase"," decrease")),"no change")&amp;" against the initial proposed "&amp;IF(E13&lt;&gt;0,(TEXT((ABS(E13)),"0.0%")&amp;IF(E13&gt;0," increase. "," decrease. ")),"no change. ")))))&amp;IF('Experience Summary'!E18&lt;&gt;0,"There has been " &amp; COUNT('Long Term Disability'!E42:F43)-1 &amp; " open claim(s) over the current period.","There have been no claims over the current period.")</f>
        <v>#DIV/0!</v>
      </c>
      <c r="C35" s="1010"/>
      <c r="D35" s="1010"/>
      <c r="E35" s="1010"/>
      <c r="F35" s="1010"/>
      <c r="G35" s="1010"/>
      <c r="H35" s="1010"/>
    </row>
    <row r="36" spans="1:9" ht="24" customHeight="1">
      <c r="A36" s="218" t="s">
        <v>320</v>
      </c>
      <c r="B36" s="1010" t="e">
        <f>IF(G14^2+E14^2=0,("The  STD rate is scheduled to renew with a no change. "),IF(G14=E14,("The STD rate is scheduled to renew with a "&amp;IF(G14&lt;&gt;0,(TEXT((ABS(G14)),"0.0%")&amp;IF(G14&gt;0," increase. "," decrease. ")),"no change. ")),(("The STD rate is scheduled to renew with a "&amp;IF(G14&lt;&gt;0,(TEXT((ABS(G14)),"0.0%")&amp;IF(G14&gt;0," increase"," decrease")),"no change")&amp;" against the initial proposed "&amp;IF(E14&lt;&gt;0,(TEXT((ABS(E14)),"0.0%")&amp;IF(E14&gt;0," increase. "," decrease. ")),"no change. ")))))&amp;" The benefit is trending at a " &amp;TEXT('Experience Summary'!F19, "0.0%") &amp;" incurred loss ratio over the current period."</f>
        <v>#DIV/0!</v>
      </c>
      <c r="C36" s="1010"/>
      <c r="D36" s="1010"/>
      <c r="E36" s="1010"/>
      <c r="F36" s="1010"/>
      <c r="G36" s="1010"/>
      <c r="H36" s="1010"/>
    </row>
    <row r="37" spans="1:9" ht="14.25" customHeight="1">
      <c r="A37" s="392" t="s">
        <v>472</v>
      </c>
      <c r="B37" s="210"/>
      <c r="C37" s="44"/>
      <c r="D37" s="44"/>
      <c r="E37" s="44"/>
      <c r="F37" s="44"/>
      <c r="G37" s="44"/>
      <c r="H37" s="44"/>
      <c r="I37" s="44"/>
    </row>
    <row r="38" spans="1:9" ht="6" customHeight="1">
      <c r="A38" s="9"/>
      <c r="B38" s="210"/>
      <c r="C38" s="44"/>
      <c r="D38" s="44"/>
      <c r="E38" s="44"/>
      <c r="F38" s="44"/>
      <c r="G38" s="44"/>
      <c r="H38" s="44"/>
      <c r="I38" s="44"/>
    </row>
    <row r="39" spans="1:9" ht="30" customHeight="1">
      <c r="B39" s="1010" t="str">
        <f>"For the above analysis, we have assumed  "&amp;ASO_STD_Trend*100&amp;"% trend for STD, "&amp;ASO_EHC_Trend*100&amp;"% trend for EHC and "&amp;ASO_Dental_Trend*100&amp;"% trend for Dental claims for the renewal period, based on actual experience over the last experience period"</f>
        <v>For the above analysis, we have assumed  4% trend for STD, 10% trend for EHC and 7% trend for Dental claims for the renewal period, based on actual experience over the last experience period</v>
      </c>
      <c r="C39" s="1010"/>
      <c r="D39" s="1010"/>
      <c r="E39" s="1010"/>
      <c r="F39" s="1010"/>
      <c r="G39" s="1010"/>
      <c r="H39" s="1010"/>
    </row>
    <row r="40" spans="1:9" ht="21.75" customHeight="1">
      <c r="A40" s="218" t="s">
        <v>320</v>
      </c>
      <c r="B40" s="1010" t="e">
        <f>IF(G44^2+E44^2=0,("The ASO Expenses are scheduled to renew with a no change. "),IF(G44=E44,("The ASO Expenses are scheduled to renew with a "&amp;IF(G44&lt;&gt;0,(TEXT((ABS(G44)),"0.0%")&amp;IF(G44&gt;0," increase. "," decrease. ")),"no change. ")),(("The ASO Expenses are scheduled to renew with a "&amp;IF(G44&lt;&gt;0,(TEXT((ABS(G44)),"0.0%")&amp;IF(G44&gt;0," increase"," decrease")),"no change")&amp;" against the initial proposed "&amp;IF(E44&lt;&gt;0,(TEXT((ABS(E44)),"0.0%")&amp;IF(E44&gt;0," increase. "," decrease. ")),"no change. ")))))</f>
        <v>#DIV/0!</v>
      </c>
      <c r="C40" s="1010"/>
      <c r="D40" s="1010"/>
      <c r="E40" s="1010"/>
      <c r="F40" s="1010"/>
      <c r="G40" s="1010"/>
      <c r="H40" s="1010"/>
    </row>
    <row r="41" spans="1:9" ht="21.75" customHeight="1">
      <c r="A41" s="218" t="s">
        <v>320</v>
      </c>
      <c r="B41" s="1010" t="e">
        <f>IF(G19^2+E19^2=0,("The Pool Charge is scheduled to renew with a no change. "),IF(G19=E19,("The Pool Charge is scheduled to renew with a "&amp;IF(G19&lt;&gt;0,(TEXT((ABS(G19)),"0.0%")&amp;IF(G19&gt;0," increase. "," decrease. ")),"no change. ")),(("The Pool Charge is scheduled to renew with a "&amp;IF(G19&lt;&gt;0,(TEXT((ABS(G19)),"0.0%")&amp;IF(G19&gt;0," increase"," decrease")),"no change")&amp;" against the initial proposed "&amp;IF(E19&lt;&gt;0,(TEXT((ABS(E19)),"0.0%")&amp;IF(E19&gt;0," increase. "," decrease. ")),"no change. ")))))</f>
        <v>#DIV/0!</v>
      </c>
      <c r="C41" s="1010"/>
      <c r="D41" s="1010"/>
      <c r="E41" s="1010"/>
      <c r="F41" s="1010"/>
      <c r="G41" s="1010"/>
      <c r="H41" s="1010"/>
    </row>
    <row r="42" spans="1:9" ht="15" customHeight="1">
      <c r="A42" s="218" t="s">
        <v>320</v>
      </c>
      <c r="B42" s="1021" t="e">
        <f>"Over the last "&amp;COUNT('Trend Review'!F6:F10,1)&amp;" year(s), your own EHC trend is "&amp;TEXT('Extended Health Care (EHC)'!B19*100,"0.0")&amp;"% compared to the carrier's trend of "&amp;'Extended Health Care (EHC)'!B18*100&amp;"%."</f>
        <v>#VALUE!</v>
      </c>
      <c r="C42" s="1021"/>
      <c r="D42" s="1021"/>
      <c r="E42" s="1021"/>
      <c r="F42" s="1021"/>
      <c r="G42" s="1021"/>
      <c r="H42" s="1021"/>
    </row>
    <row r="43" spans="1:9" ht="15" customHeight="1">
      <c r="A43" s="218" t="s">
        <v>320</v>
      </c>
      <c r="B43" s="1021" t="e">
        <f>"Over the last "&amp;COUNT('Trend Review'!F14:F18,1)&amp;" year(s), your own Dental trend is "&amp;TEXT('Dental Care'!B16:C16*100,"0.0")&amp;"% compared to the carrier's trend of "&amp;'Dental Care'!B15:C15*100&amp;"%."</f>
        <v>#VALUE!</v>
      </c>
      <c r="C43" s="1021"/>
      <c r="D43" s="1021"/>
      <c r="E43" s="1021"/>
      <c r="F43" s="1021"/>
      <c r="G43" s="1021"/>
      <c r="H43" s="1021"/>
    </row>
    <row r="44" spans="1:9" ht="15.75" hidden="1" customHeight="1">
      <c r="B44" s="215" t="s">
        <v>48</v>
      </c>
      <c r="C44" s="217">
        <f>SUM('ASO Projections '!B6:B11)</f>
        <v>0</v>
      </c>
      <c r="D44" s="217">
        <f>SUM('ASO Projections '!C6:C11)</f>
        <v>0</v>
      </c>
      <c r="E44" s="219" t="e">
        <f t="shared" ref="E44" si="4">D44/C44-1</f>
        <v>#DIV/0!</v>
      </c>
      <c r="F44" s="217">
        <f>SUM('ASO Projections '!D6:D11)</f>
        <v>0</v>
      </c>
      <c r="G44" s="219" t="e">
        <f t="shared" ref="G44" si="5">F44/C44-1</f>
        <v>#DIV/0!</v>
      </c>
    </row>
  </sheetData>
  <mergeCells count="17">
    <mergeCell ref="B35:H35"/>
    <mergeCell ref="B39:H39"/>
    <mergeCell ref="B40:H40"/>
    <mergeCell ref="B43:H43"/>
    <mergeCell ref="B33:H33"/>
    <mergeCell ref="B34:H34"/>
    <mergeCell ref="B41:H41"/>
    <mergeCell ref="B42:H42"/>
    <mergeCell ref="B36:H36"/>
    <mergeCell ref="C31:I31"/>
    <mergeCell ref="A27:G27"/>
    <mergeCell ref="B32:H32"/>
    <mergeCell ref="A2:E3"/>
    <mergeCell ref="D8:E8"/>
    <mergeCell ref="F8:G8"/>
    <mergeCell ref="A4:G4"/>
    <mergeCell ref="A6:G6"/>
  </mergeCells>
  <printOptions horizontalCentered="1"/>
  <pageMargins left="0.21770833333333334"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7">
    <tabColor rgb="FFFF0000"/>
  </sheetPr>
  <dimension ref="A1:G43"/>
  <sheetViews>
    <sheetView showGridLines="0" view="pageLayout" topLeftCell="A34" zoomScaleNormal="100" workbookViewId="0">
      <selection activeCell="H10" sqref="H10"/>
    </sheetView>
  </sheetViews>
  <sheetFormatPr baseColWidth="10" defaultColWidth="9.1640625" defaultRowHeight="15"/>
  <cols>
    <col min="1" max="1" width="32.5" customWidth="1"/>
    <col min="2" max="2" width="17.6640625" customWidth="1"/>
    <col min="3" max="3" width="18" customWidth="1"/>
    <col min="4" max="4" width="13.33203125" customWidth="1"/>
    <col min="5" max="5" width="9.33203125" customWidth="1"/>
    <col min="6" max="6" width="9.1640625" hidden="1" customWidth="1"/>
    <col min="7" max="15" width="9.1640625" customWidth="1"/>
  </cols>
  <sheetData>
    <row r="1" spans="1:6" ht="18" customHeight="1"/>
    <row r="2" spans="1:6">
      <c r="A2" s="1004" t="s">
        <v>628</v>
      </c>
      <c r="B2" s="1004"/>
      <c r="C2" s="1004"/>
      <c r="D2" s="1004"/>
      <c r="E2" s="8"/>
    </row>
    <row r="3" spans="1:6">
      <c r="A3" s="1004"/>
      <c r="B3" s="1004"/>
      <c r="C3" s="1004"/>
      <c r="D3" s="1004"/>
      <c r="E3" s="8"/>
    </row>
    <row r="4" spans="1:6" ht="7.5" customHeight="1">
      <c r="A4" s="10"/>
      <c r="B4" s="196"/>
      <c r="C4" s="196"/>
      <c r="D4" s="196"/>
      <c r="E4" s="196"/>
    </row>
    <row r="5" spans="1:6">
      <c r="A5" s="374" t="s">
        <v>261</v>
      </c>
      <c r="B5" s="375" t="s">
        <v>580</v>
      </c>
      <c r="C5" s="373" t="s">
        <v>579</v>
      </c>
      <c r="D5" s="8"/>
      <c r="E5" s="8"/>
      <c r="F5" t="s">
        <v>793</v>
      </c>
    </row>
    <row r="6" spans="1:6" ht="15" customHeight="1">
      <c r="A6" s="583" t="s">
        <v>558</v>
      </c>
      <c r="B6" s="378" t="s">
        <v>559</v>
      </c>
      <c r="C6" s="377"/>
      <c r="D6" s="8"/>
      <c r="E6" s="8"/>
      <c r="F6" t="s">
        <v>794</v>
      </c>
    </row>
    <row r="7" spans="1:6">
      <c r="A7" s="583" t="s">
        <v>560</v>
      </c>
      <c r="B7" s="378" t="s">
        <v>561</v>
      </c>
      <c r="C7" s="377"/>
      <c r="D7" s="8"/>
      <c r="E7" s="8"/>
      <c r="F7" t="s">
        <v>512</v>
      </c>
    </row>
    <row r="8" spans="1:6" ht="15" customHeight="1">
      <c r="A8" s="583" t="s">
        <v>581</v>
      </c>
      <c r="B8" s="414">
        <f>'Pooled Benefits '!B23+'Pooled Benefits '!D23</f>
        <v>0</v>
      </c>
      <c r="C8" s="415">
        <f>'Pooled Benefits '!F23+'Pooled Benefits '!H23</f>
        <v>0</v>
      </c>
      <c r="D8" s="8"/>
      <c r="E8" s="8"/>
    </row>
    <row r="9" spans="1:6">
      <c r="A9" s="583" t="s">
        <v>562</v>
      </c>
      <c r="B9" s="379">
        <v>10000</v>
      </c>
      <c r="C9" s="380">
        <v>10000</v>
      </c>
      <c r="D9" s="90"/>
      <c r="E9" s="90"/>
    </row>
    <row r="10" spans="1:6">
      <c r="A10" s="583" t="s">
        <v>563</v>
      </c>
      <c r="B10" s="376" t="s">
        <v>564</v>
      </c>
      <c r="C10" s="377" t="s">
        <v>564</v>
      </c>
      <c r="D10" s="90"/>
      <c r="E10" s="90"/>
    </row>
    <row r="11" spans="1:6">
      <c r="A11" s="583" t="s">
        <v>565</v>
      </c>
      <c r="B11" s="376" t="s">
        <v>566</v>
      </c>
      <c r="C11" s="377" t="s">
        <v>566</v>
      </c>
      <c r="D11" s="90"/>
      <c r="E11" s="90"/>
    </row>
    <row r="12" spans="1:6">
      <c r="A12" s="583" t="s">
        <v>567</v>
      </c>
      <c r="B12" s="376" t="s">
        <v>568</v>
      </c>
      <c r="C12" s="377" t="s">
        <v>568</v>
      </c>
      <c r="D12" s="90"/>
      <c r="E12" s="90"/>
    </row>
    <row r="13" spans="1:6">
      <c r="A13" s="584" t="s">
        <v>569</v>
      </c>
      <c r="B13" s="381" t="s">
        <v>568</v>
      </c>
      <c r="C13" s="382" t="s">
        <v>568</v>
      </c>
      <c r="D13" s="90"/>
      <c r="E13" s="90"/>
    </row>
    <row r="14" spans="1:6" ht="12" customHeight="1">
      <c r="A14" s="13"/>
      <c r="B14" s="196"/>
      <c r="C14" s="196"/>
      <c r="D14" s="196"/>
      <c r="E14" s="196"/>
    </row>
    <row r="15" spans="1:6">
      <c r="A15" s="391" t="s">
        <v>570</v>
      </c>
      <c r="B15" s="390" t="s">
        <v>582</v>
      </c>
      <c r="C15" s="390" t="s">
        <v>633</v>
      </c>
      <c r="D15" s="389" t="s">
        <v>634</v>
      </c>
      <c r="E15" s="8"/>
    </row>
    <row r="16" spans="1:6">
      <c r="A16" s="585" t="s">
        <v>37</v>
      </c>
      <c r="B16" s="383" t="s">
        <v>793</v>
      </c>
      <c r="C16" s="383" t="s">
        <v>795</v>
      </c>
      <c r="D16" s="384"/>
      <c r="E16" s="8"/>
    </row>
    <row r="17" spans="1:5">
      <c r="A17" s="585" t="s">
        <v>38</v>
      </c>
      <c r="B17" s="383" t="s">
        <v>793</v>
      </c>
      <c r="C17" s="383"/>
      <c r="D17" s="384"/>
      <c r="E17" s="8"/>
    </row>
    <row r="18" spans="1:5">
      <c r="A18" s="585" t="s">
        <v>9</v>
      </c>
      <c r="B18" s="383" t="s">
        <v>793</v>
      </c>
      <c r="C18" s="383"/>
      <c r="D18" s="384"/>
      <c r="E18" s="197"/>
    </row>
    <row r="19" spans="1:5">
      <c r="A19" s="585" t="s">
        <v>487</v>
      </c>
      <c r="B19" s="383" t="s">
        <v>793</v>
      </c>
      <c r="C19" s="383"/>
      <c r="D19" s="384"/>
      <c r="E19" s="197"/>
    </row>
    <row r="20" spans="1:5">
      <c r="A20" s="585" t="s">
        <v>133</v>
      </c>
      <c r="B20" s="383" t="s">
        <v>793</v>
      </c>
      <c r="C20" s="383"/>
      <c r="D20" s="384"/>
      <c r="E20" s="197"/>
    </row>
    <row r="21" spans="1:5">
      <c r="A21" s="585" t="s">
        <v>39</v>
      </c>
      <c r="B21" s="383" t="s">
        <v>793</v>
      </c>
      <c r="C21" s="383"/>
      <c r="D21" s="384"/>
      <c r="E21" s="197"/>
    </row>
    <row r="22" spans="1:5">
      <c r="A22" s="585" t="s">
        <v>40</v>
      </c>
      <c r="B22" s="383" t="s">
        <v>793</v>
      </c>
      <c r="C22" s="383"/>
      <c r="D22" s="384"/>
      <c r="E22" s="197"/>
    </row>
    <row r="23" spans="1:5">
      <c r="A23" s="585" t="s">
        <v>162</v>
      </c>
      <c r="B23" s="383" t="s">
        <v>793</v>
      </c>
      <c r="C23" s="383"/>
      <c r="D23" s="384"/>
      <c r="E23" s="8"/>
    </row>
    <row r="24" spans="1:5">
      <c r="A24" s="585" t="s">
        <v>16</v>
      </c>
      <c r="B24" s="383" t="s">
        <v>793</v>
      </c>
      <c r="C24" s="383"/>
      <c r="D24" s="384"/>
      <c r="E24" s="8"/>
    </row>
    <row r="25" spans="1:5">
      <c r="A25" s="585" t="s">
        <v>571</v>
      </c>
      <c r="B25" s="383" t="s">
        <v>793</v>
      </c>
      <c r="C25" s="383"/>
      <c r="D25" s="384"/>
      <c r="E25" s="8"/>
    </row>
    <row r="26" spans="1:5">
      <c r="A26" s="585" t="s">
        <v>134</v>
      </c>
      <c r="B26" s="383" t="s">
        <v>793</v>
      </c>
      <c r="C26" s="383"/>
      <c r="D26" s="384"/>
      <c r="E26" s="8"/>
    </row>
    <row r="27" spans="1:5">
      <c r="A27" s="585" t="s">
        <v>452</v>
      </c>
      <c r="B27" s="383" t="s">
        <v>793</v>
      </c>
      <c r="C27" s="383"/>
      <c r="D27" s="384"/>
      <c r="E27" s="8"/>
    </row>
    <row r="28" spans="1:5">
      <c r="A28" s="586" t="s">
        <v>572</v>
      </c>
      <c r="B28" s="383" t="s">
        <v>793</v>
      </c>
      <c r="C28" s="386"/>
      <c r="D28" s="387"/>
      <c r="E28" s="8"/>
    </row>
    <row r="29" spans="1:5">
      <c r="A29" s="3"/>
      <c r="B29" s="8"/>
      <c r="C29" s="8"/>
      <c r="D29" s="8"/>
      <c r="E29" s="8"/>
    </row>
    <row r="30" spans="1:5">
      <c r="A30" s="392" t="s">
        <v>577</v>
      </c>
      <c r="B30" s="8"/>
      <c r="C30" s="8"/>
      <c r="D30" s="8"/>
      <c r="E30" s="8"/>
    </row>
    <row r="31" spans="1:5" ht="5.25" customHeight="1">
      <c r="A31" s="9"/>
    </row>
    <row r="32" spans="1:5">
      <c r="A32" s="198" t="s">
        <v>576</v>
      </c>
    </row>
    <row r="33" spans="1:7" ht="9" customHeight="1"/>
    <row r="34" spans="1:7">
      <c r="A34" s="392" t="s">
        <v>583</v>
      </c>
    </row>
    <row r="35" spans="1:7" ht="5.25" customHeight="1">
      <c r="A35" s="9"/>
    </row>
    <row r="36" spans="1:7">
      <c r="A36" s="198" t="s">
        <v>617</v>
      </c>
    </row>
    <row r="37" spans="1:7" ht="9" customHeight="1"/>
    <row r="38" spans="1:7" s="364" customFormat="1">
      <c r="A38" s="392" t="s">
        <v>574</v>
      </c>
      <c r="B38" s="392"/>
      <c r="C38" s="263"/>
      <c r="D38" s="5"/>
      <c r="E38" s="5"/>
      <c r="F38" s="874"/>
    </row>
    <row r="39" spans="1:7" s="364" customFormat="1" ht="4.5" customHeight="1">
      <c r="A39" s="234"/>
      <c r="B39" s="234"/>
      <c r="D39" s="5"/>
      <c r="E39" s="5"/>
      <c r="F39" s="874"/>
    </row>
    <row r="40" spans="1:7" s="364" customFormat="1" ht="28.5" customHeight="1">
      <c r="A40" s="1012" t="s">
        <v>573</v>
      </c>
      <c r="B40" s="1012"/>
      <c r="C40" s="1012"/>
      <c r="D40" s="1012"/>
      <c r="E40" s="1012"/>
      <c r="F40" s="878"/>
      <c r="G40" s="878"/>
    </row>
    <row r="41" spans="1:7">
      <c r="A41" s="1022" t="s">
        <v>838</v>
      </c>
      <c r="B41" s="1022"/>
      <c r="C41" s="1022"/>
      <c r="D41" s="1022"/>
      <c r="E41" s="1022"/>
    </row>
    <row r="42" spans="1:7" ht="9" customHeight="1">
      <c r="A42" s="234"/>
    </row>
    <row r="43" spans="1:7" ht="168" customHeight="1">
      <c r="A43" s="1021" t="s">
        <v>839</v>
      </c>
      <c r="B43" s="1021"/>
      <c r="C43" s="1021"/>
      <c r="D43" s="1021"/>
      <c r="E43" s="1021"/>
    </row>
  </sheetData>
  <mergeCells count="4">
    <mergeCell ref="A2:D3"/>
    <mergeCell ref="A43:E43"/>
    <mergeCell ref="A41:E41"/>
    <mergeCell ref="A40:E40"/>
  </mergeCells>
  <dataValidations count="1">
    <dataValidation type="list" allowBlank="1" showInputMessage="1" showErrorMessage="1" sqref="B16:B28" xr:uid="{00000000-0002-0000-0800-000000000000}">
      <formula1>$F$5:$F$7</formula1>
    </dataValidation>
  </dataValidations>
  <printOptions horizontalCentered="1"/>
  <pageMargins left="0.30208333333333331" right="0.47453703703703698" top="0.55118110236220497" bottom="0.94488188976377996" header="0.31496062992126" footer="0.31496062992126"/>
  <pageSetup orientation="portrait" r:id="rId1"/>
  <headerFooter scaleWithDoc="0">
    <oddHeader>&amp;C&amp;G</oddHeader>
    <oddFooter>&amp;C&amp;G&amp;R&amp;P</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ADCCB4634FF44FB3237C807E61A3DE" ma:contentTypeVersion="0" ma:contentTypeDescription="Create a new document." ma:contentTypeScope="" ma:versionID="cedca6de2be23aced321ad362c02590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039754-2D91-4961-A5B9-1813251D50C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205BEF3-CE6F-43D2-8A78-AA7501F46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8D3EB28-5D0E-41B4-8EB7-EA9AE38518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75</vt:i4>
      </vt:variant>
      <vt:variant>
        <vt:lpstr>Named Ranges</vt:lpstr>
      </vt:variant>
      <vt:variant>
        <vt:i4>60</vt:i4>
      </vt:variant>
    </vt:vector>
  </HeadingPairs>
  <TitlesOfParts>
    <vt:vector size="135" baseType="lpstr">
      <vt:lpstr>General Information - DNP</vt:lpstr>
      <vt:lpstr>Revenue Reporting (2)</vt:lpstr>
      <vt:lpstr>Cover Page</vt:lpstr>
      <vt:lpstr>Table of Contents</vt:lpstr>
      <vt:lpstr>About NFP</vt:lpstr>
      <vt:lpstr>Scope of Services </vt:lpstr>
      <vt:lpstr>Executive Summary</vt:lpstr>
      <vt:lpstr>Executive Summary (ASO)</vt:lpstr>
      <vt:lpstr>Additional Information</vt:lpstr>
      <vt:lpstr>Cost Share</vt:lpstr>
      <vt:lpstr>Legislative Changes</vt:lpstr>
      <vt:lpstr>Legislative Changes (2)</vt:lpstr>
      <vt:lpstr>Experience Summary</vt:lpstr>
      <vt:lpstr>COVID Months</vt:lpstr>
      <vt:lpstr>DNP-COVID Calculations</vt:lpstr>
      <vt:lpstr>Underwriting Arrangements </vt:lpstr>
      <vt:lpstr>Pooled Benefits </vt:lpstr>
      <vt:lpstr>Life Exp Analysis</vt:lpstr>
      <vt:lpstr>AD&amp;D Dep Life </vt:lpstr>
      <vt:lpstr>Long Term Disability</vt:lpstr>
      <vt:lpstr>LTD Exp Analysis</vt:lpstr>
      <vt:lpstr>Short Term Disability </vt:lpstr>
      <vt:lpstr>Life And Disability Report</vt:lpstr>
      <vt:lpstr>Extended Health Care (EHC)</vt:lpstr>
      <vt:lpstr>EHC Breakdown</vt:lpstr>
      <vt:lpstr>EHC Breakdown (2)</vt:lpstr>
      <vt:lpstr>EHC Breakdown - w S&amp;S</vt:lpstr>
      <vt:lpstr>EHC Breakdown w S&amp;S (2)</vt:lpstr>
      <vt:lpstr>EHC Breakdown w S&amp;S (3)</vt:lpstr>
      <vt:lpstr>Drug Claim Analytics</vt:lpstr>
      <vt:lpstr>Drug Claim Analytics (2)</vt:lpstr>
      <vt:lpstr>Stop Loss </vt:lpstr>
      <vt:lpstr>Dental Care</vt:lpstr>
      <vt:lpstr>Dental Care History</vt:lpstr>
      <vt:lpstr>Trend Review</vt:lpstr>
      <vt:lpstr>Summary and Recommendations</vt:lpstr>
      <vt:lpstr>Monthly Breakdown Pooled</vt:lpstr>
      <vt:lpstr>Monthly Breakdown Exp Rated</vt:lpstr>
      <vt:lpstr>HCSA Utilization</vt:lpstr>
      <vt:lpstr>HCSA Summary</vt:lpstr>
      <vt:lpstr>ASO Summary</vt:lpstr>
      <vt:lpstr>Retention Reconcilliation</vt:lpstr>
      <vt:lpstr>Renewal Analysis</vt:lpstr>
      <vt:lpstr>Renewal Rates </vt:lpstr>
      <vt:lpstr>ASO Projections </vt:lpstr>
      <vt:lpstr>Retention Projections</vt:lpstr>
      <vt:lpstr>Marketing Rates</vt:lpstr>
      <vt:lpstr>Plan Design Considerations </vt:lpstr>
      <vt:lpstr>Alternates - DNP</vt:lpstr>
      <vt:lpstr>Allstate CI</vt:lpstr>
      <vt:lpstr>EverydayHR</vt:lpstr>
      <vt:lpstr>EAP</vt:lpstr>
      <vt:lpstr>TeleMedicine</vt:lpstr>
      <vt:lpstr>Health Nav</vt:lpstr>
      <vt:lpstr>Advica</vt:lpstr>
      <vt:lpstr>Advica Pricing</vt:lpstr>
      <vt:lpstr>Bundles</vt:lpstr>
      <vt:lpstr>Beacon</vt:lpstr>
      <vt:lpstr>Renewal History </vt:lpstr>
      <vt:lpstr>RTQ History &amp; EXP</vt:lpstr>
      <vt:lpstr>Rate History </vt:lpstr>
      <vt:lpstr>Amendment History </vt:lpstr>
      <vt:lpstr>Plan Administrator Guidelines</vt:lpstr>
      <vt:lpstr>Plan Administrator Guidelin (2</vt:lpstr>
      <vt:lpstr>Commission Disclosure</vt:lpstr>
      <vt:lpstr>Plan Design 1</vt:lpstr>
      <vt:lpstr>Plan Design 1 (2)</vt:lpstr>
      <vt:lpstr>Plan Design</vt:lpstr>
      <vt:lpstr>Plan Design  Cont.1</vt:lpstr>
      <vt:lpstr>Plan Design 1 (3)</vt:lpstr>
      <vt:lpstr>Plan Design 1 (4)</vt:lpstr>
      <vt:lpstr>Plan Cont.2 </vt:lpstr>
      <vt:lpstr>Plan Cont.3 </vt:lpstr>
      <vt:lpstr>Glossary </vt:lpstr>
      <vt:lpstr>Back end page</vt:lpstr>
      <vt:lpstr>'About NFP'!_Toc387326841</vt:lpstr>
      <vt:lpstr>'Scope of Services '!_Toc387326841</vt:lpstr>
      <vt:lpstr>'Table of Contents'!_Toc387326841</vt:lpstr>
      <vt:lpstr>'Scope of Services '!_Toc387326842</vt:lpstr>
      <vt:lpstr>'Table of Contents'!_Toc387326842</vt:lpstr>
      <vt:lpstr>'Scope of Services '!_Toc387326843</vt:lpstr>
      <vt:lpstr>'Table of Contents'!_Toc387326843</vt:lpstr>
      <vt:lpstr>'Life And Disability Report'!_Toc411872311</vt:lpstr>
      <vt:lpstr>AE1_Name</vt:lpstr>
      <vt:lpstr>AE1_Title</vt:lpstr>
      <vt:lpstr>AE2_Name</vt:lpstr>
      <vt:lpstr>AE2_Title</vt:lpstr>
      <vt:lpstr>ASO_Dental_Trend</vt:lpstr>
      <vt:lpstr>ASO_EHC_Trend</vt:lpstr>
      <vt:lpstr>ASO_STD_Trend</vt:lpstr>
      <vt:lpstr>Carrier</vt:lpstr>
      <vt:lpstr>DENTALCLAIM2</vt:lpstr>
      <vt:lpstr>DENTALCLAIM3</vt:lpstr>
      <vt:lpstr>DENTALCLAIMCURR</vt:lpstr>
      <vt:lpstr>DENTALCRED</vt:lpstr>
      <vt:lpstr>DENTALCURRAVGLIFE</vt:lpstr>
      <vt:lpstr>DENTALCURRPREM</vt:lpstr>
      <vt:lpstr>DENTALPREM2</vt:lpstr>
      <vt:lpstr>DENTALPREM3</vt:lpstr>
      <vt:lpstr>DENTALPREMCURR</vt:lpstr>
      <vt:lpstr>DENTALPREVAVGLIFE</vt:lpstr>
      <vt:lpstr>DentalTLR</vt:lpstr>
      <vt:lpstr>DENTALTREND</vt:lpstr>
      <vt:lpstr>EHCCLAIM2</vt:lpstr>
      <vt:lpstr>EHCCLAIM3</vt:lpstr>
      <vt:lpstr>EHCCLAIMCURR</vt:lpstr>
      <vt:lpstr>EHCCRED</vt:lpstr>
      <vt:lpstr>'HCSA Utilization'!EHCCURRAVGLIFE</vt:lpstr>
      <vt:lpstr>EHCCURRAVGLIFE</vt:lpstr>
      <vt:lpstr>EHCPREM2</vt:lpstr>
      <vt:lpstr>EHCPREM3</vt:lpstr>
      <vt:lpstr>EHCPREMCURR</vt:lpstr>
      <vt:lpstr>EHCPREMLAST</vt:lpstr>
      <vt:lpstr>'HCSA Utilization'!EHCPREVAVGLIFE</vt:lpstr>
      <vt:lpstr>EHCPREVAVGLIFE</vt:lpstr>
      <vt:lpstr>EHCTLR</vt:lpstr>
      <vt:lpstr>EHCTREND</vt:lpstr>
      <vt:lpstr>EP_Current</vt:lpstr>
      <vt:lpstr>EP_P1</vt:lpstr>
      <vt:lpstr>EP_P2</vt:lpstr>
      <vt:lpstr>EP_P3</vt:lpstr>
      <vt:lpstr>EP_P4</vt:lpstr>
      <vt:lpstr>GroupName</vt:lpstr>
      <vt:lpstr>No_EE</vt:lpstr>
      <vt:lpstr>Payroll</vt:lpstr>
      <vt:lpstr>PolicyNumber</vt:lpstr>
      <vt:lpstr>'Revenue Reporting (2)'!Print_Area</vt:lpstr>
      <vt:lpstr>RenewalDate</vt:lpstr>
      <vt:lpstr>RenewalMonth</vt:lpstr>
      <vt:lpstr>RenewalYear</vt:lpstr>
      <vt:lpstr>STDCLAIM2</vt:lpstr>
      <vt:lpstr>STDCLAIM3</vt:lpstr>
      <vt:lpstr>STDCLAIMCURR</vt:lpstr>
      <vt:lpstr>STDCRED</vt:lpstr>
      <vt:lpstr>STDTLR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Talha Imran</dc:creator>
  <cp:lastModifiedBy>Alexander Flanagan</cp:lastModifiedBy>
  <cp:lastPrinted>2020-06-08T14:58:04Z</cp:lastPrinted>
  <dcterms:created xsi:type="dcterms:W3CDTF">2015-02-10T13:58:37Z</dcterms:created>
  <dcterms:modified xsi:type="dcterms:W3CDTF">2021-02-02T00:15:46Z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0x0101005BADCCB4634FF44FB3237C807E61A3DE</vt:lpwstr>
  </property>
</Properties>
</file>