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890AAAD-D9A6-402C-B157-B8907656D2D6/Library/Application Support/Drafts/"/>
    </mc:Choice>
  </mc:AlternateContent>
  <xr:revisionPtr revIDLastSave="33" documentId="8_{DEAACC55-FAAE-2947-81AE-BCA4F5FC28B6}" xr6:coauthVersionLast="47" xr6:coauthVersionMax="47" xr10:uidLastSave="{AD976C8C-D17B-3D44-B7A7-EB8C77090BA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48" i="1" l="1"/>
  <c r="W148" i="1"/>
  <c r="AG147" i="1"/>
  <c r="T147" i="1"/>
  <c r="O145" i="1" a="1"/>
  <c r="O145" i="1"/>
  <c r="K333" i="1"/>
  <c r="AG145" i="1"/>
  <c r="AG144" i="1"/>
  <c r="T144" i="1"/>
  <c r="B4" i="1" a="1"/>
  <c r="B4" i="1"/>
  <c r="AE143" i="1"/>
  <c r="Z142" i="1"/>
  <c r="W142" i="1"/>
  <c r="T142" i="1"/>
  <c r="B5" i="1" a="1"/>
  <c r="B5" i="1"/>
  <c r="AG141" i="1"/>
  <c r="AE141" i="1"/>
  <c r="AE140" i="1"/>
  <c r="Z140" i="1"/>
  <c r="T140" i="1"/>
  <c r="Q140" i="1" a="1"/>
  <c r="Q140" i="1"/>
  <c r="P140" i="1" a="1"/>
  <c r="P140" i="1"/>
  <c r="O140" i="1" a="1"/>
  <c r="O140" i="1"/>
  <c r="AG139" i="1"/>
  <c r="C16" i="1" a="1"/>
  <c r="C16" i="1"/>
  <c r="AE139" i="1"/>
  <c r="T139" i="1"/>
  <c r="AH137" i="1"/>
  <c r="AG137" i="1"/>
  <c r="AE137" i="1"/>
  <c r="Z137" i="1"/>
  <c r="R137" i="1"/>
  <c r="T137" i="1"/>
  <c r="W136" i="1"/>
  <c r="AG135" i="1"/>
  <c r="T135" i="1"/>
  <c r="AG134" i="1"/>
  <c r="Z134" i="1"/>
  <c r="AG133" i="1"/>
  <c r="W133" i="1"/>
  <c r="T133" i="1"/>
  <c r="R133" i="1"/>
  <c r="K137" i="1" a="1"/>
  <c r="K137" i="1"/>
  <c r="D16" i="1" a="1"/>
  <c r="D16" i="1"/>
  <c r="E16" i="1" a="1"/>
  <c r="F16" i="1" a="1"/>
  <c r="E16" i="1"/>
  <c r="F16" i="1"/>
  <c r="X65" i="1"/>
  <c r="Y65" i="1"/>
  <c r="R87" i="1"/>
  <c r="R88" i="1"/>
  <c r="X74" i="1"/>
  <c r="O72" i="1"/>
  <c r="M63" i="1"/>
  <c r="M64" i="1"/>
  <c r="M65" i="1"/>
  <c r="M66" i="1"/>
  <c r="A77" i="1" a="1"/>
  <c r="A77" i="1"/>
  <c r="W64" i="1" a="1"/>
  <c r="W64" i="1"/>
  <c r="C35" i="1" a="1"/>
  <c r="C35" i="1"/>
  <c r="O75" i="1" a="1"/>
  <c r="O75" i="1"/>
  <c r="O76" i="1" a="1"/>
  <c r="O76" i="1"/>
  <c r="U67" i="1" a="1"/>
  <c r="U67" i="1"/>
  <c r="R82" i="1"/>
  <c r="R83" i="1"/>
  <c r="R84" i="1"/>
  <c r="R85" i="1"/>
  <c r="R86" i="1"/>
  <c r="X72" i="1"/>
  <c r="X73" i="1"/>
  <c r="X75" i="1"/>
  <c r="T74" i="1"/>
  <c r="T75" i="1"/>
  <c r="T76" i="1"/>
  <c r="T77" i="1"/>
  <c r="T78" i="1"/>
  <c r="T79" i="1"/>
  <c r="T80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C21" i="1" a="1"/>
  <c r="C21" i="1"/>
  <c r="K332" i="1" a="1"/>
  <c r="K332" i="1"/>
  <c r="W118" i="1"/>
  <c r="C10" i="1"/>
  <c r="N75" i="1"/>
  <c r="O161" i="1" a="1"/>
  <c r="O161" i="1"/>
  <c r="X68" i="1"/>
  <c r="Y69" i="1"/>
  <c r="N76" i="1" a="1"/>
  <c r="N76" i="1"/>
  <c r="B7" i="1"/>
  <c r="T149" i="1"/>
  <c r="AE148" i="1"/>
  <c r="Z176" i="1"/>
  <c r="Z99" i="1"/>
  <c r="C7" i="1"/>
  <c r="AG161" i="1"/>
  <c r="AE161" i="1"/>
  <c r="AA161" i="1"/>
  <c r="AB161" i="1"/>
  <c r="AC161" i="1"/>
  <c r="Z161" i="1"/>
  <c r="AG132" i="1"/>
  <c r="AE132" i="1"/>
  <c r="T132" i="1"/>
  <c r="AH131" i="1"/>
  <c r="AG131" i="1"/>
  <c r="T131" i="1"/>
  <c r="R131" i="1"/>
  <c r="AG130" i="1"/>
  <c r="AE130" i="1"/>
  <c r="W130" i="1"/>
  <c r="T130" i="1"/>
  <c r="AG129" i="1"/>
  <c r="Z129" i="1"/>
  <c r="T129" i="1" a="1"/>
  <c r="T129" i="1"/>
  <c r="Z128" i="1"/>
  <c r="W127" i="1"/>
  <c r="AE127" i="1"/>
  <c r="T127" i="1"/>
  <c r="R127" i="1"/>
  <c r="AE126" i="1"/>
  <c r="W126" i="1"/>
  <c r="O126" i="1" a="1"/>
  <c r="O126" i="1"/>
  <c r="O123" i="1" a="1"/>
  <c r="O123" i="1"/>
  <c r="AE123" i="1"/>
  <c r="P86" i="1" a="1"/>
  <c r="P86" i="1"/>
  <c r="P83" i="1" a="1"/>
  <c r="P83" i="1"/>
  <c r="N94" i="1" a="1"/>
  <c r="N94" i="1"/>
  <c r="P82" i="1"/>
  <c r="P84" i="1"/>
  <c r="P85" i="1"/>
  <c r="U78" i="1"/>
  <c r="U79" i="1"/>
  <c r="U80" i="1"/>
  <c r="Q75" i="1" a="1"/>
  <c r="Q75" i="1"/>
  <c r="U69" i="1" a="1"/>
  <c r="U69" i="1"/>
  <c r="N67" i="1"/>
  <c r="N68" i="1"/>
  <c r="A75" i="1" a="1"/>
  <c r="A75" i="1"/>
  <c r="W62" i="1" a="1"/>
  <c r="W62" i="1"/>
  <c r="V67" i="1" a="1"/>
  <c r="V67" i="1"/>
  <c r="X66" i="1"/>
  <c r="Y66" i="1"/>
  <c r="P59" i="1"/>
  <c r="P60" i="1"/>
  <c r="P61" i="1"/>
  <c r="P62" i="1"/>
  <c r="P63" i="1"/>
  <c r="P64" i="1"/>
  <c r="P65" i="1"/>
  <c r="P66" i="1"/>
  <c r="P67" i="1"/>
  <c r="P68" i="1"/>
  <c r="P69" i="1"/>
  <c r="A478" i="1" a="1"/>
  <c r="A478" i="1"/>
  <c r="A498" i="1" a="1"/>
  <c r="A498" i="1"/>
  <c r="C19" i="1" a="1"/>
  <c r="C19" i="1"/>
  <c r="N69" i="1"/>
  <c r="X85" i="1"/>
  <c r="X86" i="1"/>
  <c r="X87" i="1"/>
  <c r="X88" i="1"/>
  <c r="X67" i="1"/>
  <c r="Y67" i="1"/>
  <c r="C22" i="1" a="1"/>
  <c r="C22" i="1"/>
  <c r="G4" i="1"/>
  <c r="C11" i="1"/>
  <c r="F7" i="1"/>
  <c r="E11" i="1" a="1"/>
  <c r="E11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18" i="1"/>
  <c r="T83" i="1"/>
  <c r="S88" i="1"/>
  <c r="R63" i="1"/>
  <c r="S74" i="1"/>
  <c r="S75" i="1"/>
  <c r="S76" i="1"/>
  <c r="S77" i="1"/>
  <c r="S81" i="1"/>
  <c r="S82" i="1"/>
  <c r="S83" i="1"/>
  <c r="S84" i="1"/>
  <c r="S85" i="1"/>
  <c r="S87" i="1"/>
  <c r="W74" i="1"/>
  <c r="W75" i="1"/>
  <c r="W79" i="1"/>
  <c r="V80" i="1"/>
  <c r="W80" i="1"/>
  <c r="V81" i="1"/>
  <c r="W81" i="1"/>
  <c r="W82" i="1"/>
  <c r="V83" i="1"/>
  <c r="W83" i="1"/>
  <c r="W85" i="1"/>
  <c r="U83" i="1"/>
  <c r="T116" i="1"/>
  <c r="N71" i="1"/>
  <c r="T82" i="1"/>
  <c r="T84" i="1"/>
  <c r="U116" i="1"/>
  <c r="C26" i="1"/>
  <c r="V116" i="1"/>
  <c r="AG125" i="1"/>
  <c r="S125" i="1"/>
  <c r="R125" i="1"/>
  <c r="T124" i="1"/>
  <c r="S124" i="1"/>
  <c r="R124" i="1"/>
  <c r="Z123" i="1"/>
  <c r="S123" i="1"/>
  <c r="R123" i="1"/>
  <c r="P123" i="1" a="1"/>
  <c r="P123" i="1"/>
  <c r="AH123" i="1"/>
  <c r="AG123" i="1"/>
  <c r="W122" i="1"/>
  <c r="Z122" i="1"/>
  <c r="R122" i="1"/>
  <c r="T122" i="1"/>
  <c r="O97" i="1"/>
  <c r="O122" i="1"/>
  <c r="Z121" i="1"/>
  <c r="O111" i="1"/>
  <c r="V120" i="1"/>
  <c r="T120" i="1"/>
  <c r="Z115" i="1"/>
  <c r="P115" i="1"/>
  <c r="T115" i="1"/>
  <c r="AG118" i="1"/>
  <c r="P118" i="1" a="1"/>
  <c r="P118" i="1"/>
  <c r="T118" i="1"/>
  <c r="T87" i="1"/>
  <c r="W86" i="1" a="1"/>
  <c r="W86" i="1"/>
  <c r="M75" i="1" a="1"/>
  <c r="M75" i="1"/>
  <c r="M76" i="1" a="1"/>
  <c r="M76" i="1"/>
  <c r="M77" i="1"/>
  <c r="S78" i="1"/>
  <c r="S79" i="1"/>
  <c r="S80" i="1"/>
  <c r="S86" i="1"/>
  <c r="N82" i="1"/>
  <c r="N83" i="1"/>
  <c r="N84" i="1"/>
  <c r="Q59" i="1"/>
  <c r="R59" i="1"/>
  <c r="Q60" i="1"/>
  <c r="R60" i="1"/>
  <c r="Q61" i="1"/>
  <c r="R61" i="1"/>
  <c r="Q62" i="1"/>
  <c r="R62" i="1"/>
  <c r="Q64" i="1"/>
  <c r="R64" i="1"/>
  <c r="Q65" i="1"/>
  <c r="R65" i="1" a="1"/>
  <c r="Q66" i="1"/>
  <c r="R66" i="1"/>
  <c r="R67" i="1"/>
  <c r="Q68" i="1"/>
  <c r="R68" i="1"/>
  <c r="Q69" i="1"/>
  <c r="R69" i="1"/>
  <c r="Q70" i="1"/>
  <c r="R70" i="1"/>
  <c r="Q71" i="1"/>
  <c r="R71" i="1"/>
  <c r="Q72" i="1"/>
  <c r="R72" i="1"/>
  <c r="R58" i="1"/>
  <c r="R65" i="1"/>
  <c r="V72" i="1"/>
  <c r="W72" i="1"/>
  <c r="V73" i="1"/>
  <c r="W73" i="1"/>
  <c r="V74" i="1"/>
  <c r="V75" i="1"/>
  <c r="V76" i="1"/>
  <c r="W76" i="1"/>
  <c r="V77" i="1"/>
  <c r="W77" i="1"/>
  <c r="V78" i="1"/>
  <c r="W78" i="1"/>
  <c r="V79" i="1"/>
  <c r="V82" i="1"/>
  <c r="V84" i="1"/>
  <c r="W84" i="1"/>
  <c r="V85" i="1"/>
  <c r="V87" i="1"/>
  <c r="V88" i="1"/>
  <c r="V69" i="1" a="1"/>
  <c r="V69" i="1"/>
  <c r="A493" i="1" a="1"/>
  <c r="A493" i="1"/>
  <c r="W88" i="1"/>
  <c r="S67" i="1" a="1"/>
  <c r="S67" i="1"/>
  <c r="S69" i="1"/>
  <c r="A165" i="1" a="1"/>
  <c r="A165" i="1"/>
  <c r="A90" i="1" a="1"/>
  <c r="A90" i="1"/>
  <c r="A215" i="1" a="1"/>
  <c r="A215" i="1"/>
  <c r="A92" i="1" a="1"/>
  <c r="A92" i="1"/>
  <c r="A217" i="1" a="1"/>
  <c r="A217" i="1"/>
  <c r="B11" i="1"/>
  <c r="N62" i="1"/>
  <c r="N63" i="1"/>
  <c r="N64" i="1"/>
  <c r="N65" i="1"/>
  <c r="D11" i="1"/>
  <c r="A168" i="1" a="1"/>
  <c r="A168" i="1"/>
  <c r="T67" i="1" a="1"/>
  <c r="T67" i="1"/>
  <c r="N59" i="1"/>
  <c r="N60" i="1"/>
  <c r="A218" i="1" a="1"/>
  <c r="A218" i="1"/>
  <c r="A78" i="1" a="1"/>
  <c r="A78" i="1"/>
  <c r="C24" i="1" a="1"/>
  <c r="C24" i="1"/>
  <c r="E4" i="1"/>
  <c r="E5" i="1"/>
  <c r="F11" i="1" a="1"/>
  <c r="F11" i="1"/>
  <c r="G5" i="1"/>
  <c r="C8" i="1"/>
  <c r="D8" i="1"/>
  <c r="E8" i="1"/>
  <c r="AG116" i="1"/>
  <c r="AA119" i="1"/>
  <c r="W119" i="1"/>
  <c r="P119" i="1" a="1"/>
  <c r="P119" i="1"/>
  <c r="AE114" i="1"/>
  <c r="T114" i="1"/>
  <c r="R114" i="1"/>
  <c r="AH113" i="1"/>
  <c r="AG113" i="1"/>
  <c r="AE113" i="1"/>
  <c r="W113" i="1"/>
  <c r="T112" i="1"/>
  <c r="A167" i="1" a="1"/>
  <c r="A167" i="1"/>
  <c r="Z112" i="1"/>
  <c r="M72" i="1"/>
  <c r="C25" i="1" a="1"/>
  <c r="C25" i="1"/>
  <c r="D35" i="1" a="1"/>
  <c r="D35" i="1"/>
  <c r="P106" i="1" a="1"/>
  <c r="P106" i="1"/>
  <c r="A137" i="1" a="1"/>
  <c r="A137" i="1"/>
  <c r="A135" i="1" a="1"/>
  <c r="A135" i="1"/>
  <c r="A510" i="1" a="1"/>
  <c r="A510" i="1"/>
  <c r="F35" i="1" a="1"/>
  <c r="F35" i="1"/>
  <c r="E35" i="1" a="1"/>
  <c r="E35" i="1"/>
  <c r="M60" i="1"/>
  <c r="A512" i="1" a="1"/>
  <c r="A512" i="1"/>
  <c r="M59" i="1"/>
  <c r="M68" i="1"/>
  <c r="T69" i="1"/>
  <c r="M69" i="1"/>
  <c r="M70" i="1"/>
  <c r="A511" i="1" a="1"/>
  <c r="A511" i="1"/>
  <c r="A166" i="1" a="1"/>
  <c r="A166" i="1"/>
  <c r="A91" i="1" a="1"/>
  <c r="A91" i="1"/>
  <c r="A216" i="1" a="1"/>
  <c r="A216" i="1"/>
  <c r="A76" i="1" a="1"/>
  <c r="A76" i="1"/>
  <c r="W63" i="1" a="1"/>
  <c r="W63" i="1"/>
  <c r="C20" i="1" a="1"/>
  <c r="C20" i="1"/>
  <c r="AG99" i="1"/>
  <c r="AE125" i="1"/>
  <c r="A136" i="1" a="1"/>
  <c r="A136" i="1"/>
  <c r="A131" i="1" a="1"/>
  <c r="A131" i="1"/>
  <c r="AG106" i="1"/>
  <c r="Z120" i="1"/>
  <c r="N112" i="1"/>
  <c r="V64" i="1"/>
  <c r="T63" i="1"/>
  <c r="U62" i="1"/>
  <c r="U61" i="1"/>
  <c r="AG111" i="1"/>
  <c r="P111" i="1" a="1"/>
  <c r="P111" i="1"/>
  <c r="W111" i="1"/>
  <c r="R111" i="1"/>
  <c r="Z110" i="1"/>
  <c r="AH110" i="1"/>
  <c r="AG110" i="1"/>
  <c r="W110" i="1"/>
  <c r="S110" i="1"/>
  <c r="R110" i="1"/>
  <c r="AE109" i="1"/>
  <c r="W109" i="1"/>
  <c r="AG108" i="1"/>
  <c r="AG107" i="1"/>
  <c r="W107" i="1"/>
  <c r="AG105" i="1"/>
  <c r="AE105" i="1"/>
  <c r="T105" i="1"/>
  <c r="AW5" i="1"/>
  <c r="AT5" i="1"/>
  <c r="R104" i="1" a="1"/>
  <c r="R104" i="1"/>
  <c r="P104" i="1"/>
  <c r="AG103" i="1"/>
  <c r="AG102" i="1"/>
  <c r="AT6" i="1"/>
  <c r="AG101" i="1"/>
  <c r="Z102" i="1"/>
  <c r="T101" i="1"/>
  <c r="AG100" i="1"/>
  <c r="AE100" i="1"/>
  <c r="Z100" i="1"/>
  <c r="W100" i="1"/>
  <c r="T100" i="1"/>
  <c r="R99" i="1"/>
  <c r="T98" i="1"/>
  <c r="Z98" i="1"/>
  <c r="W98" i="1"/>
  <c r="R97" i="1"/>
  <c r="AG96" i="1"/>
  <c r="Y96" i="1"/>
  <c r="X96" i="1"/>
  <c r="W96" i="1"/>
  <c r="AE96" i="1"/>
  <c r="Z95" i="1"/>
  <c r="T95" i="1"/>
  <c r="AG94" i="1"/>
  <c r="U94" i="1"/>
  <c r="S45" i="1" a="1"/>
  <c r="S45" i="1"/>
  <c r="W45" i="1" a="1"/>
  <c r="W45" i="1"/>
  <c r="U45" i="1"/>
  <c r="T45" i="1"/>
  <c r="V45" i="1" a="1"/>
  <c r="V45" i="1"/>
  <c r="X44" i="1"/>
  <c r="A313" i="1" a="1"/>
  <c r="A313" i="1"/>
  <c r="A312" i="1" a="1"/>
  <c r="A312" i="1"/>
  <c r="A311" i="1" a="1"/>
  <c r="A311" i="1"/>
  <c r="A310" i="1" a="1"/>
  <c r="A310" i="1"/>
  <c r="A318" i="1" a="1"/>
  <c r="A318" i="1"/>
  <c r="A317" i="1" a="1"/>
  <c r="A317" i="1"/>
  <c r="A316" i="1" a="1"/>
  <c r="A316" i="1"/>
  <c r="A315" i="1" a="1"/>
  <c r="A315" i="1"/>
  <c r="A390" i="1" a="1"/>
  <c r="A390" i="1"/>
  <c r="A398" i="1" a="1"/>
  <c r="A398" i="1"/>
  <c r="A397" i="1" a="1"/>
  <c r="A397" i="1"/>
  <c r="A396" i="1" a="1"/>
  <c r="A396" i="1"/>
  <c r="A395" i="1" a="1"/>
  <c r="A395" i="1"/>
  <c r="A393" i="1" a="1"/>
  <c r="A393" i="1"/>
  <c r="A392" i="1" a="1"/>
  <c r="A392" i="1"/>
  <c r="A391" i="1" a="1"/>
  <c r="A391" i="1"/>
  <c r="A378" i="1" a="1"/>
  <c r="A378" i="1"/>
  <c r="A377" i="1" a="1"/>
  <c r="A377" i="1"/>
  <c r="A376" i="1" a="1"/>
  <c r="A376" i="1"/>
  <c r="A375" i="1" a="1"/>
  <c r="A375" i="1"/>
  <c r="A373" i="1" a="1"/>
  <c r="A373" i="1"/>
  <c r="A372" i="1" a="1"/>
  <c r="A372" i="1"/>
  <c r="A371" i="1" a="1"/>
  <c r="A371" i="1"/>
  <c r="A370" i="1" a="1"/>
  <c r="A370" i="1"/>
  <c r="A321" i="1" a="1"/>
  <c r="A321" i="1"/>
  <c r="A443" i="1" a="1"/>
  <c r="A443" i="1"/>
  <c r="A503" i="1" a="1"/>
  <c r="A503" i="1"/>
  <c r="A502" i="1" a="1"/>
  <c r="A502" i="1"/>
  <c r="A501" i="1" a="1"/>
  <c r="A501" i="1"/>
  <c r="A500" i="1" a="1"/>
  <c r="A500" i="1"/>
  <c r="A513" i="1" a="1"/>
  <c r="A513" i="1"/>
  <c r="A508" i="1" a="1"/>
  <c r="A508" i="1"/>
  <c r="A507" i="1" a="1"/>
  <c r="A507" i="1"/>
  <c r="A506" i="1" a="1"/>
  <c r="A506" i="1"/>
  <c r="A505" i="1" a="1"/>
  <c r="A505" i="1"/>
  <c r="A497" i="1" a="1"/>
  <c r="A497" i="1"/>
  <c r="A496" i="1" a="1"/>
  <c r="A496" i="1"/>
  <c r="A495" i="1" a="1"/>
  <c r="A495" i="1"/>
  <c r="A355" i="1" a="1"/>
  <c r="A355" i="1"/>
  <c r="A492" i="1" a="1"/>
  <c r="A492" i="1"/>
  <c r="A491" i="1" a="1"/>
  <c r="A491" i="1"/>
  <c r="A490" i="1" a="1"/>
  <c r="A490" i="1"/>
  <c r="A488" i="1" a="1"/>
  <c r="A488" i="1"/>
  <c r="A487" i="1" a="1"/>
  <c r="A487" i="1"/>
  <c r="A486" i="1" a="1"/>
  <c r="A486" i="1"/>
  <c r="A485" i="1" a="1"/>
  <c r="A485" i="1"/>
  <c r="A483" i="1" a="1"/>
  <c r="A483" i="1"/>
  <c r="A482" i="1" a="1"/>
  <c r="A482" i="1"/>
  <c r="A481" i="1" a="1"/>
  <c r="A481" i="1"/>
  <c r="A480" i="1" a="1"/>
  <c r="A480" i="1"/>
  <c r="A477" i="1" a="1"/>
  <c r="A477" i="1"/>
  <c r="A476" i="1" a="1"/>
  <c r="A476" i="1"/>
  <c r="A475" i="1" a="1"/>
  <c r="A475" i="1"/>
  <c r="A473" i="1" a="1"/>
  <c r="A473" i="1"/>
  <c r="A472" i="1" a="1"/>
  <c r="A472" i="1"/>
  <c r="A471" i="1" a="1"/>
  <c r="A471" i="1"/>
  <c r="A470" i="1" a="1"/>
  <c r="A470" i="1"/>
  <c r="A468" i="1" a="1"/>
  <c r="A468" i="1"/>
  <c r="A467" i="1" a="1"/>
  <c r="A467" i="1"/>
  <c r="A466" i="1" a="1"/>
  <c r="A466" i="1"/>
  <c r="A465" i="1" a="1"/>
  <c r="A465" i="1"/>
  <c r="A463" i="1" a="1"/>
  <c r="A463" i="1"/>
  <c r="A462" i="1" a="1"/>
  <c r="A462" i="1"/>
  <c r="A461" i="1" a="1"/>
  <c r="A461" i="1"/>
  <c r="A460" i="1" a="1"/>
  <c r="A460" i="1"/>
  <c r="A458" i="1" a="1"/>
  <c r="A458" i="1"/>
  <c r="A457" i="1" a="1"/>
  <c r="A457" i="1"/>
  <c r="A456" i="1" a="1"/>
  <c r="A456" i="1"/>
  <c r="A455" i="1" a="1"/>
  <c r="A455" i="1"/>
  <c r="A453" i="1" a="1"/>
  <c r="A453" i="1"/>
  <c r="A452" i="1" a="1"/>
  <c r="A452" i="1"/>
  <c r="A451" i="1" a="1"/>
  <c r="A451" i="1"/>
  <c r="A450" i="1" a="1"/>
  <c r="A450" i="1"/>
  <c r="A448" i="1" a="1"/>
  <c r="A448" i="1"/>
  <c r="A447" i="1" a="1"/>
  <c r="A447" i="1"/>
  <c r="A446" i="1" a="1"/>
  <c r="A446" i="1"/>
  <c r="A445" i="1" a="1"/>
  <c r="A445" i="1"/>
  <c r="A442" i="1" a="1"/>
  <c r="A442" i="1"/>
  <c r="A441" i="1" a="1"/>
  <c r="A441" i="1"/>
  <c r="A440" i="1" a="1"/>
  <c r="A440" i="1"/>
  <c r="A438" i="1" a="1"/>
  <c r="A438" i="1"/>
  <c r="A437" i="1" a="1"/>
  <c r="A437" i="1"/>
  <c r="A436" i="1" a="1"/>
  <c r="A436" i="1"/>
  <c r="A435" i="1" a="1"/>
  <c r="A435" i="1"/>
  <c r="A433" i="1" a="1"/>
  <c r="A433" i="1"/>
  <c r="A432" i="1" a="1"/>
  <c r="A432" i="1"/>
  <c r="A431" i="1" a="1"/>
  <c r="A431" i="1"/>
  <c r="A430" i="1" a="1"/>
  <c r="A430" i="1"/>
  <c r="A428" i="1" a="1"/>
  <c r="A428" i="1"/>
  <c r="A427" i="1" a="1"/>
  <c r="A427" i="1"/>
  <c r="A426" i="1" a="1"/>
  <c r="A426" i="1"/>
  <c r="A425" i="1" a="1"/>
  <c r="A425" i="1"/>
  <c r="A423" i="1" a="1"/>
  <c r="A423" i="1"/>
  <c r="A422" i="1" a="1"/>
  <c r="A422" i="1"/>
  <c r="A421" i="1" a="1"/>
  <c r="A421" i="1"/>
  <c r="A420" i="1" a="1"/>
  <c r="A420" i="1"/>
  <c r="A418" i="1" a="1"/>
  <c r="A418" i="1"/>
  <c r="A417" i="1" a="1"/>
  <c r="A417" i="1"/>
  <c r="A416" i="1" a="1"/>
  <c r="A416" i="1"/>
  <c r="A415" i="1" a="1"/>
  <c r="A415" i="1"/>
  <c r="A413" i="1" a="1"/>
  <c r="A413" i="1"/>
  <c r="A412" i="1" a="1"/>
  <c r="A412" i="1"/>
  <c r="A411" i="1" a="1"/>
  <c r="A411" i="1"/>
  <c r="A410" i="1" a="1"/>
  <c r="A410" i="1"/>
  <c r="A408" i="1" a="1"/>
  <c r="A408" i="1"/>
  <c r="A407" i="1" a="1"/>
  <c r="A407" i="1"/>
  <c r="A406" i="1" a="1"/>
  <c r="A406" i="1"/>
  <c r="A405" i="1" a="1"/>
  <c r="A405" i="1"/>
  <c r="A403" i="1" a="1"/>
  <c r="A403" i="1"/>
  <c r="A402" i="1" a="1"/>
  <c r="A402" i="1"/>
  <c r="A401" i="1" a="1"/>
  <c r="A401" i="1"/>
  <c r="A400" i="1" a="1"/>
  <c r="A400" i="1"/>
  <c r="A388" i="1" a="1"/>
  <c r="A388" i="1"/>
  <c r="A387" i="1" a="1"/>
  <c r="A387" i="1"/>
  <c r="A386" i="1" a="1"/>
  <c r="A386" i="1"/>
  <c r="A385" i="1" a="1"/>
  <c r="A385" i="1"/>
  <c r="A383" i="1" a="1"/>
  <c r="A383" i="1"/>
  <c r="A382" i="1" a="1"/>
  <c r="A382" i="1"/>
  <c r="A381" i="1" a="1"/>
  <c r="A381" i="1"/>
  <c r="A380" i="1" a="1"/>
  <c r="A380" i="1"/>
  <c r="A368" i="1" a="1"/>
  <c r="A368" i="1"/>
  <c r="A367" i="1" a="1"/>
  <c r="A367" i="1"/>
  <c r="A366" i="1" a="1"/>
  <c r="A366" i="1"/>
  <c r="A365" i="1" a="1"/>
  <c r="A365" i="1"/>
  <c r="A363" i="1" a="1"/>
  <c r="A363" i="1"/>
  <c r="A362" i="1" a="1"/>
  <c r="A362" i="1"/>
  <c r="A361" i="1" a="1"/>
  <c r="A361" i="1"/>
  <c r="A360" i="1" a="1"/>
  <c r="A360" i="1"/>
  <c r="A356" i="1" a="1"/>
  <c r="A356" i="1"/>
  <c r="Y82" i="1"/>
  <c r="Y83" i="1"/>
  <c r="Y73" i="1"/>
  <c r="X82" i="1"/>
  <c r="X81" i="1"/>
  <c r="X80" i="1"/>
  <c r="X79" i="1"/>
  <c r="X78" i="1"/>
  <c r="X77" i="1"/>
  <c r="X76" i="1"/>
  <c r="Y78" i="1"/>
  <c r="Y79" i="1"/>
  <c r="Y80" i="1"/>
  <c r="M61" i="1"/>
  <c r="A93" i="1" a="1"/>
  <c r="A93" i="1"/>
  <c r="C23" i="1" a="1"/>
  <c r="C23" i="1"/>
  <c r="Y76" i="1"/>
  <c r="Y72" i="1"/>
  <c r="A358" i="1" a="1"/>
  <c r="A358" i="1"/>
  <c r="A357" i="1" a="1"/>
  <c r="A357" i="1"/>
  <c r="A353" i="1" a="1"/>
  <c r="A353" i="1"/>
  <c r="A352" i="1" a="1"/>
  <c r="A352" i="1"/>
  <c r="A351" i="1" a="1"/>
  <c r="A351" i="1"/>
  <c r="A350" i="1" a="1"/>
  <c r="A350" i="1"/>
  <c r="A338" i="1" a="1"/>
  <c r="A338" i="1"/>
  <c r="A337" i="1" a="1"/>
  <c r="A337" i="1"/>
  <c r="A336" i="1" a="1"/>
  <c r="A336" i="1"/>
  <c r="A335" i="1" a="1"/>
  <c r="A335" i="1"/>
  <c r="A333" i="1" a="1"/>
  <c r="A333" i="1"/>
  <c r="A332" i="1" a="1"/>
  <c r="A332" i="1"/>
  <c r="A331" i="1" a="1"/>
  <c r="A331" i="1"/>
  <c r="A330" i="1" a="1"/>
  <c r="A330" i="1"/>
  <c r="A328" i="1" a="1"/>
  <c r="A328" i="1"/>
  <c r="A327" i="1" a="1"/>
  <c r="A327" i="1"/>
  <c r="A326" i="1" a="1"/>
  <c r="A326" i="1"/>
  <c r="A325" i="1" a="1"/>
  <c r="A325" i="1"/>
  <c r="A323" i="1" a="1"/>
  <c r="A323" i="1"/>
  <c r="A322" i="1" a="1"/>
  <c r="A322" i="1"/>
  <c r="A320" i="1" a="1"/>
  <c r="A320" i="1"/>
  <c r="A348" i="1" a="1"/>
  <c r="A348" i="1"/>
  <c r="A347" i="1" a="1"/>
  <c r="A347" i="1"/>
  <c r="A346" i="1" a="1"/>
  <c r="A346" i="1"/>
  <c r="A345" i="1" a="1"/>
  <c r="A345" i="1"/>
  <c r="A343" i="1" a="1"/>
  <c r="A343" i="1"/>
  <c r="A342" i="1" a="1"/>
  <c r="A342" i="1"/>
  <c r="A341" i="1" a="1"/>
  <c r="A341" i="1"/>
  <c r="A340" i="1" a="1"/>
  <c r="A340" i="1"/>
  <c r="A308" i="1" a="1"/>
  <c r="A308" i="1"/>
  <c r="A307" i="1" a="1"/>
  <c r="A307" i="1"/>
  <c r="A306" i="1" a="1"/>
  <c r="A306" i="1"/>
  <c r="A305" i="1" a="1"/>
  <c r="A305" i="1"/>
  <c r="A303" i="1" a="1"/>
  <c r="A303" i="1"/>
  <c r="A302" i="1" a="1"/>
  <c r="A302" i="1"/>
  <c r="A301" i="1" a="1"/>
  <c r="A301" i="1"/>
  <c r="A300" i="1" a="1"/>
  <c r="A300" i="1"/>
  <c r="A298" i="1" a="1"/>
  <c r="A298" i="1"/>
  <c r="A297" i="1" a="1"/>
  <c r="A297" i="1"/>
  <c r="A296" i="1" a="1"/>
  <c r="A296" i="1"/>
  <c r="A295" i="1" a="1"/>
  <c r="A295" i="1"/>
  <c r="A293" i="1" a="1"/>
  <c r="A293" i="1"/>
  <c r="A292" i="1" a="1"/>
  <c r="A292" i="1"/>
  <c r="A291" i="1" a="1"/>
  <c r="A291" i="1"/>
  <c r="A290" i="1" a="1"/>
  <c r="A290" i="1"/>
  <c r="A288" i="1" a="1"/>
  <c r="A288" i="1"/>
  <c r="A287" i="1" a="1"/>
  <c r="A287" i="1"/>
  <c r="A286" i="1" a="1"/>
  <c r="A286" i="1"/>
  <c r="A285" i="1" a="1"/>
  <c r="A285" i="1"/>
  <c r="A283" i="1" a="1"/>
  <c r="A283" i="1"/>
  <c r="A282" i="1" a="1"/>
  <c r="A282" i="1"/>
  <c r="A281" i="1" a="1"/>
  <c r="A281" i="1"/>
  <c r="A280" i="1" a="1"/>
  <c r="A280" i="1"/>
  <c r="A278" i="1" a="1"/>
  <c r="A278" i="1"/>
  <c r="A277" i="1" a="1"/>
  <c r="A277" i="1"/>
  <c r="A276" i="1" a="1"/>
  <c r="A276" i="1"/>
  <c r="A275" i="1" a="1"/>
  <c r="A275" i="1"/>
  <c r="A273" i="1" a="1"/>
  <c r="A273" i="1"/>
  <c r="A272" i="1" a="1"/>
  <c r="A272" i="1"/>
  <c r="A271" i="1" a="1"/>
  <c r="A271" i="1"/>
  <c r="A270" i="1" a="1"/>
  <c r="A270" i="1"/>
  <c r="A268" i="1" a="1"/>
  <c r="A268" i="1"/>
  <c r="A267" i="1" a="1"/>
  <c r="A267" i="1"/>
  <c r="A266" i="1" a="1"/>
  <c r="A266" i="1"/>
  <c r="A265" i="1" a="1"/>
  <c r="A265" i="1"/>
  <c r="A263" i="1" a="1"/>
  <c r="A263" i="1"/>
  <c r="A262" i="1" a="1"/>
  <c r="A262" i="1"/>
  <c r="A261" i="1" a="1"/>
  <c r="A261" i="1"/>
  <c r="A260" i="1" a="1"/>
  <c r="A260" i="1"/>
  <c r="A258" i="1" a="1"/>
  <c r="A258" i="1"/>
  <c r="A257" i="1" a="1"/>
  <c r="A257" i="1"/>
  <c r="A256" i="1" a="1"/>
  <c r="A256" i="1"/>
  <c r="A255" i="1" a="1"/>
  <c r="A255" i="1"/>
  <c r="A253" i="1" a="1"/>
  <c r="A253" i="1"/>
  <c r="A252" i="1" a="1"/>
  <c r="A252" i="1"/>
  <c r="A251" i="1" a="1"/>
  <c r="A251" i="1"/>
  <c r="A250" i="1" a="1"/>
  <c r="A250" i="1"/>
  <c r="A248" i="1" a="1"/>
  <c r="A248" i="1"/>
  <c r="A247" i="1" a="1"/>
  <c r="A247" i="1"/>
  <c r="A246" i="1" a="1"/>
  <c r="A246" i="1"/>
  <c r="A245" i="1" a="1"/>
  <c r="A245" i="1"/>
  <c r="A243" i="1" a="1"/>
  <c r="A243" i="1"/>
  <c r="A242" i="1" a="1"/>
  <c r="A242" i="1"/>
  <c r="A241" i="1" a="1"/>
  <c r="A241" i="1"/>
  <c r="A240" i="1" a="1"/>
  <c r="A240" i="1"/>
  <c r="A238" i="1" a="1"/>
  <c r="A238" i="1"/>
  <c r="A237" i="1" a="1"/>
  <c r="A237" i="1"/>
  <c r="A236" i="1" a="1"/>
  <c r="A236" i="1"/>
  <c r="A235" i="1" a="1"/>
  <c r="A235" i="1"/>
  <c r="A233" i="1" a="1"/>
  <c r="A233" i="1"/>
  <c r="A232" i="1" a="1"/>
  <c r="A232" i="1"/>
  <c r="A231" i="1" a="1"/>
  <c r="A231" i="1"/>
  <c r="A230" i="1" a="1"/>
  <c r="A230" i="1"/>
  <c r="A228" i="1" a="1"/>
  <c r="A228" i="1"/>
  <c r="A227" i="1" a="1"/>
  <c r="A227" i="1"/>
  <c r="A226" i="1" a="1"/>
  <c r="A226" i="1"/>
  <c r="A225" i="1" a="1"/>
  <c r="A225" i="1"/>
  <c r="A223" i="1" a="1"/>
  <c r="A223" i="1"/>
  <c r="A222" i="1" a="1"/>
  <c r="A222" i="1"/>
  <c r="A221" i="1" a="1"/>
  <c r="A221" i="1"/>
  <c r="A220" i="1" a="1"/>
  <c r="A220" i="1"/>
  <c r="A213" i="1" a="1"/>
  <c r="A213" i="1"/>
  <c r="A212" i="1" a="1"/>
  <c r="A212" i="1"/>
  <c r="A211" i="1" a="1"/>
  <c r="A211" i="1"/>
  <c r="A210" i="1" a="1"/>
  <c r="A210" i="1"/>
  <c r="A208" i="1" a="1"/>
  <c r="A208" i="1"/>
  <c r="A207" i="1" a="1"/>
  <c r="A207" i="1"/>
  <c r="A206" i="1" a="1"/>
  <c r="A206" i="1"/>
  <c r="A205" i="1" a="1"/>
  <c r="A205" i="1"/>
  <c r="A203" i="1" a="1"/>
  <c r="A203" i="1"/>
  <c r="A202" i="1" a="1"/>
  <c r="A202" i="1"/>
  <c r="A201" i="1" a="1"/>
  <c r="A201" i="1"/>
  <c r="A200" i="1" a="1"/>
  <c r="A200" i="1"/>
  <c r="A198" i="1" a="1"/>
  <c r="A198" i="1"/>
  <c r="A197" i="1" a="1"/>
  <c r="A197" i="1"/>
  <c r="A196" i="1" a="1"/>
  <c r="A196" i="1"/>
  <c r="A195" i="1" a="1"/>
  <c r="A195" i="1"/>
  <c r="A193" i="1" a="1"/>
  <c r="A193" i="1"/>
  <c r="A192" i="1" a="1"/>
  <c r="A192" i="1"/>
  <c r="A191" i="1" a="1"/>
  <c r="A191" i="1"/>
  <c r="A190" i="1" a="1"/>
  <c r="A190" i="1"/>
  <c r="A188" i="1" a="1"/>
  <c r="A188" i="1"/>
  <c r="A187" i="1" a="1"/>
  <c r="A187" i="1"/>
  <c r="A186" i="1" a="1"/>
  <c r="A186" i="1"/>
  <c r="A185" i="1" a="1"/>
  <c r="A185" i="1"/>
  <c r="A183" i="1" a="1"/>
  <c r="A183" i="1"/>
  <c r="A182" i="1" a="1"/>
  <c r="A182" i="1"/>
  <c r="A181" i="1" a="1"/>
  <c r="A181" i="1"/>
  <c r="A180" i="1" a="1"/>
  <c r="A180" i="1"/>
  <c r="A178" i="1" a="1"/>
  <c r="A178" i="1"/>
  <c r="A177" i="1" a="1"/>
  <c r="A177" i="1"/>
  <c r="A176" i="1" a="1"/>
  <c r="A176" i="1"/>
  <c r="A175" i="1" a="1"/>
  <c r="A175" i="1"/>
  <c r="A173" i="1" a="1"/>
  <c r="A173" i="1"/>
  <c r="A172" i="1" a="1"/>
  <c r="A172" i="1"/>
  <c r="A171" i="1" a="1"/>
  <c r="A171" i="1"/>
  <c r="A170" i="1" a="1"/>
  <c r="A170" i="1"/>
  <c r="A163" i="1" a="1"/>
  <c r="A163" i="1"/>
  <c r="A162" i="1" a="1"/>
  <c r="A162" i="1"/>
  <c r="A161" i="1" a="1"/>
  <c r="A161" i="1"/>
  <c r="A160" i="1" a="1"/>
  <c r="A160" i="1"/>
  <c r="A158" i="1" a="1"/>
  <c r="A158" i="1"/>
  <c r="A157" i="1" a="1"/>
  <c r="A157" i="1"/>
  <c r="A156" i="1" a="1"/>
  <c r="A156" i="1"/>
  <c r="A155" i="1" a="1"/>
  <c r="A155" i="1"/>
  <c r="A153" i="1" a="1"/>
  <c r="A153" i="1"/>
  <c r="A152" i="1" a="1"/>
  <c r="A152" i="1"/>
  <c r="A151" i="1" a="1"/>
  <c r="A151" i="1"/>
  <c r="A150" i="1" a="1"/>
  <c r="A150" i="1"/>
  <c r="A148" i="1" a="1"/>
  <c r="A148" i="1"/>
  <c r="A147" i="1" a="1"/>
  <c r="A147" i="1"/>
  <c r="A146" i="1" a="1"/>
  <c r="A146" i="1"/>
  <c r="A145" i="1" a="1"/>
  <c r="A145" i="1"/>
  <c r="A143" i="1" a="1"/>
  <c r="A143" i="1"/>
  <c r="A142" i="1" a="1"/>
  <c r="A142" i="1"/>
  <c r="A141" i="1" a="1"/>
  <c r="A141" i="1"/>
  <c r="A140" i="1" a="1"/>
  <c r="A140" i="1"/>
  <c r="A138" i="1" a="1"/>
  <c r="A138" i="1"/>
  <c r="A133" i="1" a="1"/>
  <c r="A133" i="1"/>
  <c r="A132" i="1" a="1"/>
  <c r="A132" i="1"/>
  <c r="A130" i="1" a="1"/>
  <c r="A130" i="1"/>
  <c r="A128" i="1" a="1"/>
  <c r="A128" i="1"/>
  <c r="A127" i="1" a="1"/>
  <c r="A127" i="1"/>
  <c r="A126" i="1" a="1"/>
  <c r="A126" i="1"/>
  <c r="A125" i="1" a="1"/>
  <c r="A125" i="1"/>
  <c r="A123" i="1" a="1"/>
  <c r="A123" i="1"/>
  <c r="A122" i="1" a="1"/>
  <c r="A122" i="1"/>
  <c r="A121" i="1" a="1"/>
  <c r="A121" i="1"/>
  <c r="A120" i="1" a="1"/>
  <c r="A120" i="1"/>
  <c r="A118" i="1" a="1"/>
  <c r="A118" i="1"/>
  <c r="A117" i="1" a="1"/>
  <c r="A117" i="1"/>
  <c r="A116" i="1" a="1"/>
  <c r="A116" i="1"/>
  <c r="A115" i="1" a="1"/>
  <c r="A115" i="1"/>
  <c r="A113" i="1" a="1"/>
  <c r="A113" i="1"/>
  <c r="A112" i="1" a="1"/>
  <c r="A112" i="1"/>
  <c r="A111" i="1" a="1"/>
  <c r="A111" i="1"/>
  <c r="A110" i="1" a="1"/>
  <c r="A110" i="1"/>
  <c r="A108" i="1" a="1"/>
  <c r="A108" i="1"/>
  <c r="A107" i="1" a="1"/>
  <c r="A107" i="1"/>
  <c r="A106" i="1" a="1"/>
  <c r="A106" i="1"/>
  <c r="A105" i="1" a="1"/>
  <c r="A105" i="1"/>
  <c r="A103" i="1" a="1"/>
  <c r="A103" i="1"/>
  <c r="A102" i="1" a="1"/>
  <c r="A102" i="1"/>
  <c r="A101" i="1" a="1"/>
  <c r="A101" i="1"/>
  <c r="A100" i="1" a="1"/>
  <c r="A100" i="1"/>
  <c r="A98" i="1" a="1"/>
  <c r="A98" i="1"/>
  <c r="A97" i="1" a="1"/>
  <c r="A97" i="1"/>
  <c r="A96" i="1" a="1"/>
  <c r="A96" i="1"/>
  <c r="A95" i="1" a="1"/>
  <c r="A95" i="1"/>
  <c r="A88" i="1" a="1"/>
  <c r="A88" i="1"/>
  <c r="A87" i="1" a="1"/>
  <c r="A87" i="1"/>
  <c r="A86" i="1" a="1"/>
  <c r="A86" i="1"/>
  <c r="A85" i="1" a="1"/>
  <c r="A85" i="1"/>
  <c r="A83" i="1" a="1"/>
  <c r="A83" i="1"/>
  <c r="A82" i="1" a="1"/>
  <c r="A82" i="1"/>
  <c r="A81" i="1" a="1"/>
  <c r="A81" i="1"/>
  <c r="A80" i="1" a="1"/>
  <c r="A80" i="1"/>
  <c r="AT14" i="1" a="1"/>
  <c r="AT14" i="1"/>
  <c r="U75" i="1"/>
  <c r="U74" i="1"/>
  <c r="P75" i="1" a="1"/>
  <c r="P75" i="1"/>
  <c r="AU6" i="1"/>
  <c r="AS6" i="1"/>
  <c r="AS15" i="1"/>
  <c r="AT15" i="1"/>
  <c r="AW6" i="1"/>
  <c r="AS12" i="1"/>
  <c r="AT12" i="1"/>
  <c r="AU12" i="1"/>
  <c r="AR12" i="1" a="1"/>
  <c r="AR12" i="1"/>
  <c r="AW9" i="1"/>
  <c r="AV9" i="1"/>
  <c r="AU9" i="1"/>
  <c r="AT9" i="1"/>
  <c r="AS9" i="1"/>
  <c r="AR9" i="1"/>
  <c r="AR15" i="1"/>
  <c r="AU15" i="1" a="1"/>
  <c r="AU15" i="1"/>
  <c r="AW13" i="1"/>
  <c r="AW11" i="1"/>
  <c r="AV5" i="1"/>
  <c r="AW15" i="1"/>
  <c r="F4" i="1"/>
  <c r="Q63" i="1" a="1"/>
  <c r="Q63" i="1"/>
  <c r="Q67" i="1"/>
  <c r="Z119" i="1" a="1"/>
  <c r="Z119" i="1"/>
  <c r="O119" i="1" a="1"/>
  <c r="O119" i="1"/>
  <c r="R113" i="1"/>
  <c r="Z113" i="1"/>
  <c r="T102" i="1"/>
  <c r="R102" i="1"/>
  <c r="W94" i="1"/>
  <c r="V86" i="1"/>
  <c r="Y68" i="1"/>
  <c r="D4" i="1" a="1"/>
  <c r="D4" i="1"/>
  <c r="D5" i="1"/>
  <c r="B8" i="1" a="1"/>
  <c r="B8" i="1"/>
  <c r="G9" i="1"/>
  <c r="G7" i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<sst xmlns="http://schemas.openxmlformats.org/spreadsheetml/2006/main" count="1298" uniqueCount="486">
  <si>
    <t>通常ダメージ</t>
  </si>
  <si>
    <t>攻撃力/HP</t>
  </si>
  <si>
    <t>天賦倍率(%)</t>
  </si>
  <si>
    <t>ダメバフ(%)</t>
  </si>
  <si>
    <t>会心ダメ(%)</t>
  </si>
  <si>
    <t>会心率(%)</t>
  </si>
  <si>
    <t>熟知</t>
  </si>
  <si>
    <t>耐性(%)</t>
  </si>
  <si>
    <t>防御デバフ(%)</t>
  </si>
  <si>
    <t>防御無視(%)</t>
  </si>
  <si>
    <t>敵レベル</t>
  </si>
  <si>
    <t>自レベル</t>
  </si>
  <si>
    <t>非会心</t>
  </si>
  <si>
    <t>加算元ステ</t>
  </si>
  <si>
    <t>加算倍率%</t>
  </si>
  <si>
    <t xml:space="preserve"> </t>
  </si>
  <si>
    <t>会心</t>
  </si>
  <si>
    <t>特殊乗算(+%)</t>
  </si>
  <si>
    <t>反応ボーナス</t>
  </si>
  <si>
    <t>加算</t>
  </si>
  <si>
    <t>激化</t>
  </si>
  <si>
    <t>蒸発溶解</t>
  </si>
  <si>
    <t>期待値</t>
  </si>
  <si>
    <t>パーティ</t>
  </si>
  <si>
    <t>アルレッキーノ</t>
  </si>
  <si>
    <t>ベネット</t>
  </si>
  <si>
    <t>フリーナ</t>
  </si>
  <si>
    <t>申鶴</t>
  </si>
  <si>
    <t>命の契約%</t>
  </si>
  <si>
    <t>レベル</t>
  </si>
  <si>
    <t>元素</t>
  </si>
  <si>
    <t>攻撃方法</t>
  </si>
  <si>
    <t>通常攻撃</t>
  </si>
  <si>
    <t>参照ステータス</t>
  </si>
  <si>
    <t>hp</t>
  </si>
  <si>
    <t>防御力</t>
  </si>
  <si>
    <t>攻撃力</t>
  </si>
  <si>
    <t>会心率</t>
  </si>
  <si>
    <t>会心ダメージ</t>
  </si>
  <si>
    <t>元素チャージ効率</t>
  </si>
  <si>
    <t>治療効果</t>
  </si>
  <si>
    <t>星座</t>
  </si>
  <si>
    <t>武器</t>
  </si>
  <si>
    <t>静水流転の輝き</t>
  </si>
  <si>
    <t>霧切の廻光</t>
  </si>
  <si>
    <t>聖顕の鍵</t>
  </si>
  <si>
    <t>蒼古なる自由への誓い</t>
  </si>
  <si>
    <t>精錬ランク</t>
  </si>
  <si>
    <t>聖遺物</t>
  </si>
  <si>
    <t>階律奇想の断章4</t>
  </si>
  <si>
    <t>旧貴族のしつけ4</t>
  </si>
  <si>
    <t>千岩牢固4</t>
  </si>
  <si>
    <t>翠緑の影4</t>
  </si>
  <si>
    <t>通常天賦</t>
  </si>
  <si>
    <t>スキル天賦</t>
  </si>
  <si>
    <t>爆発天賦</t>
  </si>
  <si>
    <t>武器攻撃力</t>
  </si>
  <si>
    <t>花</t>
  </si>
  <si>
    <t>羽</t>
  </si>
  <si>
    <t>時計</t>
  </si>
  <si>
    <t>杯</t>
  </si>
  <si>
    <t>冠</t>
  </si>
  <si>
    <t>メイン</t>
  </si>
  <si>
    <t>hp実数値</t>
  </si>
  <si>
    <t>攻撃力実数値</t>
  </si>
  <si>
    <t>攻撃力%</t>
  </si>
  <si>
    <t>炎</t>
  </si>
  <si>
    <t>hp%</t>
  </si>
  <si>
    <t>固定ダメージ</t>
  </si>
  <si>
    <t>反応の種類</t>
  </si>
  <si>
    <t>ダメージ</t>
  </si>
  <si>
    <t>防御力%</t>
  </si>
  <si>
    <t>超開花</t>
  </si>
  <si>
    <t>防御力実数値</t>
  </si>
  <si>
    <t>元素熟知</t>
  </si>
  <si>
    <t>武器効果</t>
  </si>
  <si>
    <t>なし</t>
  </si>
  <si>
    <t>ダメバフ</t>
  </si>
  <si>
    <t>飯バフ</t>
  </si>
  <si>
    <t>剣闘士のフィナーレ2</t>
  </si>
  <si>
    <t>オイル</t>
  </si>
  <si>
    <t>攻撃系</t>
  </si>
  <si>
    <t>防御系</t>
  </si>
  <si>
    <t>剣闘士のフィナーレ4</t>
  </si>
  <si>
    <t>大地を流浪する楽団2</t>
  </si>
  <si>
    <t>大地を流浪する楽団4</t>
  </si>
  <si>
    <t>率</t>
  </si>
  <si>
    <t>烈火を渡る賢者2</t>
  </si>
  <si>
    <t>烈火を渡る賢者4</t>
  </si>
  <si>
    <t>燃え盛る炎の魔女2</t>
  </si>
  <si>
    <t>武器サブオプ</t>
  </si>
  <si>
    <t>燃え盛る炎の魔女4</t>
  </si>
  <si>
    <t>水</t>
  </si>
  <si>
    <t>雷を鎮める尊者2</t>
  </si>
  <si>
    <t>草</t>
  </si>
  <si>
    <t>雷を鎮める尊者4</t>
  </si>
  <si>
    <t>元チャ</t>
  </si>
  <si>
    <t>物理バフ</t>
  </si>
  <si>
    <t>岩</t>
  </si>
  <si>
    <t>雷のような怒り2</t>
  </si>
  <si>
    <t>雷のような怒り4</t>
  </si>
  <si>
    <t>聖遺物セット効果</t>
  </si>
  <si>
    <t>防御</t>
  </si>
  <si>
    <t>翠緑の影2</t>
  </si>
  <si>
    <t>2セット</t>
  </si>
  <si>
    <t>雷鎮、賢者、剣闘士、楽団、火魔女、血染め、逆飛び、沈淪、蒼白、しめ縄、絶縁、華館、砂上、水仙、花海、劇団、残響、遂げ想、断章、</t>
  </si>
  <si>
    <t>蒼白、辰砂、金メッキ、水仙</t>
  </si>
  <si>
    <t>華館</t>
  </si>
  <si>
    <t>愛される少女2</t>
  </si>
  <si>
    <t>1〜19</t>
  </si>
  <si>
    <t>20〜39</t>
  </si>
  <si>
    <t>40〜49</t>
  </si>
  <si>
    <t>50〜59</t>
  </si>
  <si>
    <t>60〜69</t>
  </si>
  <si>
    <t>70〜79</t>
  </si>
  <si>
    <t>80〜89</t>
  </si>
  <si>
    <t>サポート聖遺物セット効果</t>
  </si>
  <si>
    <t>氷風、翠緑，火魔女、旧貴族，血染め，悠久、沈淪、蒼白，深林、砂上、水仙、ファンタ、劇団、黒曜</t>
  </si>
  <si>
    <t>剣闘士、遂げ想、断章、しめ縄、残響、来歆、辰砂</t>
  </si>
  <si>
    <t>千岩、花海</t>
  </si>
  <si>
    <t>愛される少女4</t>
  </si>
  <si>
    <t>耐性ダウン</t>
  </si>
  <si>
    <t>攻撃バフ</t>
  </si>
  <si>
    <t>熟知バフ</t>
  </si>
  <si>
    <t>血染めの騎士道2</t>
  </si>
  <si>
    <t>基礎HP</t>
  </si>
  <si>
    <t>来歆</t>
  </si>
  <si>
    <t>血染めの騎士道4</t>
  </si>
  <si>
    <t>基礎防御力</t>
  </si>
  <si>
    <t>旧貴族のしつけ2</t>
  </si>
  <si>
    <t>基礎攻撃力</t>
  </si>
  <si>
    <t>楽団、金メッキ、楽園</t>
  </si>
  <si>
    <t>-</t>
  </si>
  <si>
    <t>蒼白の炎2</t>
  </si>
  <si>
    <t>リネ</t>
  </si>
  <si>
    <t>蒼白の炎4</t>
  </si>
  <si>
    <t>サポート武器</t>
  </si>
  <si>
    <t>千岩牢固2</t>
  </si>
  <si>
    <t>攻撃</t>
  </si>
  <si>
    <t>蒼古</t>
  </si>
  <si>
    <t>聖顕</t>
  </si>
  <si>
    <t>絶縁</t>
  </si>
  <si>
    <t>悠久の磐岩2</t>
  </si>
  <si>
    <t>岩峰</t>
  </si>
  <si>
    <t>原木刀</t>
  </si>
  <si>
    <t>終焉</t>
  </si>
  <si>
    <t>悠久の磐岩4</t>
  </si>
  <si>
    <t>ディシア</t>
  </si>
  <si>
    <t>鶴鳴</t>
  </si>
  <si>
    <t>松韻</t>
  </si>
  <si>
    <t>金メッキ</t>
  </si>
  <si>
    <t>逆飛びの流星2</t>
  </si>
  <si>
    <t>千夜</t>
  </si>
  <si>
    <t>末路</t>
  </si>
  <si>
    <t>逆飛びの流星4</t>
  </si>
  <si>
    <t>龍殺し</t>
  </si>
  <si>
    <t>沈淪の心2</t>
  </si>
  <si>
    <t>マカイラ</t>
  </si>
  <si>
    <t>沈淪の心4</t>
  </si>
  <si>
    <t>HP</t>
  </si>
  <si>
    <t>彷徨える星</t>
  </si>
  <si>
    <t>氷風を纏う勇士2</t>
  </si>
  <si>
    <t>宵宮</t>
  </si>
  <si>
    <t>氷風を纏う勇士4</t>
  </si>
  <si>
    <t>追憶のしめ縄2</t>
  </si>
  <si>
    <t>追憶のしめ縄4</t>
  </si>
  <si>
    <t>絶縁の旗印2</t>
  </si>
  <si>
    <t>キャラ</t>
  </si>
  <si>
    <t>元素スキル</t>
  </si>
  <si>
    <t>元素爆発</t>
  </si>
  <si>
    <t>天賦1</t>
  </si>
  <si>
    <t>天賦2</t>
  </si>
  <si>
    <t>天賦3</t>
  </si>
  <si>
    <t>天賦4</t>
  </si>
  <si>
    <t>1凸</t>
  </si>
  <si>
    <t>2凸</t>
  </si>
  <si>
    <t>3凸</t>
  </si>
  <si>
    <t>4凸</t>
  </si>
  <si>
    <t>5凸</t>
  </si>
  <si>
    <t>完凸</t>
  </si>
  <si>
    <t>絶縁の旗印4</t>
  </si>
  <si>
    <t>胡桃</t>
  </si>
  <si>
    <t>華館夢醒形骸記2</t>
  </si>
  <si>
    <t>華館夢醒形骸記4</t>
  </si>
  <si>
    <t>海染硨磲2</t>
  </si>
  <si>
    <t>海染硨磲4</t>
  </si>
  <si>
    <t>辰砂往生録2</t>
  </si>
  <si>
    <t>クレー</t>
  </si>
  <si>
    <t>辰砂往生録4</t>
  </si>
  <si>
    <t>ディルック</t>
  </si>
  <si>
    <t>来歆の余興2</t>
  </si>
  <si>
    <t>嘉明</t>
  </si>
  <si>
    <t>来歆の余興4</t>
  </si>
  <si>
    <t>シュヴルーズ</t>
  </si>
  <si>
    <t>金メッキの夢2</t>
  </si>
  <si>
    <t>炎元素ダメージ</t>
  </si>
  <si>
    <t>トーマ</t>
  </si>
  <si>
    <t>金メッキの夢4</t>
  </si>
  <si>
    <t>煙緋</t>
  </si>
  <si>
    <t>深林の記憶2</t>
  </si>
  <si>
    <t>辛炎</t>
  </si>
  <si>
    <t>深林の記憶4</t>
  </si>
  <si>
    <t>砂上の楼閣の史話2</t>
  </si>
  <si>
    <t>香菱</t>
  </si>
  <si>
    <t>砂上の楼閣の史話4</t>
  </si>
  <si>
    <t>アンバー</t>
  </si>
  <si>
    <t>楽園の絶花2</t>
  </si>
  <si>
    <t>ムアラニ</t>
  </si>
  <si>
    <t>楽園の絶花4</t>
  </si>
  <si>
    <t>シグウィン</t>
  </si>
  <si>
    <t>水仙の夢2</t>
  </si>
  <si>
    <t>水仙の夢4</t>
  </si>
  <si>
    <t>ヌヴィレット</t>
  </si>
  <si>
    <t>花海甘露の光2</t>
  </si>
  <si>
    <t>ニィロウ</t>
  </si>
  <si>
    <t>花海甘露の光4</t>
  </si>
  <si>
    <t>夜蘭</t>
  </si>
  <si>
    <t>ファントムハンター2</t>
  </si>
  <si>
    <t>キャンディス</t>
  </si>
  <si>
    <t>ファントムハンター4</t>
  </si>
  <si>
    <t>珊瑚宮心海</t>
  </si>
  <si>
    <t>黄金の劇団2</t>
  </si>
  <si>
    <t>タルタリヤ</t>
  </si>
  <si>
    <t>黄金の劇団4</t>
  </si>
  <si>
    <t>モナ</t>
  </si>
  <si>
    <t>残響の森で囁かれる夜話2</t>
  </si>
  <si>
    <t>神里綾人</t>
  </si>
  <si>
    <t>残響の森で囁かれる夜話4</t>
  </si>
  <si>
    <t>行秋</t>
  </si>
  <si>
    <t>在りし日の歌2</t>
  </si>
  <si>
    <t>バーバラ</t>
  </si>
  <si>
    <t>在りし日の歌4</t>
  </si>
  <si>
    <t>リオセスリ</t>
  </si>
  <si>
    <t>遂げられなかった想い2</t>
  </si>
  <si>
    <t>遂げられなかった想い4</t>
  </si>
  <si>
    <t>アーロイ</t>
  </si>
  <si>
    <t>階律奇想の断章2</t>
  </si>
  <si>
    <t>神里綾華</t>
  </si>
  <si>
    <t>エウルア</t>
  </si>
  <si>
    <t>黒曜の秘典2</t>
  </si>
  <si>
    <t>甘雨</t>
  </si>
  <si>
    <t>黒曜の秘典4</t>
  </si>
  <si>
    <t>七七</t>
  </si>
  <si>
    <t>灰燼の都に立つ英雄の絵巻2</t>
  </si>
  <si>
    <t>シャルロット</t>
  </si>
  <si>
    <t>灰燼の都に立つ英雄の絵巻4</t>
  </si>
  <si>
    <t>フレミネ</t>
  </si>
  <si>
    <t>ミカ</t>
  </si>
  <si>
    <t>レイラ</t>
  </si>
  <si>
    <t>ロサリア</t>
  </si>
  <si>
    <t>ディオナ</t>
  </si>
  <si>
    <t>重雲</t>
  </si>
  <si>
    <t>ガイア</t>
  </si>
  <si>
    <t>クロリンデ</t>
  </si>
  <si>
    <t>セノ</t>
  </si>
  <si>
    <t>八重神子</t>
  </si>
  <si>
    <t>雷電将軍</t>
  </si>
  <si>
    <t>刻晴</t>
  </si>
  <si>
    <t>セトス</t>
  </si>
  <si>
    <t>ドリー</t>
  </si>
  <si>
    <t>久岐忍</t>
  </si>
  <si>
    <t>フィッシュル</t>
  </si>
  <si>
    <t>北斗</t>
  </si>
  <si>
    <t>レザー</t>
  </si>
  <si>
    <t>リサ</t>
  </si>
  <si>
    <t>閑雲</t>
  </si>
  <si>
    <t>放浪者</t>
  </si>
  <si>
    <t>楓原万葉</t>
  </si>
  <si>
    <t>魈</t>
  </si>
  <si>
    <t>ウェンティ</t>
  </si>
  <si>
    <t>ジン</t>
  </si>
  <si>
    <t>リネット</t>
  </si>
  <si>
    <t>ファルザン</t>
  </si>
  <si>
    <t>鹿野院平蔵</t>
  </si>
  <si>
    <t>早柚</t>
  </si>
  <si>
    <t>スクロース</t>
  </si>
  <si>
    <t>シロネン</t>
  </si>
  <si>
    <t>アルベド</t>
  </si>
  <si>
    <t>カチーナ</t>
  </si>
  <si>
    <t>千織</t>
  </si>
  <si>
    <t>ナヴィア</t>
  </si>
  <si>
    <t>荒瀧一斗</t>
  </si>
  <si>
    <t>鍾離</t>
  </si>
  <si>
    <t>雲菫</t>
  </si>
  <si>
    <t>ゴロー</t>
  </si>
  <si>
    <t>ノエル</t>
  </si>
  <si>
    <t>凝光</t>
  </si>
  <si>
    <t>キィニチ</t>
  </si>
  <si>
    <t>エミリエ</t>
  </si>
  <si>
    <t>白朮</t>
  </si>
  <si>
    <t>アルハイゼン</t>
  </si>
  <si>
    <t>ナヒーダ</t>
  </si>
  <si>
    <t>ティナリ</t>
  </si>
  <si>
    <t>綺良々</t>
  </si>
  <si>
    <t>カーヴェ</t>
  </si>
  <si>
    <t>ヨォーヨ</t>
  </si>
  <si>
    <t>コレイ</t>
  </si>
  <si>
    <t>水元素ダメージ</t>
  </si>
  <si>
    <t>風鷹剣</t>
  </si>
  <si>
    <t>天空の刃</t>
  </si>
  <si>
    <t>斬山の刃</t>
  </si>
  <si>
    <t>磐岩結緑</t>
  </si>
  <si>
    <t>波乱月白経津</t>
  </si>
  <si>
    <t>氷</t>
  </si>
  <si>
    <t>雷</t>
  </si>
  <si>
    <t>萃光の裁葉</t>
  </si>
  <si>
    <t>風</t>
  </si>
  <si>
    <t>有楽御簾切</t>
  </si>
  <si>
    <t>重撃</t>
  </si>
  <si>
    <t>赦罪</t>
  </si>
  <si>
    <t>落下攻撃</t>
  </si>
  <si>
    <t>岩峰を巡る歌</t>
  </si>
  <si>
    <t>西風剣</t>
  </si>
  <si>
    <t>笛の剣</t>
  </si>
  <si>
    <t>その他</t>
  </si>
  <si>
    <t>祭礼の剣</t>
  </si>
  <si>
    <t>旧貴族長剣</t>
  </si>
  <si>
    <t>匣中龍吟</t>
  </si>
  <si>
    <t>斬岩・試作</t>
  </si>
  <si>
    <t>鉄蜂の刺し</t>
  </si>
  <si>
    <t>黒岩の長剣</t>
  </si>
  <si>
    <t>黒剣</t>
  </si>
  <si>
    <t>降臨の剣</t>
  </si>
  <si>
    <t>腐植の剣</t>
  </si>
  <si>
    <t>ダークアレイの閃光</t>
  </si>
  <si>
    <t>天目影打</t>
  </si>
  <si>
    <t>シナバースピンドル</t>
  </si>
  <si>
    <t>氷元素ダメージ</t>
  </si>
  <si>
    <t>籠釣瓶一心</t>
  </si>
  <si>
    <t>サイフォスの月明かり</t>
  </si>
  <si>
    <t>東花坊時雨</t>
  </si>
  <si>
    <t>狼牙</t>
  </si>
  <si>
    <t>海淵のフィナーレ</t>
  </si>
  <si>
    <t>サーンドルの渡し守</t>
  </si>
  <si>
    <t>船渠剣</t>
  </si>
  <si>
    <t>水仙十字の剣</t>
  </si>
  <si>
    <t>エズピツァルの笛</t>
  </si>
  <si>
    <t>ストロング・ボーン</t>
  </si>
  <si>
    <t>天空の傲</t>
  </si>
  <si>
    <t>狼の末路</t>
  </si>
  <si>
    <t>無工の剣</t>
  </si>
  <si>
    <t>松韻の響く頃</t>
  </si>
  <si>
    <t>赤角石塵滅砕</t>
  </si>
  <si>
    <t>葦海の標</t>
  </si>
  <si>
    <t>裁断</t>
  </si>
  <si>
    <t>山の王の長牙</t>
  </si>
  <si>
    <t>西風大剣</t>
  </si>
  <si>
    <t>与える治療効果</t>
  </si>
  <si>
    <t>鐘の剣</t>
  </si>
  <si>
    <t>祭礼の大剣</t>
  </si>
  <si>
    <t>旧貴族対賢者</t>
  </si>
  <si>
    <t>雨裁</t>
  </si>
  <si>
    <t>古華・試作</t>
  </si>
  <si>
    <t>白影の剣</t>
  </si>
  <si>
    <t>黒岩の斬刀</t>
  </si>
  <si>
    <t>螭龍の剣</t>
  </si>
  <si>
    <t>雪葬の星銀</t>
  </si>
  <si>
    <t>千岩古剣</t>
  </si>
  <si>
    <t>桂木長正</t>
  </si>
  <si>
    <t>銜玉の海皇</t>
  </si>
  <si>
    <t>惡王丸</t>
  </si>
  <si>
    <t>森林のレガリア</t>
  </si>
  <si>
    <t>マカイラの水色</t>
  </si>
  <si>
    <t>鉄彩の花</t>
  </si>
  <si>
    <t>話死合い棒</t>
  </si>
  <si>
    <t>タイダル・シャドー</t>
  </si>
  <si>
    <t>携帯型チェンソー</t>
  </si>
  <si>
    <t>「スーパーアルティメット覇王魔剣」</t>
  </si>
  <si>
    <t>アースシェイカー</t>
  </si>
  <si>
    <t>実りの鉤鉈</t>
  </si>
  <si>
    <t>和璞鳶</t>
  </si>
  <si>
    <t>天空の脊</t>
  </si>
  <si>
    <t>破天の槍</t>
  </si>
  <si>
    <t>護摩の杖</t>
  </si>
  <si>
    <t>草薙の稲光</t>
  </si>
  <si>
    <t>息災</t>
  </si>
  <si>
    <t>赤砂の杖</t>
  </si>
  <si>
    <t>赤月のシルエット</t>
  </si>
  <si>
    <t>ルミドゥースの挽歌</t>
  </si>
  <si>
    <t>匣中滅龍</t>
  </si>
  <si>
    <t>星鎌・試作</t>
  </si>
  <si>
    <t>流月の針</t>
  </si>
  <si>
    <t>黒岩の突槍</t>
  </si>
  <si>
    <t>死闘の槍</t>
  </si>
  <si>
    <t>西風長槍</t>
  </si>
  <si>
    <t>旧貴族猟槍</t>
  </si>
  <si>
    <t>ドラゴンスピア</t>
  </si>
  <si>
    <t>千岩長槍</t>
  </si>
  <si>
    <t>喜多院十文字槍</t>
  </si>
  <si>
    <t>「漁獲」</t>
  </si>
  <si>
    <t>斬波のひれ長</t>
  </si>
  <si>
    <t>ムーンピアサー</t>
  </si>
  <si>
    <t>風信の矛</t>
  </si>
  <si>
    <t>フィヨルドの歌</t>
  </si>
  <si>
    <t>正義の報酬</t>
  </si>
  <si>
    <t>プロスペクタードリル</t>
  </si>
  <si>
    <t>砂中の賢者達の問答</t>
  </si>
  <si>
    <t>虹の行方</t>
  </si>
  <si>
    <t>鎮山の釘</t>
  </si>
  <si>
    <t>天空の巻</t>
  </si>
  <si>
    <t>四風原典</t>
  </si>
  <si>
    <t>浮世の錠</t>
  </si>
  <si>
    <t>不滅の月華</t>
  </si>
  <si>
    <t>神楽の真意</t>
  </si>
  <si>
    <t>千夜に浮かぶ夢</t>
  </si>
  <si>
    <t>トゥライトゥーラの記憶</t>
  </si>
  <si>
    <t>碧楽の瓏</t>
  </si>
  <si>
    <t>久遠流転の大典</t>
  </si>
  <si>
    <t>凛流の監視者</t>
  </si>
  <si>
    <t>鶴鳴の余韻</t>
  </si>
  <si>
    <t>サーフィンタイム</t>
  </si>
  <si>
    <t>西風秘典</t>
  </si>
  <si>
    <t>流浪楽章</t>
  </si>
  <si>
    <t>祭礼の断片</t>
  </si>
  <si>
    <t>旧貴族秘法録</t>
  </si>
  <si>
    <t>匣中日月</t>
  </si>
  <si>
    <t>金珀・試作</t>
  </si>
  <si>
    <t>万国諸海の図譜</t>
  </si>
  <si>
    <t>黒岩の緋玉</t>
  </si>
  <si>
    <t>昭心</t>
  </si>
  <si>
    <t>冬忍びの実</t>
  </si>
  <si>
    <t>ダークアレイの酒と詩</t>
  </si>
  <si>
    <t>ドドコの物語</t>
  </si>
  <si>
    <t>白辰の輪</t>
  </si>
  <si>
    <t>誓いの明瞳</t>
  </si>
  <si>
    <t>満悦の実</t>
  </si>
  <si>
    <t>古祠の瓏</t>
  </si>
  <si>
    <t>HP上限</t>
  </si>
  <si>
    <t>純水流華</t>
  </si>
  <si>
    <t>果てなき紺碧の唄</t>
  </si>
  <si>
    <t>ヤシュチェの環</t>
  </si>
  <si>
    <t>蒼紋の角杯</t>
  </si>
  <si>
    <t>天空の翼</t>
  </si>
  <si>
    <t>アモスの弓</t>
  </si>
  <si>
    <t>終焉を嘆く詩</t>
  </si>
  <si>
    <t>飛雷の鳴弦</t>
  </si>
  <si>
    <t>冬極の白星</t>
  </si>
  <si>
    <t>若水</t>
  </si>
  <si>
    <t>狩人の道</t>
  </si>
  <si>
    <t>始まりの大魔術</t>
  </si>
  <si>
    <t>白雨心弦</t>
  </si>
  <si>
    <t>西風猟弓</t>
  </si>
  <si>
    <t>絶弦</t>
  </si>
  <si>
    <t>雷元素ダメージ</t>
  </si>
  <si>
    <t>祭礼の弓</t>
  </si>
  <si>
    <t>旧貴族長弓</t>
  </si>
  <si>
    <t>弓蔵</t>
  </si>
  <si>
    <t>澹月・試作</t>
  </si>
  <si>
    <t>リングボウ</t>
  </si>
  <si>
    <t>物理ダメージ</t>
  </si>
  <si>
    <t>黒岩の戦弓</t>
  </si>
  <si>
    <t>蒼翠の狩猟弓</t>
  </si>
  <si>
    <t>ダークアレイの狩人</t>
  </si>
  <si>
    <t>風花の頌歌</t>
  </si>
  <si>
    <t>幽夜のワルツ</t>
  </si>
  <si>
    <t>破魔の弓</t>
  </si>
  <si>
    <t>プレデター</t>
  </si>
  <si>
    <t>曚雲の月</t>
  </si>
  <si>
    <t>落霞</t>
  </si>
  <si>
    <t>王の近侍</t>
  </si>
  <si>
    <t>竭沢</t>
  </si>
  <si>
    <t>トキの嘴</t>
  </si>
  <si>
    <t>烈日の後嗣</t>
  </si>
  <si>
    <t>静寂の唄</t>
  </si>
  <si>
    <t>レンジゲージ</t>
  </si>
  <si>
    <t>築雲</t>
  </si>
  <si>
    <t>チェーンブレイカー</t>
  </si>
  <si>
    <t>風元素ダメージ</t>
  </si>
  <si>
    <t>岩元素ダメージ</t>
  </si>
  <si>
    <t>草元素ダメージ</t>
  </si>
  <si>
    <t>ダメ</t>
  </si>
  <si>
    <t>攻撃実数値</t>
  </si>
  <si>
    <t>草激化</t>
  </si>
  <si>
    <t>超激化</t>
  </si>
  <si>
    <t>蒸発</t>
  </si>
  <si>
    <t>溶解</t>
  </si>
  <si>
    <t>hp攻撃</t>
  </si>
  <si>
    <t>防御実数値</t>
  </si>
  <si>
    <t>攻撃属性</t>
  </si>
  <si>
    <t>元素攻撃</t>
  </si>
  <si>
    <t>物理攻撃</t>
  </si>
  <si>
    <t>オンフィールドキャラ</t>
  </si>
  <si>
    <t>オフフィールドキャラ</t>
  </si>
  <si>
    <t>九条裟羅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</si>
</sst>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b/>
      <sz val="11"/>
      <color theme="1"/>
      <name val="游ゴシック"/>
      <family val="2"/>
      <charset val="128"/>
      <scheme val="minor"/>
    </font>
    <font>
      <b/>
      <sz val="9"/>
      <color rgb="FF333322"/>
      <name val="Verdana"/>
      <family val="18"/>
    </font>
    <font>
      <sz val="9"/>
      <color rgb="FF333322"/>
      <name val="Verdana"/>
      <family val="18"/>
    </font>
    <font>
      <sz val="9"/>
      <color rgb="FF999999"/>
      <name val="Verdana"/>
      <family val="18"/>
    </font>
    <font>
      <sz val="11"/>
      <color rgb="FF999999"/>
      <name val="游ゴシック"/>
      <family val="2"/>
      <charset val="128"/>
      <scheme val="minor"/>
    </font>
    <font>
      <b/>
      <sz val="10"/>
      <color rgb="FF333322"/>
      <name val="Verdana"/>
    </font>
    <font>
      <sz val="10"/>
      <color rgb="FF333322"/>
      <name val="Verdana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charset val="1"/>
    </font>
    <font>
      <u/>
      <sz val="11"/>
      <name val="游ゴシック"/>
      <family val="18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  <font>
      <sz val="12"/>
      <color theme="1"/>
      <name val="Segoe UI"/>
      <family val="18"/>
    </font>
  </fonts>
  <fills count="5">
    <fill>
      <patternFill patternType="none"/>
    </fill>
    <fill>
      <patternFill patternType="gray125"/>
    </fill>
    <fill>
      <patternFill patternType="solid">
        <fgColor rgb="FFE0E8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/>
      <top style="thin">
        <color rgb="FF505050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/>
      <diagonal/>
    </border>
    <border>
      <left style="medium">
        <color rgb="FF505050"/>
      </left>
      <right style="thin">
        <color rgb="FF505050"/>
      </right>
      <top/>
      <bottom/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2" borderId="17" xfId="0" applyFont="1" applyFill="1" applyBorder="1" applyAlignment="1">
      <alignment vertical="center" wrapText="1"/>
    </xf>
    <xf numFmtId="3" fontId="0" fillId="3" borderId="17" xfId="0" applyNumberFormat="1" applyFill="1" applyBorder="1" applyAlignment="1">
      <alignment vertical="center" wrapText="1"/>
    </xf>
    <xf numFmtId="3" fontId="0" fillId="4" borderId="17" xfId="0" applyNumberFormat="1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7" xfId="0" quotePrefix="1" applyFill="1" applyBorder="1" applyAlignment="1">
      <alignment vertical="center" wrapText="1"/>
    </xf>
    <xf numFmtId="0" fontId="0" fillId="4" borderId="17" xfId="0" quotePrefix="1" applyFill="1" applyBorder="1" applyAlignment="1">
      <alignment vertical="center" wrapText="1"/>
    </xf>
    <xf numFmtId="10" fontId="0" fillId="4" borderId="17" xfId="0" applyNumberFormat="1" applyFill="1" applyBorder="1" applyAlignment="1">
      <alignment vertical="center" wrapText="1"/>
    </xf>
    <xf numFmtId="10" fontId="0" fillId="3" borderId="17" xfId="0" applyNumberForma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3" fontId="4" fillId="3" borderId="17" xfId="0" applyNumberFormat="1" applyFont="1" applyFill="1" applyBorder="1" applyAlignment="1">
      <alignment vertical="center" wrapText="1"/>
    </xf>
    <xf numFmtId="3" fontId="4" fillId="4" borderId="17" xfId="0" applyNumberFormat="1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0" fontId="4" fillId="3" borderId="17" xfId="0" quotePrefix="1" applyFont="1" applyFill="1" applyBorder="1" applyAlignment="1">
      <alignment vertical="center" wrapText="1"/>
    </xf>
    <xf numFmtId="0" fontId="4" fillId="4" borderId="17" xfId="0" quotePrefix="1" applyFont="1" applyFill="1" applyBorder="1" applyAlignment="1">
      <alignment vertical="center" wrapText="1"/>
    </xf>
    <xf numFmtId="10" fontId="4" fillId="4" borderId="17" xfId="0" applyNumberFormat="1" applyFont="1" applyFill="1" applyBorder="1" applyAlignment="1">
      <alignment vertical="center" wrapText="1"/>
    </xf>
    <xf numFmtId="10" fontId="4" fillId="3" borderId="17" xfId="0" applyNumberFormat="1" applyFont="1" applyFill="1" applyBorder="1" applyAlignment="1">
      <alignment vertical="center" wrapText="1"/>
    </xf>
    <xf numFmtId="3" fontId="5" fillId="4" borderId="17" xfId="0" applyNumberFormat="1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3" fontId="6" fillId="4" borderId="17" xfId="0" applyNumberFormat="1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7" fillId="2" borderId="17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vertical="center" wrapText="1"/>
    </xf>
    <xf numFmtId="3" fontId="8" fillId="3" borderId="17" xfId="0" applyNumberFormat="1" applyFont="1" applyFill="1" applyBorder="1" applyAlignment="1">
      <alignment vertical="center" wrapText="1"/>
    </xf>
    <xf numFmtId="3" fontId="8" fillId="4" borderId="17" xfId="0" applyNumberFormat="1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8" fillId="3" borderId="17" xfId="0" quotePrefix="1" applyFont="1" applyFill="1" applyBorder="1" applyAlignment="1">
      <alignment vertical="center" wrapText="1"/>
    </xf>
    <xf numFmtId="0" fontId="8" fillId="4" borderId="17" xfId="0" quotePrefix="1" applyFont="1" applyFill="1" applyBorder="1" applyAlignment="1">
      <alignment vertical="center" wrapText="1"/>
    </xf>
    <xf numFmtId="10" fontId="8" fillId="4" borderId="17" xfId="0" applyNumberFormat="1" applyFont="1" applyFill="1" applyBorder="1" applyAlignment="1">
      <alignment vertical="center" wrapText="1"/>
    </xf>
    <xf numFmtId="10" fontId="8" fillId="3" borderId="17" xfId="0" applyNumberFormat="1" applyFont="1" applyFill="1" applyBorder="1" applyAlignment="1">
      <alignment vertical="center" wrapText="1"/>
    </xf>
    <xf numFmtId="9" fontId="4" fillId="3" borderId="17" xfId="0" applyNumberFormat="1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8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10" fillId="0" borderId="0" xfId="0" applyFont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1" fillId="0" borderId="0" xfId="1" applyFont="1" applyBorder="1" applyAlignment="1">
      <alignment vertical="center" wrapText="1"/>
    </xf>
    <xf numFmtId="0" fontId="0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Border="1">
      <alignment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ABE8-26CE-5A47-80FF-693A09D0F266}">
  <dimension ref="A2:AW513"/>
  <sheetViews>
    <sheetView tabSelected="1" topLeftCell="J100" zoomScaleNormal="150" zoomScaleSheetLayoutView="100" workbookViewId="0">
      <selection activeCell="N150" sqref="N150"/>
    </sheetView>
  </sheetViews>
  <sheetFormatPr defaultColWidth="8.82421875" defaultRowHeight="14.25" x14ac:dyDescent="0.2"/>
  <cols>
    <col min="1" max="1" width="12.625" bestFit="1" customWidth="1"/>
    <col min="2" max="2" width="15.19921875" customWidth="1"/>
    <col min="3" max="6" width="10.54296875" customWidth="1"/>
    <col min="8" max="9" width="9.31640625" bestFit="1" customWidth="1"/>
    <col min="10" max="10" width="8.94921875" bestFit="1" customWidth="1"/>
    <col min="12" max="12" width="8.94921875" bestFit="1" customWidth="1"/>
    <col min="13" max="13" width="9.31640625" bestFit="1" customWidth="1"/>
    <col min="15" max="15" width="9.8046875" bestFit="1" customWidth="1"/>
    <col min="18" max="18" width="10.78515625" bestFit="1" customWidth="1"/>
    <col min="23" max="23" width="9.4375" customWidth="1"/>
    <col min="29" max="29" width="8.578125" customWidth="1"/>
  </cols>
  <sheetData>
    <row r="2" spans="2:49" x14ac:dyDescent="0.2">
      <c r="B2" t="s">
        <v>0</v>
      </c>
    </row>
    <row r="3" spans="2:49" x14ac:dyDescent="0.2">
      <c r="B3" s="6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AR3" t="s">
        <v>0</v>
      </c>
    </row>
    <row r="4" spans="2:49" x14ac:dyDescent="0.2">
      <c r="B4" s="7" cm="1">
        <f t="array" ref="B4">_xlfn.IFS(AND(C14="ヌヴィレット",C17="重撃",C18="hp"),C19,AND(C14="珊瑚宮心海",C17="元素爆発"),C19,AND(C14="ムアラニ",C17="通常攻撃",C18="hp"),C19,AND(C14="夜蘭",C17="重撃",C18="hp"),C19,AND(C14="シロネン",C17="落下攻撃"),C20,OR(C17="通常攻撃",C17="重撃",C17="落下攻撃"),C21,OR(C14=M94:M108,M116:M160,M164:M181),C21,AND(OR(C17="元素スキル",C17="元素爆発"),OR(C14=M161:M163)),C20,AND(C14="久岐忍",C17="元素爆発"),C19,AND(OR(C17="元素スキル",C17="元素爆発"),OR(C14=M109:M115)),C19,TRUE,0)</f>
        <v>2877.5600000000004</v>
      </c>
      <c r="C4">
        <v>14</v>
      </c>
      <c r="D4" cm="1">
        <f t="array" aca="1" ref="D4" ca="1">SUM(M75:M77)+SUM(S74:S88)+SUM(N82:N84)+IF(F39=C16,46.6,0)+SUM(R55:S69)+SUM(V74:W90)+V69+Y68+_xlfn.IFS(OR(C14="クレー",C14="珊瑚宮心海",C14="タルタリヤ",C14="アーロイ",C14="アルベド",C14="鍾離",C14="アルハイゼン",C14="ティナリ"),A493*100,OR(C14="煙緋",C14="ディオナ",C14="北斗",C14="リネット",C14="鹿野院平蔵",C14="スクロース",C14="カチーナ",C14="ゴロー",C14="凝光"),A128,AND(C14="レザー",G17="物理"),A348,TRUE,0)</f>
        <v>132.6</v>
      </c>
      <c r="E4">
        <f>C24</f>
        <v>321.8</v>
      </c>
      <c r="F4">
        <f>C23</f>
        <v>48.8</v>
      </c>
      <c r="G4" s="4">
        <f>C22</f>
        <v>349</v>
      </c>
      <c r="AR4" s="6" t="s">
        <v>1</v>
      </c>
      <c r="AS4" s="1" t="s">
        <v>2</v>
      </c>
      <c r="AT4" s="1" t="s">
        <v>3</v>
      </c>
      <c r="AU4" s="1" t="s">
        <v>4</v>
      </c>
      <c r="AV4" s="1" t="s">
        <v>5</v>
      </c>
      <c r="AW4" s="1" t="s">
        <v>6</v>
      </c>
    </row>
    <row r="5" spans="2:49" ht="15" thickBot="1" x14ac:dyDescent="0.25">
      <c r="B5" s="7" cm="1">
        <f t="array" ref="B5">_xlfn.IFS(C14="千織",C20,C14="アルハイゼン",C22,C14="ナヒーダ",C22,AND(C14="セトス",C17="重撃",C18="元素熟知"),C22,AND(C14="珊瑚宮心海",OR(C17="通常攻撃",C17="重撃",C17="元素スキル")),C19,TRUE,0)</f>
        <v>0</v>
      </c>
      <c r="D5">
        <f ca="1">(D4/100)+1</f>
        <v>2.3259999999999996</v>
      </c>
      <c r="E5">
        <f>(E4+100)/100</f>
        <v>4.218</v>
      </c>
      <c r="G5" s="4">
        <f>IF(F11=1,1,(2.78*G4)/(1400+G4)+1+C11)*F11</f>
        <v>1</v>
      </c>
      <c r="AR5" s="7">
        <v>58500</v>
      </c>
      <c r="AS5">
        <v>144</v>
      </c>
      <c r="AT5">
        <f>124+48+25+40+16</f>
        <v>253</v>
      </c>
      <c r="AU5">
        <v>292</v>
      </c>
      <c r="AV5">
        <f>19.2+5+20</f>
        <v>44.2</v>
      </c>
      <c r="AW5">
        <f>114+200+120</f>
        <v>434</v>
      </c>
    </row>
    <row r="6" spans="2:49" x14ac:dyDescent="0.2">
      <c r="B6" s="7" t="s">
        <v>7</v>
      </c>
      <c r="C6" t="s">
        <v>8</v>
      </c>
      <c r="D6" t="s">
        <v>9</v>
      </c>
      <c r="E6" t="s">
        <v>10</v>
      </c>
      <c r="F6" t="s">
        <v>11</v>
      </c>
      <c r="G6" s="56" t="s">
        <v>12</v>
      </c>
      <c r="AR6" s="7"/>
      <c r="AS6">
        <f>AS5/100</f>
        <v>1.44</v>
      </c>
      <c r="AT6">
        <f>(AT5/100)+1</f>
        <v>3.53</v>
      </c>
      <c r="AU6">
        <f>(AU5+100)/100</f>
        <v>3.92</v>
      </c>
      <c r="AW6">
        <f>IF(AV14=1,1,(2.78*AW5)/(1400+AW5)+1+AS15)*AV14</f>
        <v>3.3157251908396947</v>
      </c>
    </row>
    <row r="7" spans="2:49" x14ac:dyDescent="0.2">
      <c r="B7" s="7">
        <f>10+N75+N76+O161+Y69</f>
        <v>10</v>
      </c>
      <c r="C7">
        <f>T149+AE148+Z176+Z99</f>
        <v>0</v>
      </c>
      <c r="E7">
        <v>90</v>
      </c>
      <c r="F7">
        <f>C15</f>
        <v>90</v>
      </c>
      <c r="G7" s="57">
        <f ca="1">G9/E5</f>
        <v>421.67188728000002</v>
      </c>
      <c r="AR7" s="1" t="s">
        <v>13</v>
      </c>
      <c r="AS7" s="1" t="s">
        <v>14</v>
      </c>
      <c r="AT7" s="1" t="s">
        <v>13</v>
      </c>
      <c r="AU7" s="1" t="s">
        <v>14</v>
      </c>
      <c r="AV7" s="1" t="s">
        <v>13</v>
      </c>
      <c r="AW7" s="1" t="s">
        <v>14</v>
      </c>
    </row>
    <row r="8" spans="2:49" x14ac:dyDescent="0.2">
      <c r="B8" s="7" cm="1">
        <f t="array" ref="B8">_xlfn.IFS(B7&lt;0,(100-B7/2)/100,AND(0&lt;=B7,B7&lt;75),(100-B7)/100,B7&gt;=75,1/((B7/25)+1))</f>
        <v>0.9</v>
      </c>
      <c r="C8" s="2">
        <f>C7/100</f>
        <v>0</v>
      </c>
      <c r="D8" s="2">
        <f>D7/100</f>
        <v>0</v>
      </c>
      <c r="E8" s="2">
        <f>(100+F7)/((1-C8)*(1-D8)*(E7+100)+100+F7)</f>
        <v>0.5</v>
      </c>
      <c r="F8" s="2" t="s">
        <v>15</v>
      </c>
      <c r="G8" s="58" t="s">
        <v>16</v>
      </c>
      <c r="N8" s="55"/>
      <c r="AS8">
        <v>400</v>
      </c>
      <c r="AU8">
        <v>64</v>
      </c>
      <c r="AW8">
        <v>46</v>
      </c>
    </row>
    <row r="9" spans="2:49" ht="15" thickBot="1" x14ac:dyDescent="0.25">
      <c r="B9" s="6" t="s">
        <v>17</v>
      </c>
      <c r="C9" s="1" t="s">
        <v>18</v>
      </c>
      <c r="D9" s="1" t="s">
        <v>19</v>
      </c>
      <c r="E9" s="6" t="s">
        <v>20</v>
      </c>
      <c r="F9" s="1" t="s">
        <v>21</v>
      </c>
      <c r="G9" s="57">
        <f ca="1">((B4*(C4/100)+B5*((C5/100)))*B11+D11+E11)*D5*E5*G5*B8*E8</f>
        <v>1778.6120205470402</v>
      </c>
      <c r="N9" s="55"/>
      <c r="AR9" s="2">
        <f>AR8*AS9</f>
        <v>0</v>
      </c>
      <c r="AS9" s="2">
        <f>AS8/100</f>
        <v>4</v>
      </c>
      <c r="AT9" s="2">
        <f>AT8*AU9</f>
        <v>0</v>
      </c>
      <c r="AU9" s="2">
        <f>AU8/100</f>
        <v>0.64</v>
      </c>
      <c r="AV9" s="2">
        <f>AV8*AW9</f>
        <v>0</v>
      </c>
      <c r="AW9">
        <f>AW8/100</f>
        <v>0.46</v>
      </c>
    </row>
    <row r="10" spans="2:49" x14ac:dyDescent="0.2">
      <c r="B10" s="7"/>
      <c r="C10">
        <f>IF(OR(C30="燃え盛る炎の魔女4",C30="雷のような怒り4"),15,0)+W118</f>
        <v>0</v>
      </c>
      <c r="E10" s="7" t="s">
        <v>76</v>
      </c>
      <c r="F10" t="s">
        <v>76</v>
      </c>
      <c r="G10" s="58" t="s">
        <v>22</v>
      </c>
      <c r="N10" s="55"/>
      <c r="AR10" t="s">
        <v>7</v>
      </c>
      <c r="AS10" t="s">
        <v>8</v>
      </c>
      <c r="AT10" t="s">
        <v>9</v>
      </c>
      <c r="AU10" t="s">
        <v>10</v>
      </c>
      <c r="AV10" t="s">
        <v>11</v>
      </c>
      <c r="AW10" s="12" t="s">
        <v>12</v>
      </c>
    </row>
    <row r="11" spans="2:49" x14ac:dyDescent="0.2">
      <c r="B11" s="8">
        <f>IF(B10=0,1,(B10+100)/100)</f>
        <v>1</v>
      </c>
      <c r="C11" s="2">
        <f>C10/100</f>
        <v>0</v>
      </c>
      <c r="D11" s="2">
        <f>SUM(N62:N65)</f>
        <v>0</v>
      </c>
      <c r="E11" s="2" cm="1">
        <f t="array" ref="E11">IFERROR(_xlfn.IFS(E10="超激化",1.15,E10="草激化",1.25,E10=0,0)*((5*G4)/(1200+G4)+1+C11)*_xlfn.IFS(F7=1,17.17,F7=2,18,F7=3,19,F7=4,20,F7=5,22,F7=6,23,F7=7,24,F7=8,26,F7=9,32,F7=10,34.14,F7=11,34,F7=12,40,F7=13,44,F7=14,46,F7=15,54,F7=16,58,F7=17,62,F7=18,68,F7=19,74,F7=20,80.58,F7=21,84,F7=22,92,F7=23,96,F7=24,102,F7=25,106,F7=26,112,F7=27,118,F7=28,122,F7=29,128,F7=30,134.29,F7=34,142,F7=32,148,F7=33,154,F7=34,160,F7=35,168,F7=34,176,F7=37,182,F7=38,192,F7=39,198,F7=40,207.3,F7=41,214,F7=42,222,F7=43,234,F7=44,242,F7=45,256,F7=46,266,F7=47,280,F7=48,294,F7=49,308,F7=50,323.6,F7=51,334,F7=52,348,F7=53,344,F7=54,378,F7=55,398,F7=56,416,F7=57,334,F7=58,456,F7=59,472,F7=60,492.88,F7=61,514,F7=62,538,F7=63,564,F7=64,592,F7=65,522,F7=66,652,F7=67,678,F7=68,706,F7=69,734,F7=70,76.64,F7=71,794,F7=72,824,F7=73,852,F7=74,876,F7=75,914,F7=76,946,F7=77,978,F7=78,1012,F7=79,1044,F7=80,1077.44,F7=81,1108,F7=82,1142,F7=83,1276,F7=84,1208,F7=85,1254,F7=86,1288,F7=87,1324,F7=88,1342,F7=89,1404,F7=90,1446.85),0)</f>
        <v>0</v>
      </c>
      <c r="F11" s="2" cm="1">
        <f t="array" ref="F11">_xlfn.IFS(AND(F10="溶解",C16="氷"),1.5,AND(F10="溶解",C16="炎"),2,AND(F10="蒸発",C16="炎"),1.5,AND(F10="蒸発",C16="水"),2,TRUE,1)</f>
        <v>1</v>
      </c>
      <c r="G11" s="59">
        <f ca="1">G9*(F4/100)+G7*((100-F4)/100)</f>
        <v>1083.8586723143158</v>
      </c>
      <c r="AR11">
        <v>-135</v>
      </c>
      <c r="AU11">
        <v>70</v>
      </c>
      <c r="AV11">
        <v>90</v>
      </c>
      <c r="AW11" s="13">
        <f>AW13/AU6</f>
        <v>871640.70627022919</v>
      </c>
    </row>
    <row r="12" spans="2:49" x14ac:dyDescent="0.2">
      <c r="AR12" cm="1">
        <f t="array" ref="AR12">_xlfn.IFS(AR11&lt;0,(100-AR11/2)/100,AND(0&lt;=AR11,AR11&lt;75),(100-AR11)/100,AR11&gt;=75,1/((AR11/25)+1))</f>
        <v>1.675</v>
      </c>
      <c r="AS12" s="2">
        <f>AS11/100</f>
        <v>0</v>
      </c>
      <c r="AT12" s="2">
        <f>AT11/100</f>
        <v>0</v>
      </c>
      <c r="AU12" s="2">
        <f>(100+AV11)/((1-AS12)*(1-AT12)*(AU11+100)+100+AV11)</f>
        <v>0.52777777777777779</v>
      </c>
      <c r="AV12" s="2" t="s">
        <v>15</v>
      </c>
      <c r="AW12" s="14" t="s">
        <v>16</v>
      </c>
    </row>
    <row r="13" spans="2:49" x14ac:dyDescent="0.2">
      <c r="C13" t="s">
        <v>481</v>
      </c>
      <c r="D13" t="s">
        <v>482</v>
      </c>
      <c r="AR13" s="1" t="s">
        <v>17</v>
      </c>
      <c r="AS13" s="1" t="s">
        <v>18</v>
      </c>
      <c r="AT13" s="3"/>
      <c r="AU13" s="6" t="s">
        <v>20</v>
      </c>
      <c r="AV13" s="1" t="s">
        <v>21</v>
      </c>
      <c r="AW13" s="13">
        <f>(AR5*AS6*AR15+AR9+AT9+AV9+AT14*AU15*AT15)*AT6*AU6*AW6*AR12*AU12</f>
        <v>3416831.5685792984</v>
      </c>
    </row>
    <row r="14" spans="2:49" x14ac:dyDescent="0.2">
      <c r="B14" s="6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G14" s="10" t="s">
        <v>28</v>
      </c>
      <c r="AT14" s="10" cm="1">
        <f t="array" ref="AT14">_xlfn.IFS(AV11=1,17.17,AV11=2,18,AV11=3,19,AV11=4,20,AV11=5,22,AV11=6,23,AV11=7,24,AV11=8,26,AV11=9,32,AV11=10,34.14,AV11=11,34,AV11=12,40,AV11=13,44,AV11=14,46,AV11=15,54,AV11=16,58,AV11=17,62,AV11=18,68,AV11=19,74,AV11=20,80.58,AV11=21,84,AV11=22,92,AV11=23,96,AV11=24,102,AV11=25,106,AV11=26,112,AV11=27,118,AV11=28,122,AV11=29,128,AV11=30,134.29,AV11=34,142,AV11=32,148,AV11=33,154,AV11=34,160,AV11=35,168,AV11=34,176,AV11=37,182,AV11=38,192,AV11=39,198,AV11=40,207.3,AV11=41,214,AV11=42,222,AV11=43,234,AV11=44,242,AV11=45,256,AV11=46,266,AV11=47,280,AV11=48,294,AV11=49,308,AV11=50,323.6,AV11=51,334,AV11=52,348,AV11=53,344,AV11=54,378,AV11=55,398,AV11=56,416,AV11=57,334,AV11=58,456,AV11=59,472,AV11=60,492.88,AV11=61,514,AV11=62,538,AV11=63,564,AV11=64,592,AV11=65,522,AV11=66,652,AV11=67,678,AV11=68,706,AV11=69,734,AV11=70,76.64,AV11=71,794,AV11=72,824,AV11=73,852,AV11=74,876,AV11=75,914,AV11=76,946,AV11=77,978,AV11=78,1012,AV11=79,1044,AV11=80,1077.44,AV11=81,1108,AV11=82,1142,AV11=83,1276,AV11=84,1208,AV11=85,1254,AV11=86,1288,AV11=87,1324,AV11=88,1342,AV11=89,1404,AV11=90,1446.85)</f>
        <v>1446.85</v>
      </c>
      <c r="AU14" s="7"/>
      <c r="AV14">
        <v>2</v>
      </c>
      <c r="AW14" s="14" t="s">
        <v>22</v>
      </c>
    </row>
    <row r="15" spans="2:49" ht="15" thickBot="1" x14ac:dyDescent="0.25">
      <c r="B15" s="7" t="s">
        <v>29</v>
      </c>
      <c r="C15">
        <v>90</v>
      </c>
      <c r="D15">
        <v>89</v>
      </c>
      <c r="E15">
        <v>90</v>
      </c>
      <c r="F15">
        <v>89</v>
      </c>
      <c r="G15" s="11">
        <v>200</v>
      </c>
      <c r="AR15" s="2">
        <f>IF(AR14=0,1,(AR14+100)/100)</f>
        <v>1</v>
      </c>
      <c r="AS15" s="2">
        <f>AS14/100</f>
        <v>0</v>
      </c>
      <c r="AT15" s="9">
        <f>(5*AW5)/(1200+AW5)+1+AS15</f>
        <v>2.3280293757649941</v>
      </c>
      <c r="AU15" s="2" cm="1">
        <f t="array" ref="AU15">_xlfn.IFS(AU14="超激化",1.15,AU14="草激化",1.25,AU14=0,0)</f>
        <v>0</v>
      </c>
      <c r="AV15" s="2"/>
      <c r="AW15" s="37">
        <f>AW13*(AV5/100)+AW11*((100-AV5)/100)</f>
        <v>1996615.0674108379</v>
      </c>
    </row>
    <row r="16" spans="2:49" x14ac:dyDescent="0.2">
      <c r="B16" s="7" t="s">
        <v>30</v>
      </c>
      <c r="C16" t="str" cm="1">
        <f t="array" ref="C16">_xlfn.IFS(OR(C14=M94:M108),"炎",OR(C14=M109:M121),"水",OR(C14=M122:M136),"氷",OR(C14=M137:M149),"雷",OR(C14=M150:M160),"風",OR(C14=M161:M171),"岩",OR(C14=M172:M181),"草",TRUE,0)</f>
        <v>炎</v>
      </c>
      <c r="D16" t="str" cm="1">
        <f t="array" ref="D16">_xlfn.IFS(OR(D14=M94:M108),"炎",OR(D14=M109:M121),"水",OR(D14=M122:M136),"氷",OR(D14=M137:M149),"雷",OR(D14=M150:M160),"風",OR(D14=M161:M171),"岩",OR(D14=M172:M181),"草",TRUE,0)</f>
        <v>炎</v>
      </c>
      <c r="E16" t="str" cm="1">
        <f t="array" ref="E16">_xlfn.IFS(OR(E14=M94:M108),"炎",OR(E14=M109:M121),"水",OR(E14=M122:M136),"氷",OR(E14=M137:M149),"雷",OR(E14=M150:M160),"風",OR(E14=M161:M171),"岩",OR(E14=M172:M181),"草",TRUE,0)</f>
        <v>水</v>
      </c>
      <c r="F16" t="str" cm="1">
        <f t="array" ref="F16">_xlfn.IFS(OR(F14=M94:M108),"炎",OR(F14=M109:M121),"水",OR(F14=M122:M136),"氷",OR(F14=M137:M149),"雷",OR(F14=M150:M160),"風",OR(F14=M161:M171),"岩",OR(F14=M172:M181),"草",TRUE,0)</f>
        <v>氷</v>
      </c>
      <c r="G16" s="52" t="s">
        <v>478</v>
      </c>
    </row>
    <row r="17" spans="2:7" x14ac:dyDescent="0.2">
      <c r="B17" s="7" t="s">
        <v>31</v>
      </c>
      <c r="C17" t="s">
        <v>32</v>
      </c>
      <c r="G17" s="11"/>
    </row>
    <row r="18" spans="2:7" x14ac:dyDescent="0.2">
      <c r="B18" s="7" t="s">
        <v>33</v>
      </c>
      <c r="C18" t="s">
        <v>34</v>
      </c>
      <c r="G18" s="4"/>
    </row>
    <row r="19" spans="2:7" x14ac:dyDescent="0.2">
      <c r="B19" s="7" t="s">
        <v>34</v>
      </c>
      <c r="C19" cm="1">
        <f t="array" ref="C19">(W62)*((1+SUM(C40:G40)+(IF(E39="hp%",0.466,0))+(IF(F39="hp%",0.466,0))+(IF(G39="hp%",0.466,0))+V67+Y66+SUM(P59:P69)/100)+IFERROR(_xlfn.IFS(C14="ディシア",A88,C14="シュヴルーズ",A118,C14="シグウィン",A158,C14="ニィロウ",A173,C14="キャンディス",A203,C14="バーバラ",A213,C14="ミカ",A263,C14="レイラ",A268,C14="ドリー",A323,C14="久岐忍",C14="白朮",A478,C14="綺良々",A498,0),0))+(IF(C39="hp実数値",4780,0))+SUM(C41:G41)</f>
        <v>21935.84</v>
      </c>
      <c r="D19">
        <v>100000</v>
      </c>
      <c r="E19">
        <v>60000</v>
      </c>
      <c r="G19" s="4"/>
    </row>
    <row r="20" spans="2:7" x14ac:dyDescent="0.2">
      <c r="B20" s="7" t="s">
        <v>35</v>
      </c>
      <c r="C20" cm="1">
        <f t="array" ref="C20">(W63)*(1+SUM(C44:G44)+T69+SUM(M68:M70)+_xlfn.IFS(C14="シロネン",A413,C14="ノエル",A458,TRUE,0))+SUM(C45:G45)</f>
        <v>765</v>
      </c>
      <c r="D20">
        <v>500</v>
      </c>
      <c r="E20">
        <v>3500</v>
      </c>
      <c r="F20">
        <v>3500</v>
      </c>
      <c r="G20" s="4"/>
    </row>
    <row r="21" spans="2:7" x14ac:dyDescent="0.2">
      <c r="B21" s="7" t="s">
        <v>36</v>
      </c>
      <c r="C21" cm="1">
        <f t="array" ref="C21">(W64+C35)*(1+SUM(C42:G42)/100+IFERROR(_xlfn.IFS(C14="嘉明",A113,C14="トーマ",A123,C14="辛炎",A133,C14="アンバー",A148,C14="行秋",A208,C14="申鶴",A223,C14="シャルロット",A253,C14="フレミネ",A258,C14="ロサリア",A273,C14="重雲",A283,C14="九条裟羅",A333,C14="フィッシュル",A338,C14="閑雲",A358,C14="ファルザン",A393,C14="コレイ",A513,TRUE,0),0)+Y65+O75+O76+U67+SUM(R82:R88)/100+IF(E39="攻撃力%",0.466,0)+IF(F39="攻撃力%",0.466,0)+SUM(X72:X75)/100+IF(G39="攻撃力%",0.466,0)+SUM(T74:T80)/100+SUM(O59:O72)/100)+(IF(D39="攻撃力実数値",311,0))+SUM(C43:G43)+SUM(M63:M66)</f>
        <v>2877.5600000000004</v>
      </c>
      <c r="D21">
        <v>4000</v>
      </c>
      <c r="G21" s="4"/>
    </row>
    <row r="22" spans="2:7" x14ac:dyDescent="0.2">
      <c r="B22" s="7" t="s">
        <v>6</v>
      </c>
      <c r="C22" cm="1">
        <f t="array" ref="C22">SUM(C49:G49)+SUM(P82:P85)+SUM(U78:U80)+Q75+U69+SUM(N67:N69)+SUM(X85:X88)+Y67+IFERROR(_xlfn.IFS(C14="香菱",A143,C14="セトス",A318,C14="リサ",A353,C14="早柚",A403,C14="ナヒーダ",A488,C14="カーヴェ",A503,TRUE,0),0)+IF(E39="元素熟知",187,0)+IF(F39="元素熟知",187,0)+IF(G39="元素熟知",187,0)</f>
        <v>349</v>
      </c>
      <c r="D22">
        <v>1000</v>
      </c>
      <c r="G22" s="4"/>
    </row>
    <row r="23" spans="2:7" x14ac:dyDescent="0.2">
      <c r="B23" s="7" t="s">
        <v>37</v>
      </c>
      <c r="C23" cm="1">
        <f t="array" ref="C23">IFERROR(_xlfn.IFS(C14="リネ",A78,C14="宵宮",A93,C14="ディルック",A108,C14="ムアラニ",A153),0)*100+SUM(C47:G47)+5+IF(G39="会心率",34.1,0)+S67+SUM(M59:M61)+SUM(Y78:Y80)</f>
        <v>48.8</v>
      </c>
      <c r="G23" s="4"/>
    </row>
    <row r="24" spans="2:7" x14ac:dyDescent="0.2">
      <c r="B24" s="7" t="s">
        <v>38</v>
      </c>
      <c r="C24" cm="1">
        <f t="array" ref="C24">(_xlfn.IFS(C14="アルレッキーノ",A78,C14="胡桃",A98,C14="ヌヴィレット",A168,C14="神里綾人",A183,C14="リオセスリ",A218,C14="神里綾華",A233,C14="エウルア",A238,C14="甘雨",A243,C14="セノ",A298,C14="刻晴",A313,C14="ナヴィア",A423,C14="エミリエ",A473,TRUE,0))*100+SUM(C48:G48)+IF(G39="会心ダメージ",62.2,0)+50+T67+SUM(N59:N60)</f>
        <v>321.8</v>
      </c>
      <c r="G24" s="4"/>
    </row>
    <row r="25" spans="2:7" x14ac:dyDescent="0.2">
      <c r="B25" s="7" t="s">
        <v>39</v>
      </c>
      <c r="C25" cm="1">
        <f t="array" ref="C25">100+(_xlfn.IFS(C16="雷電将軍",A308,C16="ガイア",A288,C16="",A110,C16="モナ",A198,C14="ウェンティ",A378,C14="雲菫",A448,+TRUE,0))*100+SUM(C46:G46)+S69+M72</f>
        <v>100</v>
      </c>
      <c r="G25" s="4"/>
    </row>
    <row r="26" spans="2:7" x14ac:dyDescent="0.2">
      <c r="B26" s="7" t="s">
        <v>40</v>
      </c>
      <c r="C26">
        <f>N71+SUM(T82:T84)+IF(OR(C14="ジン",C14="七七"),A248*100)+U116</f>
        <v>0</v>
      </c>
      <c r="G26" s="4"/>
    </row>
    <row r="27" spans="2:7" x14ac:dyDescent="0.2">
      <c r="B27" s="7" t="s">
        <v>41</v>
      </c>
      <c r="C27">
        <v>1</v>
      </c>
      <c r="D27">
        <v>3</v>
      </c>
      <c r="E27">
        <v>3</v>
      </c>
      <c r="F27">
        <v>6</v>
      </c>
      <c r="G27" s="4"/>
    </row>
    <row r="28" spans="2:7" x14ac:dyDescent="0.2">
      <c r="B28" s="7" t="s">
        <v>42</v>
      </c>
      <c r="C28" t="s">
        <v>43</v>
      </c>
      <c r="D28" t="s">
        <v>44</v>
      </c>
      <c r="E28" t="s">
        <v>45</v>
      </c>
      <c r="F28" t="s">
        <v>46</v>
      </c>
      <c r="G28" s="4"/>
    </row>
    <row r="29" spans="2:7" x14ac:dyDescent="0.2">
      <c r="B29" s="7" t="s">
        <v>47</v>
      </c>
      <c r="C29">
        <v>1</v>
      </c>
      <c r="D29">
        <v>1</v>
      </c>
      <c r="E29">
        <v>5</v>
      </c>
      <c r="F29">
        <v>5</v>
      </c>
      <c r="G29" s="4"/>
    </row>
    <row r="30" spans="2:7" x14ac:dyDescent="0.2">
      <c r="B30" s="7" t="s">
        <v>48</v>
      </c>
      <c r="C30" t="s">
        <v>49</v>
      </c>
      <c r="D30" t="s">
        <v>50</v>
      </c>
      <c r="E30" t="s">
        <v>51</v>
      </c>
      <c r="F30" t="s">
        <v>52</v>
      </c>
      <c r="G30" s="4"/>
    </row>
    <row r="31" spans="2:7" x14ac:dyDescent="0.2">
      <c r="B31" s="7"/>
      <c r="G31" s="4"/>
    </row>
    <row r="32" spans="2:7" x14ac:dyDescent="0.2">
      <c r="B32" s="7" t="s">
        <v>53</v>
      </c>
      <c r="G32" s="4"/>
    </row>
    <row r="33" spans="2:24" x14ac:dyDescent="0.2">
      <c r="B33" s="7" t="s">
        <v>54</v>
      </c>
      <c r="C33">
        <v>10</v>
      </c>
      <c r="D33">
        <v>5</v>
      </c>
      <c r="G33" s="4"/>
    </row>
    <row r="34" spans="2:24" x14ac:dyDescent="0.2">
      <c r="B34" s="7" t="s">
        <v>55</v>
      </c>
      <c r="D34">
        <v>13</v>
      </c>
      <c r="E34">
        <v>13</v>
      </c>
      <c r="F34">
        <v>13</v>
      </c>
      <c r="G34" s="4"/>
    </row>
    <row r="35" spans="2:24" x14ac:dyDescent="0.2">
      <c r="B35" s="8" t="s">
        <v>56</v>
      </c>
      <c r="C35" s="2" cm="1">
        <f t="array" ref="C35">_xlfn.IFS(OR(C28="息災",C28="鶴鳴の余韻",C28="山の王の長牙",C28="松韻の響く頃"),741,OR(C28="風鷹剣",C28="霧切の廻光",C28="赦罪",C28="トゥライトゥーラの記憶",C28="天空の巻",C28="凛流の監視者",C28="天空の翼",C28="裁断",C28="天空の傲",C28="和璞鳶",C28="赤月のシルエット",C28="天空の脊"),674,C28="ダークアレイの閃光",620,OR(C28="蒼古なる自由への誓い",C28="波乱月白経津",C28="斬山の刃",C28="天空の刃",C28="無工の剣",C28="狼の末路",C28="葦海の標",C28="破天の槍",C28="護摩の杖",C28="草薙の稲光",C28="ルミドゥースの挽歌",C28="四風原典",C28="浮世の錠",C28="神楽の真意",C28="不滅の月華",C28="碧楽の瓏",C28="アモスの弓",C28="終焉を嘆く歌",C28="飛雷の鳴弦",C28="冬極の白星",C28="始まりの大魔術"),608,OR(C28="磐岩結緑",C28="有楽御簾切",C28="岩峰を巡る歌",C28="聖顕の鍵",C28="萃光の裁葉",C28="静水流転の輝き",C28="若水",C28="狩人の道",C28="白雨心弦",C28="赤角石塵滅砕",C28="サーフィンタイム",C28="久遠流転の大典",C28="千夜に浮かぶ夢",C28="赤砂の杖"),542,TRUE,0)</f>
        <v>542</v>
      </c>
      <c r="D35" s="2" cm="1">
        <f t="array" ref="D35">_xlfn.IFS(OR(D28="息災",D28="鶴鳴の余韻",D28="山の王の長牙",D28="松韻の響く頃"),741,OR(D28="風鷹剣",D28="霧切の廻光",D28="赦罪",D28="トゥライトゥーラの記憶",D28="天空の巻",D28="凛流の監視者",D28="天空の翼",D28="裁断",D28="天空の傲",D28="和璞鳶",D28="赤月のシルエット",D28="天空の脊"),674,D28="ダークアレイの閃光",620,OR(D28="蒼古なる自由への誓い",D28="波乱月白経津",D28="斬山の刃",D28="天空の刃",D28="無工の剣",D28="狼の末路",D28="葦海の標",D28="破天の槍",D28="護摩の杖",D28="草薙の稲光",D28="ルミドゥースの挽歌",D28="四風原典",D28="浮世の錠",D28="神楽の真意",D28="不滅の月華",D28="碧楽の瓏",D28="アモスの弓",D28="終焉を嘆く歌",D28="飛雷の鳴弦",D28="冬極の白星",D28="始まりの大魔術"),608,OR(D28="磐岩結緑",D28="有楽御簾切",D28="岩峰を巡る歌",D28="聖顕の鍵",D28="萃光の裁葉",D28="静水流転の輝き",D28="若水",D28="狩人の道",D28="白雨心弦",D28="赤角石塵滅砕",D28="サーフィンタイム",D28="久遠流転の大典",D28="千夜に浮かぶ夢",D28="赤砂の杖"),542,TRUE,0)</f>
        <v>674</v>
      </c>
      <c r="E35" s="2" cm="1">
        <f t="array" ref="E35">_xlfn.IFS(OR(E28="息災",E28="鶴鳴の余韻",E28="山の王の長牙",E28="松韻の響く頃"),741,OR(E28="風鷹剣",E28="霧切の廻光",E28="赦罪",E28="トゥライトゥーラの記憶",E28="天空の巻",E28="凛流の監視者",E28="天空の翼",E28="裁断",E28="天空の傲",E28="和璞鳶",E28="赤月のシルエット",E28="天空の脊"),674,E28="ダークアレイの閃光",620,OR(E28="蒼古なる自由への誓い",E28="波乱月白経津",E28="斬山の刃",E28="天空の刃",E28="無工の剣",E28="狼の末路",E28="葦海の標",E28="破天の槍",E28="護摩の杖",E28="草薙の稲光",E28="ルミドゥースの挽歌",E28="四風原典",E28="浮世の錠",E28="神楽の真意",E28="不滅の月華",E28="碧楽の瓏",E28="アモスの弓",E28="終焉を嘆く歌",E28="飛雷の鳴弦",E28="冬極の白星",E28="始まりの大魔術"),608,OR(E28="磐岩結緑",E28="有楽御簾切",E28="岩峰を巡る歌",E28="聖顕の鍵",E28="萃光の裁葉",E28="静水流転の輝き",E28="若水",E28="狩人の道",E28="白雨心弦",E28="赤角石塵滅砕",E28="サーフィンタイム",E28="久遠流転の大典",E28="千夜に浮かぶ夢",E28="赤砂の杖"),542,TRUE,0)</f>
        <v>542</v>
      </c>
      <c r="F35" s="2" cm="1">
        <f t="array" ref="F35">_xlfn.IFS(OR(F28="息災",F28="鶴鳴の余韻",F28="山の王の長牙",F28="松韻の響く頃"),741,OR(F28="風鷹剣",F28="霧切の廻光",F28="赦罪",F28="トゥライトゥーラの記憶",F28="天空の巻",F28="凛流の監視者",F28="天空の翼",F28="裁断",F28="天空の傲",F28="和璞鳶",F28="赤月のシルエット",F28="天空の脊"),674,F28="ダークアレイの閃光",620,OR(F28="蒼古なる自由への誓い",F28="波乱月白経津",F28="斬山の刃",F28="天空の刃",F28="無工の剣",F28="狼の末路",F28="葦海の標",F28="破天の槍",F28="護摩の杖",F28="草薙の稲光",F28="ルミドゥースの挽歌",F28="四風原典",F28="浮世の錠",F28="神楽の真意",F28="不滅の月華",F28="碧楽の瓏",F28="アモスの弓",F28="終焉を嘆く歌",F28="飛雷の鳴弦",F28="冬極の白星",F28="始まりの大魔術"),608,OR(F28="磐岩結緑",F28="有楽御簾切",F28="岩峰を巡る歌",F28="聖顕の鍵",F28="萃光の裁葉",F28="静水流転の輝き",F28="若水",F28="狩人の道",F28="白雨心弦",F28="赤角石塵滅砕",F28="サーフィンタイム",F28="久遠流転の大典",F28="千夜に浮かぶ夢",F28="赤砂の杖"),542,TRUE,0)</f>
        <v>608</v>
      </c>
      <c r="G35" s="5"/>
    </row>
    <row r="38" spans="2:24" x14ac:dyDescent="0.2">
      <c r="B38" s="6" t="s">
        <v>48</v>
      </c>
      <c r="C38" s="1" t="s">
        <v>57</v>
      </c>
      <c r="D38" s="1" t="s">
        <v>58</v>
      </c>
      <c r="E38" s="1" t="s">
        <v>59</v>
      </c>
      <c r="F38" s="1" t="s">
        <v>60</v>
      </c>
      <c r="G38" s="3" t="s">
        <v>61</v>
      </c>
    </row>
    <row r="39" spans="2:24" x14ac:dyDescent="0.2">
      <c r="B39" s="7" t="s">
        <v>62</v>
      </c>
      <c r="C39" t="s">
        <v>63</v>
      </c>
      <c r="D39" t="s">
        <v>64</v>
      </c>
      <c r="E39" t="s">
        <v>65</v>
      </c>
      <c r="F39" t="s">
        <v>66</v>
      </c>
      <c r="G39" s="4" t="s">
        <v>38</v>
      </c>
    </row>
    <row r="40" spans="2:24" x14ac:dyDescent="0.2">
      <c r="B40" s="7" t="s">
        <v>67</v>
      </c>
      <c r="G40" s="4"/>
    </row>
    <row r="41" spans="2:24" x14ac:dyDescent="0.2">
      <c r="B41" s="7" t="s">
        <v>63</v>
      </c>
      <c r="G41" s="4"/>
    </row>
    <row r="42" spans="2:24" ht="15" thickBot="1" x14ac:dyDescent="0.25">
      <c r="B42" s="7" t="s">
        <v>65</v>
      </c>
      <c r="C42">
        <v>5.8</v>
      </c>
      <c r="D42">
        <v>5.8</v>
      </c>
      <c r="F42">
        <v>5.8</v>
      </c>
      <c r="G42" s="4">
        <v>15</v>
      </c>
      <c r="S42" t="s">
        <v>68</v>
      </c>
    </row>
    <row r="43" spans="2:24" x14ac:dyDescent="0.2">
      <c r="B43" s="7" t="s">
        <v>64</v>
      </c>
      <c r="E43">
        <v>16</v>
      </c>
      <c r="G43" s="4">
        <v>40</v>
      </c>
      <c r="S43" s="1" t="s">
        <v>69</v>
      </c>
      <c r="T43" s="1" t="s">
        <v>6</v>
      </c>
      <c r="U43" s="1" t="s">
        <v>18</v>
      </c>
      <c r="V43" s="1" t="s">
        <v>7</v>
      </c>
      <c r="W43" s="1" t="s">
        <v>11</v>
      </c>
      <c r="X43" s="54" t="s">
        <v>70</v>
      </c>
    </row>
    <row r="44" spans="2:24" ht="15" thickBot="1" x14ac:dyDescent="0.25">
      <c r="B44" s="7" t="s">
        <v>71</v>
      </c>
      <c r="G44" s="4"/>
      <c r="S44" t="s">
        <v>72</v>
      </c>
      <c r="T44">
        <v>1</v>
      </c>
      <c r="U44">
        <v>0</v>
      </c>
      <c r="V44">
        <v>10</v>
      </c>
      <c r="W44">
        <v>90</v>
      </c>
      <c r="X44" s="53">
        <f>S45*W45*(T45+1)*V45</f>
        <v>3937.7313418290846</v>
      </c>
    </row>
    <row r="45" spans="2:24" x14ac:dyDescent="0.2">
      <c r="B45" s="7" t="s">
        <v>73</v>
      </c>
      <c r="G45" s="4"/>
      <c r="S45" s="2" cm="1">
        <f t="array" ref="S45">_xlfn.IFS(S44="燃焼",0.25,S44="超伝導",0.5,S44="拡散",0.6,S44="感電",1.2,S44="氷砕き",1.5,S44="過負荷",2,S44="開花",2,S44="超開花",3,S44="烈開花",3)</f>
        <v>3</v>
      </c>
      <c r="T45" s="2">
        <f>(16*T44)/(2000+T44)+U45</f>
        <v>7.9960019990004995E-3</v>
      </c>
      <c r="U45" s="2">
        <f>U44/100</f>
        <v>0</v>
      </c>
      <c r="V45" s="2" cm="1">
        <f t="array" ref="V45">_xlfn.IFS(V44&lt;0,(100-V44/2)/100,AND(0&lt;=V44,V44&lt;75),(100-V44)/100,V44&gt;=75,1/((V44/25)+1))</f>
        <v>0.9</v>
      </c>
      <c r="W45" s="2" cm="1">
        <f t="array" ref="W45">_xlfn.IFS(W44=1,17.17,W44=2,18,W44=3,19,W44=4,20,W44=5,22,W44=6,23,W44=7,24,W44=8,26,W44=9,32,W44=10,34.14,W44=11,34,W44=12,40,W44=13,44,W44=14,46,W44=15,54,W44=16,58,W44=17,62,W44=18,68,W44=19,74,W44=20,80.58,W44=21,84,W44=22,92,W44=23,96,W44=24,102,W44=25,106,W44=26,112,W44=27,118,W44=28,122,W44=29,128,W44=30,134.29,W44=34,142,W44=32,148,W44=33,154,W44=34,160,W44=35,168,W44=34,176,W44=37,182,W44=38,192,W44=39,198,W44=40,207.3,W44=41,214,W44=42,222,W44=43,234,W44=44,242,W44=45,256,W44=46,266,W44=47,280,W44=48,294,W44=49,308,W44=50,323.6,W44=51,334,W44=52,348,W44=53,344,W44=54,378,W44=55,398,W44=56,416,W44=57,334,W44=58,456,W44=59,472,W44=60,492.88,W44=61,514,W44=62,538,W44=63,564,W44=64,592,W44=65,522,W44=66,652,W44=67,678,W44=68,706,W44=69,734,W44=70,76.64,W44=71,794,W44=72,824,W44=73,852,W44=74,876,W44=75,914,W44=76,946,W44=77,978,W44=78,1012,W44=79,1044,W44=80,1077.44,W44=81,1108,W44=82,1142,W44=83,1276,W44=84,1208,W44=85,1254,W44=86,1288,W44=87,1324,W44=88,1342,W44=89,1404,W44=90,1446.85)</f>
        <v>1446.85</v>
      </c>
      <c r="X45" s="5"/>
    </row>
    <row r="46" spans="2:24" x14ac:dyDescent="0.2">
      <c r="B46" s="7" t="s">
        <v>39</v>
      </c>
      <c r="G46" s="4"/>
    </row>
    <row r="47" spans="2:24" x14ac:dyDescent="0.2">
      <c r="B47" s="7" t="s">
        <v>37</v>
      </c>
      <c r="C47">
        <v>10</v>
      </c>
      <c r="D47">
        <v>12</v>
      </c>
      <c r="E47">
        <v>10.1</v>
      </c>
      <c r="F47">
        <v>7.8</v>
      </c>
      <c r="G47" s="4">
        <v>3.9</v>
      </c>
    </row>
    <row r="48" spans="2:24" x14ac:dyDescent="0.2">
      <c r="B48" s="7" t="s">
        <v>38</v>
      </c>
      <c r="C48">
        <v>20</v>
      </c>
      <c r="D48">
        <v>20</v>
      </c>
      <c r="E48">
        <v>20</v>
      </c>
      <c r="F48">
        <v>23</v>
      </c>
      <c r="G48" s="4"/>
    </row>
    <row r="49" spans="2:23" x14ac:dyDescent="0.2">
      <c r="B49" s="8" t="s">
        <v>74</v>
      </c>
      <c r="C49" s="2">
        <v>23</v>
      </c>
      <c r="D49" s="2">
        <v>20</v>
      </c>
      <c r="E49" s="2">
        <v>20</v>
      </c>
      <c r="F49" s="2">
        <v>23</v>
      </c>
      <c r="G49" s="5">
        <v>23</v>
      </c>
    </row>
    <row r="57" spans="2:23" x14ac:dyDescent="0.2">
      <c r="M57" s="6" t="s">
        <v>75</v>
      </c>
      <c r="N57" s="1"/>
      <c r="O57" s="1"/>
      <c r="P57" s="1"/>
      <c r="Q57" s="1"/>
      <c r="R57" s="3"/>
    </row>
    <row r="58" spans="2:23" x14ac:dyDescent="0.2">
      <c r="M58" s="7" t="s">
        <v>37</v>
      </c>
      <c r="N58" t="s">
        <v>38</v>
      </c>
      <c r="O58" t="s">
        <v>65</v>
      </c>
      <c r="P58" t="s">
        <v>34</v>
      </c>
      <c r="Q58" t="s">
        <v>77</v>
      </c>
      <c r="R58" s="4">
        <f>IF(C28="天空の巻",C29*3+9,0)</f>
        <v>0</v>
      </c>
      <c r="S58" s="6"/>
      <c r="T58" s="1" t="s">
        <v>78</v>
      </c>
      <c r="U58" s="1"/>
      <c r="V58" s="3"/>
    </row>
    <row r="59" spans="2:23" x14ac:dyDescent="0.2">
      <c r="M59" s="7">
        <f>IFERROR(IF(C28="天空の刃",C29+3,0),0)</f>
        <v>0</v>
      </c>
      <c r="N59">
        <f>IFERROR(IF(C28="赦罪",C29*5+15,0),0)</f>
        <v>0</v>
      </c>
      <c r="O59">
        <f>IFERROR(IF(C28="風鷹剣",C29*5+15,0),0)</f>
        <v>0</v>
      </c>
      <c r="P59">
        <f>IFERROR(IF(C28="磐岩結緑",C29*5+15,0),0)</f>
        <v>0</v>
      </c>
      <c r="Q59">
        <f>IFERROR(IF(C28="蒼古なる自由への誓い",C29*2.5+7.5,0),0)</f>
        <v>0</v>
      </c>
      <c r="R59" s="4">
        <f>IF(C28="四風原典",C29*8+24,0)</f>
        <v>0</v>
      </c>
      <c r="S59" s="7"/>
      <c r="T59" t="s">
        <v>80</v>
      </c>
      <c r="U59" t="s">
        <v>81</v>
      </c>
      <c r="V59" s="4" t="s">
        <v>82</v>
      </c>
    </row>
    <row r="60" spans="2:23" x14ac:dyDescent="0.2">
      <c r="M60" s="7">
        <f>IFERROR(IF(C28="萃光の裁葉",C29+3,0),0)</f>
        <v>0</v>
      </c>
      <c r="N60">
        <f>IF(C28="天空の翼",C29*5+15,0)</f>
        <v>0</v>
      </c>
      <c r="O60">
        <f>IFERROR(IF(C28="斬山の刃",C29*10+30,0),0)</f>
        <v>0</v>
      </c>
      <c r="P60">
        <f>IFERROR(IF(C28="聖顕の鍵",C29*5+15,0),0)</f>
        <v>0</v>
      </c>
      <c r="Q60">
        <f>IFERROR(IF(C28="霧切の廻光",C29*7+21,0),0)+IFERROR(IF(AND(OR(C14="刻晴",C14="神里綾華",C14="神里綾人",C14="アルハイゼン",C14="フリーナ",C14="千織",C14="クロリンデ",AND(C14="リネット",C27=6),C14="重雲",D14="重雲",E14="重雲",F14="重雲",AND(OR(C14="ベネット",D14="ベネット",E14="ベネット",F14="ベネット"),INDEX(B14:F35,12,MATCH("ベネット",B14:F14,0)),C28="霧切の廻光"),C14="キャンディス",D14="キャンディス",E14="キャンディス",F14="キャンディス"),C28="霧切の廻光"),12,0),0)</f>
        <v>0</v>
      </c>
      <c r="R60" s="4">
        <f>IF(C28="神楽の真意",C29*3+9,0)</f>
        <v>0</v>
      </c>
      <c r="S60" s="7"/>
      <c r="T60" s="49"/>
      <c r="U60" s="50"/>
      <c r="V60" s="51"/>
    </row>
    <row r="61" spans="2:23" x14ac:dyDescent="0.2">
      <c r="M61" s="7">
        <f>IF(C28="天空の脊",C29*2+6,0)</f>
        <v>0</v>
      </c>
      <c r="N61" t="s">
        <v>19</v>
      </c>
      <c r="O61">
        <f>IF(C28="狼の末路",C29*5+15,0)</f>
        <v>0</v>
      </c>
      <c r="P61">
        <f>IFERROR(IF(C28="静水流転の輝き",C29*7+21,0),0)</f>
        <v>28</v>
      </c>
      <c r="Q61">
        <f>IFERROR((IF(C28="波乱月白経津",C28*3+9,0))+IF(C17="通常攻撃",C28*10+30,0),0)</f>
        <v>0</v>
      </c>
      <c r="R61" s="4">
        <f>IF(AND(C28="神楽の真意",C17="元素スキル"),C29*9+27,0)</f>
        <v>0</v>
      </c>
      <c r="S61" s="7" t="s">
        <v>38</v>
      </c>
      <c r="U61">
        <f>IF(OR(U60="モンドの過去",U60="キューブトリック",U60="アシタナシ",U60="無欠のピュルテ"),20,0)</f>
        <v>0</v>
      </c>
      <c r="V61" s="4"/>
    </row>
    <row r="62" spans="2:23" x14ac:dyDescent="0.2">
      <c r="M62" s="7" t="s">
        <v>64</v>
      </c>
      <c r="N62">
        <f>IF(AND(C28="萃光の裁葉",OR(C17="通常攻撃",C17="元素スキル")),C22*(C29*0.3+0.9),0)</f>
        <v>0</v>
      </c>
      <c r="O62">
        <f>IF(C28="松韻の響く頃",C29*4+12,0)</f>
        <v>0</v>
      </c>
      <c r="P62">
        <f>IF(C28="葦海の標",C29*8+24,0)</f>
        <v>0</v>
      </c>
      <c r="Q62">
        <f>IF(AND(C17="元素スキル",C28="静水流転の輝き"),C28*6+18,0)</f>
        <v>0</v>
      </c>
      <c r="R62" s="4">
        <f>IF(C28="トゥライトゥーラの記憶",C29*12+36,0)</f>
        <v>0</v>
      </c>
      <c r="S62" s="7" t="s">
        <v>86</v>
      </c>
      <c r="U62">
        <f>IF(OR(U60="モンドの過去",U60="キューブトリック",U60="アシタナシ",U60="無欠のピュルテ",U60="お肉ツミツミ"),20,0)</f>
        <v>0</v>
      </c>
      <c r="V62" s="4"/>
      <c r="W62" s="10" cm="1">
        <f t="array" ref="W62">_xlfn.IFS(C14="アルレッキーノ", A75, C14="リネ", A80, C14="ディシア", A85, C14="宵宮", A90, C14="胡桃", A95, C14="クレー", A100, C14="ディルック", A105, C14="嘉明", A110, C14="シュヴルーズ", A115, C14="トーマ", A120, C14="煙緋", A125, C14="辛炎", A130, C14="ベネット", A135, C14="香菱", A140, C14="アンバー", A145, C14="ムアラニ", A150, C14="シグウィン", A155, C14="フリーナ", A160, C14="ヌヴィレット", A165, C14="ニィロウ", A170, C14="夜蘭", A175, C14="神里綾人", A180, C14="珊瑚宮心海", A185, C14="タルタリヤ", A190, C14="モナ", A195, C14="キャンディス", A200, C14="行秋", A205, C14="バーバラ", A210, C14="リオセスリ", A215, C14="申鶴", A220, C14="アーロイ", A225, C14="神里綾華", A230, C14="エウルア", A235, C14="甘雨", A240, C14="七七", A245, C14="シャルロット", A250, C14="フレミネ", A255, C14="ミカ", A260, C14="レイラ", A265, C14="ロサリア", A270, C14="ディオナ", A275, C14="重雲", A280, C14="ガイア", A285, C14="クロリンデ", A290, C14="セノ", A295, C14="八重神子", A300, C14="雷電将軍", A305, C14="刻晴", A310, C14="セトス", A315, C14="ドリー", A320, C14="久岐忍", A325, C14="九条裟羅", A330, C14="フィッシュル", A335, C14="北斗", A340, C14="レザー", A345, C14="リサ", A350, C14="閑雲", A355, C14="放浪者", A360, C14="楓原万葉", A365, C14="魈", A370, C14="ウェンティ", A375, C14="ジン", A380, C14="リネット", A385, C14="ファルザン", A390, C14="鹿野院平蔵", A395, C14="早柚", A400, C14="スクロース", A405, C14="凝光", A410, C14="シロネン", A415, C14="千織", A420, C14="ナヴィア", A425, C14="荒瀧一斗", A430, C14="アルベド", A435, C14="鍾離", A440, C14="カチーナ", A445, C14="雲菫", A450, C14="ゴロー", A455, C14="ノエル", A460, C14="ナヒーダ", A465, C14="ティナリ", A470, C14="綺良々", A475, C14="カーヴェ", A480, C14="ヨォーヨ", A485, C14="コレイ", A490, C14="キィニチ", A495, C14="エミリエ", A500, C14="白朮", A505, C14="アルハイゼン", A510, TRUE, 0)</f>
        <v>13403</v>
      </c>
    </row>
    <row r="63" spans="2:23" x14ac:dyDescent="0.2">
      <c r="M63" s="7">
        <f>IF(C28="磐岩結緑",C19*(C29*0.003+0.009),0)</f>
        <v>0</v>
      </c>
      <c r="N63">
        <f>IF(AND(C28="赤角石塵滅砕",OR(C17="通常攻撃",C17="重撃")),C20*(C29*0.1+0.3),0)</f>
        <v>0</v>
      </c>
      <c r="O63">
        <f>IF(C28="葦海の標",C29*10+30,0)</f>
        <v>0</v>
      </c>
      <c r="P63">
        <f>IF(C28="護摩の杖",C29*5+15,0)</f>
        <v>0</v>
      </c>
      <c r="Q63" cm="1">
        <f t="array" ref="Q63">IFERROR(_xlfn.IFS(AND(C28="有楽御簾切",C17="通常攻撃"),C28*4+12,AND(C28="有楽御簾切",C17="元素スキル"),C28*6+18)*IF(OR(C16="岩",D16="岩",E16="岩",F16="岩"),2,1),0)</f>
        <v>0</v>
      </c>
      <c r="R63" s="4">
        <f>IF(C28="碧楽の瓏",(C29*0.0002+0.0001)*C19,0)</f>
        <v>0</v>
      </c>
      <c r="S63" s="7" t="s">
        <v>77</v>
      </c>
      <c r="T63">
        <f>IF(T60=C16,25,0)</f>
        <v>0</v>
      </c>
      <c r="V63" s="4"/>
      <c r="W63" s="52" cm="1">
        <f t="array" ref="W63">_xlfn.IFS(C14="アルレッキーノ", A76, C14="リネ", A81, C14="ディシア", A86, C14="宵宮", A91, C14="胡桃", A96, C14="クレー", A101, C14="ディルック", A106, C14="嘉明", A111, C14="シュヴルーズ", A116, C14="トーマ", A121, C14="煙緋", A126, C14="辛炎", A131, C14="ベネット", A136, C14="香菱", A141, C14="アンバー", A146, C14="ムアラニ", A151, C14="シグウィン", A156, C14="フリーナ", A161, C14="ヌヴィレット", A166, C14="ニィロウ", A171, C14="夜蘭", A176, C14="神里綾人", A181, C14="珊瑚宮心海", A186, C14="タルタリヤ", A191, C14="モナ", A196, C14="キャンディス", A201, C14="行秋", A206, C14="バーバラ", A211, C14="リオセスリ", A216, C14="申鶴", A221, C14="アーロイ", A226, C14="神里綾華", A231, C14="エウルア", A236, C14="甘雨", A241, C14="七七", A246, C14="シャルロット", A251, C14="フレミネ", A256, C14="ミカ", A261, C14="レイラ", A266, C14="ロサリア", A271, C14="ディオナ", A276, C14="重雲", A281, C14="ガイア", A286, C14="クロリンデ", A291, C14="セノ", A296, C14="八重神子", A301, C14="雷電将軍", A306, C14="刻晴", A311, C14="セトス", A316, C14="ドリー", A321, C14="久岐忍", A326, C14="九条裟羅", A331, C14="フィッシュル", A336, C14="北斗", A341, C14="レザー", A346, C14="リサ", A351, C14="閑雲", A356, C14="放浪者", A361, C14="楓原万葉", A366, C14="魈", A371, C14="ウェンティ", A376, C14="ジン", A381, C14="リネット", A386, C14="ファルザン", A391, C14="鹿野院平蔵", A396, C14="早柚", A401, C14="スクロース", A406, C14="凝光", A411, C14="シロネン", A416, C14="千織", A421, C14="ナヴィア", A426, C14="荒瀧一斗", A431, C14="アルベド", A436, C14="鍾離", A441, C14="カチーナ", A446, C14="雲菫", A451, C14="ゴロー", A456, C14="ノエル", A461, C14="ナヒーダ", A466, C14="ティナリ", A471, C14="綺良々", A476, C14="カーヴェ", A481, C14="ヨォーヨ", A486, C14="コレイ", A491, C14="キィニチ", A496, C14="エミリエ", A501, C14="白朮", A506, C14="アルハイゼン", A511, TRUE, 0)</f>
        <v>765</v>
      </c>
    </row>
    <row r="64" spans="2:23" x14ac:dyDescent="0.2">
      <c r="M64" s="7">
        <f>IF(C28="護摩の杖",(C29*0.004+0.012)*C19,0)</f>
        <v>0</v>
      </c>
      <c r="N64">
        <f>IF(AND(C28="不滅の月華",C17="通常攻撃"),(C29*0.005+0.005)*C19,0)</f>
        <v>0</v>
      </c>
      <c r="O64">
        <f>IF(C28="裁断",C29*5+20,0)</f>
        <v>0</v>
      </c>
      <c r="P64">
        <f>IF(C28="久遠流転の大典",C29*4+12,0)</f>
        <v>0</v>
      </c>
      <c r="Q64">
        <f>IF(AND(C14="クロリンデ",C28="赦罪"),C28*12+36,0)</f>
        <v>0</v>
      </c>
      <c r="R64" s="4">
        <f>IF(AND(C28="久遠流転の大典",C17="重撃"),C29*12+30,0)</f>
        <v>0</v>
      </c>
      <c r="S64" s="7"/>
      <c r="V64" s="4">
        <f>IF(V60="プル・ラ・ジャスティス",30,0)</f>
        <v>0</v>
      </c>
      <c r="W64" s="11" cm="1">
        <f t="array" ref="W64">_xlfn.IFS(C14="アルレッキーノ", A77, C14="リネ", A82, C14="ディシア", A87, C14="宵宮", A92, C14="胡桃", A97, C14="クレー", A102, C14="ディルック", A107, C14="嘉明", A112, C14="シュヴルーズ", A117, C14="トーマ", A122, C14="煙緋", A127, C14="辛炎", A132, C14="ベネット", A137, C14="香菱", A142, C14="アンバー", A147, C14="ムアラニ", A152, C14="シグウィン", A157, C14="フリーナ", A162, C14="ヌヴィレット", A167, C14="ニィロウ", A172, C14="夜蘭", A177, C14="神里綾人", A182, C14="珊瑚宮心海", A187, C14="タルタリヤ", A192, C14="モナ", A197, C14="キャンディス", A202, C14="行秋", A207, C14="バーバラ", A212, C14="リオセスリ", A217, C14="申鶴", A222, C14="アーロイ", A227, C14="神里綾華", A232, C14="エウルア", A237, C14="甘雨", A242, C14="七七", A247, C14="シャルロット", A252, C14="フレミネ", A257, C14="ミカ", A262, C14="レイラ", A267, C14="ロサリア", A272, C14="ディオナ", A277, C14="重雲", A282, C14="ガイア", A287, C14="クロリンデ", A292, C14="セノ", A297, C14="八重神子", A302, C14="雷電将軍", A307, C14="刻晴", A312, C14="セトス", A317, C14="ドリー", A322, C14="久岐忍", A327, C14="九条裟羅", A332, C14="フィッシュル", A337, C14="北斗", A342, C14="レザー", A347, C14="リサ", A352, C14="閑雲", A357, C14="放浪者", A362, C14="楓原万葉", A367, C14="魈", A372, C14="ウェンティ", A377, C14="ジン", A382, C14="リネット", A387, C14="ファルザン", A392, C14="鹿野院平蔵", A397, C14="早柚", A402, C14="スクロース", A407, C14="凝光", A412, C14="シロネン", A417, C14="千織", A422, C14="ナヴィア", A427, C14="荒瀧一斗", A432, C14="アルベド", A437, C14="鍾離", A442, C14="カチーナ", A447, C14="雲菫", A452, C14="ゴロー", A457, C14="ノエル", A462, C14="ナヒーダ", A467, C14="ティナリ", A472, C14="綺良々", A477, C14="カーヴェ", A482, C14="ヨォーヨ", A487, C14="コレイ", A492, C14="キィニチ", A497, C14="エミリエ", A502, C14="白朮", A507, C14="アルハイゼン", A512, TRUE, 0)</f>
        <v>342</v>
      </c>
    </row>
    <row r="65" spans="1:25" x14ac:dyDescent="0.2">
      <c r="M65" s="7">
        <f>IF(C28="草薙の稲光",(C29*0.07+0.21)*C25,0)</f>
        <v>0</v>
      </c>
      <c r="N65">
        <f>IF(AND(C28="狩人の道",C17="重撃"),(C29*0.4+1.2)*C22,0)</f>
        <v>0</v>
      </c>
      <c r="O65">
        <f>IF(C28="和璞鳶",C29*4.9+14.7,0)</f>
        <v>0</v>
      </c>
      <c r="P65">
        <f>IF(C28="サーフィンタイム",C29*5+15,0)</f>
        <v>0</v>
      </c>
      <c r="Q65">
        <f>IF(C28="岩峰を巡る歌",C29*5+15,0)</f>
        <v>0</v>
      </c>
      <c r="R65" cm="1">
        <f t="array" ref="R65">_xlfn.IFS(AND(C28="凛流の監視者",C17="通常攻撃"),C29*12+36,AND(C28="凛流の監視者",C17="重撃"),C29*10.5+31.5,TRUE,0)</f>
        <v>0</v>
      </c>
      <c r="S65" s="6" t="s">
        <v>90</v>
      </c>
      <c r="T65" s="1"/>
      <c r="U65" s="1"/>
      <c r="V65" s="3"/>
      <c r="W65" s="6" t="s">
        <v>66</v>
      </c>
      <c r="X65" s="1">
        <f>COUNTIF(C16:F16,W65)</f>
        <v>2</v>
      </c>
      <c r="Y65" s="3">
        <f>IF(X65=2,0.25,0)</f>
        <v>0.25</v>
      </c>
    </row>
    <row r="66" spans="1:25" x14ac:dyDescent="0.2">
      <c r="M66" s="7">
        <f>IF(C28="赤砂の杖",(C29*0.34+1.02)*C22,0)</f>
        <v>0</v>
      </c>
      <c r="N66" t="s">
        <v>6</v>
      </c>
      <c r="O66">
        <f>IF(C28="破天の槍",C29*10+30,0)</f>
        <v>0</v>
      </c>
      <c r="P66">
        <f>IF(C28="若水",C29*4+12,0)</f>
        <v>0</v>
      </c>
      <c r="Q66">
        <f>IF(C28="天空の傲",C29*2+6,0)</f>
        <v>0</v>
      </c>
      <c r="R66">
        <f>IF(C28="サーフィンタイム",C29*12+36,0)</f>
        <v>0</v>
      </c>
      <c r="S66" s="7" t="s">
        <v>37</v>
      </c>
      <c r="T66" t="s">
        <v>38</v>
      </c>
      <c r="U66" t="s">
        <v>36</v>
      </c>
      <c r="V66" s="4" t="s">
        <v>34</v>
      </c>
      <c r="W66" s="7" t="s">
        <v>92</v>
      </c>
      <c r="X66">
        <f>COUNTIF(C16:F16,W66)</f>
        <v>1</v>
      </c>
      <c r="Y66" s="4">
        <f>IF(X66=2,0.25,0)</f>
        <v>0</v>
      </c>
    </row>
    <row r="67" spans="1:25" x14ac:dyDescent="0.2">
      <c r="M67" s="7" t="s">
        <v>35</v>
      </c>
      <c r="N67">
        <f>IF(C28="千夜に浮かぶ夢",(C29*8+24)*COUNTIF(C16:F16,C16)-C29*(-2)-38,0)</f>
        <v>0</v>
      </c>
      <c r="O67">
        <f>IF(C28="息災",C29*4.8+14.4,0)</f>
        <v>0</v>
      </c>
      <c r="P67">
        <f>IF(C28="白雨心弦",C29*3+9,0)</f>
        <v>0</v>
      </c>
      <c r="Q67">
        <f>IF(AND(C28="裁断",OR(C16="岩",D16="岩",E16="岩",F16="岩"),C17="元素スキル"),C29*9+27,0)</f>
        <v>0</v>
      </c>
      <c r="R67">
        <f>IF(AND(C28="アモスの弓",OR(C17="通常攻撃",C17="重撃")),C29*13+39,0)</f>
        <v>0</v>
      </c>
      <c r="S67" s="7" cm="1">
        <f t="array" ref="S67">_xlfn.IFS(OR(C28="磐岩結緑",C28="赤砂の杖",C28="狩人の道"),44.2,OR(C28="波乱月白経津",C28="葦海の標",C28="四風原典",C28="冬極の白星",C28="ルミドゥースの挽歌"),33.1,OR(C28="和璞鳶",C28="赤月のシルエット",C28="裁断",C28="凛流の監視者",C28="天空の翼"),22.1,C28="山の王の長牙",11,TRUE,0)</f>
        <v>0</v>
      </c>
      <c r="T67" cm="1">
        <f t="array" ref="T67">_xlfn.IFS(OR(C28="赤角石塵滅砕",C28="萃光の裁葉",C28="有楽御簾切",C28="静水流転の輝き",C28="久遠流転の大典",C28="サーフィンタイム",C28="若水"),88.2,OR(C28="護摩の杖",C28="飛雷の鳴弦",C28="神楽の真意",C28="始まりの大魔術"),66.2,OR(C28="霧切の廻光",C28="赦罪",C28="トゥライトゥーラの記憶"),44.1,TRUE,0)</f>
        <v>88.2</v>
      </c>
      <c r="U67" cm="1">
        <f t="array" ref="U67">_xlfn.IFS(OR(C28="斬山の刃",C28="破天の槍",C28="浮世の錠",C28="無工の剣",C28="狼の末路",C28="アモスの弓"),49.6,C28="天空の巻",33.1,OR(C28="息災",C28="鶴鳴の余韻"),16.5,TRUE,0)/100</f>
        <v>0</v>
      </c>
      <c r="V67" s="4" cm="1">
        <f t="array" ref="V67">_xlfn.IFS(OR(C28="聖顕の鍵",C28="白雨心弦"),66.2,OR(C28="不滅の月華",C28="碧楽の瓏"),49.6,TRUE,0)/100</f>
        <v>0</v>
      </c>
      <c r="W67" s="7" t="s">
        <v>94</v>
      </c>
      <c r="X67">
        <f>COUNTIF(C16:F16,W67)</f>
        <v>0</v>
      </c>
      <c r="Y67" s="4">
        <f>IF(X67=2,100,0)</f>
        <v>0</v>
      </c>
    </row>
    <row r="68" spans="1:25" x14ac:dyDescent="0.2">
      <c r="M68" s="7">
        <f>IF(C28="有楽御簾切",C29*5+15,0)</f>
        <v>0</v>
      </c>
      <c r="N68">
        <f>IF(C28="終焉を嘆く歌",C29*15+45,0)</f>
        <v>0</v>
      </c>
      <c r="O68">
        <f>IF(C28="ルミドゥースの挽歌",C29*4+11,0)</f>
        <v>0</v>
      </c>
      <c r="P68">
        <f>IF(AND(C28="白雨心弦",OR(C14="ディオナ",C14="シグウィン")),C29*3+9,0)</f>
        <v>0</v>
      </c>
      <c r="Q68">
        <f>IF(C28="山の王の長牙",C29*15+45,0)</f>
        <v>0</v>
      </c>
      <c r="R68">
        <f>IF(AND(C28="飛雷の鳴弦",C17="通常攻撃"),C29*10+30,0)</f>
        <v>0</v>
      </c>
      <c r="S68" s="7" t="s">
        <v>96</v>
      </c>
      <c r="T68" t="s">
        <v>35</v>
      </c>
      <c r="U68" t="s">
        <v>6</v>
      </c>
      <c r="V68" s="4" t="s">
        <v>97</v>
      </c>
      <c r="W68" s="7" t="s">
        <v>98</v>
      </c>
      <c r="X68">
        <f>COUNTIF(C16:F16,W68)</f>
        <v>0</v>
      </c>
      <c r="Y68" s="4">
        <f>IF(X68=2,15,0)</f>
        <v>0</v>
      </c>
    </row>
    <row r="69" spans="1:25" x14ac:dyDescent="0.2">
      <c r="M69" s="7">
        <f>IF(C28="岩峰を巡る歌",C29*4+12,0)</f>
        <v>0</v>
      </c>
      <c r="N69">
        <f>IFERROR(IF(C28="聖顕の鍵",C29*0.09+0.27,0)*C19,0)/100</f>
        <v>0</v>
      </c>
      <c r="O69">
        <f>IF(C28="浮世の錠",C29*10+30,0)</f>
        <v>0</v>
      </c>
      <c r="P69">
        <f>IF(AND(C28="白雨心弦",C14="シグウィン"),C29*4+12,0)</f>
        <v>0</v>
      </c>
      <c r="Q69">
        <f>IF(C28="和璞鳶",C29*3+9,0)</f>
        <v>0</v>
      </c>
      <c r="R69">
        <f>IF(AND(C28="冬極の白星",OR(C17="元素スキル",C17="元素爆発")),C29*3+9,0)</f>
        <v>0</v>
      </c>
      <c r="S69" s="8">
        <f>IF(OR(C28="草薙の稲光",C28="天空の刃",C28="天空の脊",C28="終焉を嘆く詩"),55.1,0)</f>
        <v>0</v>
      </c>
      <c r="T69" s="2">
        <f>IF(C28="岩峰を巡る歌",82.7,0)/100</f>
        <v>0</v>
      </c>
      <c r="U69" s="2" cm="1">
        <f t="array" ref="U69">_xlfn.IFS(C28="千夜に浮かぶ夢",265,C28="蒼古なる自由への誓い",198,TRUE,0)</f>
        <v>0</v>
      </c>
      <c r="V69" s="4" cm="1">
        <f t="array" ref="V69">_xlfn.IFS(C28="風鷹剣",41.3,C28="松韻の響く頃",20.7,TRUE,0)</f>
        <v>0</v>
      </c>
      <c r="W69" s="8"/>
      <c r="X69" s="2"/>
      <c r="Y69" s="5">
        <f>IF(AND(X68=2,C16="岩"),-20,0)</f>
        <v>0</v>
      </c>
    </row>
    <row r="70" spans="1:25" x14ac:dyDescent="0.2">
      <c r="M70" s="7">
        <f>IF(C28="赤角石塵滅砕",C29*7+21,0)</f>
        <v>0</v>
      </c>
      <c r="N70" t="s">
        <v>40</v>
      </c>
      <c r="O70">
        <f>IF(C28="凛流の監視者",C29*4+12,0)</f>
        <v>0</v>
      </c>
      <c r="Q70">
        <f>IF(C28="息災",C29*3+9,0)</f>
        <v>0</v>
      </c>
      <c r="R70" s="4">
        <f>IF(C28="若水",C29*5+15,0)</f>
        <v>0</v>
      </c>
      <c r="S70" s="7" t="s">
        <v>101</v>
      </c>
      <c r="V70" s="6" t="s">
        <v>77</v>
      </c>
      <c r="W70" s="1"/>
      <c r="X70" s="1" t="s">
        <v>36</v>
      </c>
      <c r="Y70" s="3" t="s">
        <v>102</v>
      </c>
    </row>
    <row r="71" spans="1:25" x14ac:dyDescent="0.2">
      <c r="M71" s="7" t="s">
        <v>96</v>
      </c>
      <c r="N71">
        <f>IF(C28="不滅の月華",C29*2.5+7.5,0)</f>
        <v>0</v>
      </c>
      <c r="O71">
        <f>IF(C28="飛雷の鳴弦",C29*5+15,0)</f>
        <v>0</v>
      </c>
      <c r="Q71">
        <f>IF(C28="赤月のシルエット",C29*12+24,0)</f>
        <v>0</v>
      </c>
      <c r="R71" s="4">
        <f>IF(C28="狩人の道",C29*3+9,0)</f>
        <v>0</v>
      </c>
      <c r="S71" s="7" t="s">
        <v>104</v>
      </c>
      <c r="V71" s="7" t="s">
        <v>105</v>
      </c>
      <c r="X71" t="s">
        <v>106</v>
      </c>
      <c r="Y71" s="4" t="s">
        <v>107</v>
      </c>
    </row>
    <row r="72" spans="1:25" x14ac:dyDescent="0.2">
      <c r="M72" s="8">
        <f>IF(C28="草薙の稲光",C29*5+25,0)</f>
        <v>0</v>
      </c>
      <c r="N72" s="2"/>
      <c r="O72" s="2">
        <f>IF(C28="始まりの大魔術",(C29*4+12)*COUNTIF(C16:F16,C16),0)</f>
        <v>0</v>
      </c>
      <c r="P72" s="2"/>
      <c r="Q72" s="2">
        <f>IF(C28="ルミドゥースの挽歌",C29*5+13,0)</f>
        <v>0</v>
      </c>
      <c r="R72" s="5">
        <f>IF(AND(C28="始まりの大魔術",C17="重撃"),C29*4+12,0)</f>
        <v>0</v>
      </c>
      <c r="S72" s="7" t="s">
        <v>77</v>
      </c>
      <c r="T72" t="s">
        <v>36</v>
      </c>
      <c r="U72" t="s">
        <v>34</v>
      </c>
      <c r="V72" s="7">
        <f>IF(OR(C30="雷を鎮める尊者4",C30="烈火を渡る賢者4"),35,0)</f>
        <v>0</v>
      </c>
      <c r="W72">
        <f>IF(AND(OR(C30="氷風を纏う勇士4"),C16="氷"),15,0)</f>
        <v>0</v>
      </c>
      <c r="X72">
        <f>IF(C30="蒼白の炎4",18,0)</f>
        <v>0</v>
      </c>
      <c r="Y72" s="4">
        <f>IF(C30="華館夢醒形骸記4",24,0)</f>
        <v>0</v>
      </c>
    </row>
    <row r="73" spans="1:25" x14ac:dyDescent="0.2">
      <c r="C73" t="s">
        <v>109</v>
      </c>
      <c r="D73" t="s">
        <v>110</v>
      </c>
      <c r="E73" t="s">
        <v>111</v>
      </c>
      <c r="F73" t="s">
        <v>112</v>
      </c>
      <c r="G73" t="s">
        <v>113</v>
      </c>
      <c r="H73" t="s">
        <v>114</v>
      </c>
      <c r="I73" t="s">
        <v>115</v>
      </c>
      <c r="J73">
        <v>90</v>
      </c>
      <c r="M73" s="6" t="s">
        <v>116</v>
      </c>
      <c r="N73" s="1"/>
      <c r="O73" s="1"/>
      <c r="P73" s="1"/>
      <c r="Q73" s="1"/>
      <c r="R73" s="3"/>
      <c r="S73" s="7" t="s">
        <v>117</v>
      </c>
      <c r="T73" t="s">
        <v>118</v>
      </c>
      <c r="U73" t="s">
        <v>119</v>
      </c>
      <c r="V73" s="7">
        <f>IF(AND(C30="剣闘士のフィナーレ4",C17="通常攻撃"),35,0)</f>
        <v>0</v>
      </c>
      <c r="W73">
        <f>IF(AND(OR(C30="翠緑の影4"),C16="風"),15,0)</f>
        <v>0</v>
      </c>
      <c r="X73">
        <f>IF(C30="辰砂往生録4",48,0)</f>
        <v>0</v>
      </c>
      <c r="Y73" s="4">
        <f>IF(C30="華館夢醒形骸記4",30,0)</f>
        <v>0</v>
      </c>
    </row>
    <row r="74" spans="1:25" x14ac:dyDescent="0.2">
      <c r="B74" t="s">
        <v>24</v>
      </c>
      <c r="M74" s="7" t="s">
        <v>77</v>
      </c>
      <c r="N74" t="s">
        <v>121</v>
      </c>
      <c r="O74" t="s">
        <v>122</v>
      </c>
      <c r="P74" t="s">
        <v>19</v>
      </c>
      <c r="Q74" t="s">
        <v>123</v>
      </c>
      <c r="R74" s="4"/>
      <c r="S74" s="7">
        <f>IF(AND(OR(C30="氷風を纏う勇士2",C31="氷風を纏う勇士2"),C16="氷"),15,0)</f>
        <v>0</v>
      </c>
      <c r="T74">
        <f>IF(OR(C30="剣闘士のフィナーレ2",C31="剣闘士のフィナーレ2"),18,0)</f>
        <v>0</v>
      </c>
      <c r="U74">
        <f>IF(OR(C30="千岩牢固2",C31="千岩牢固2"),20,0)</f>
        <v>0</v>
      </c>
      <c r="V74" s="7">
        <f>IF(AND(C30="大地を流浪する楽団4",C17="重撃"),35,0)</f>
        <v>0</v>
      </c>
      <c r="W74">
        <f>IF(AND(OR(C30="砂上の楼閣の史話4"),C16="風"),15,0)</f>
        <v>0</v>
      </c>
      <c r="X74">
        <f>IF(C28="金メッキの夢4",14*COUNTIF(C16:F16,C16),0)</f>
        <v>0</v>
      </c>
      <c r="Y74" s="4" t="s">
        <v>19</v>
      </c>
    </row>
    <row r="75" spans="1:25" ht="15" x14ac:dyDescent="0.2">
      <c r="A75" cm="1">
        <f t="array" ref="A75">_xlfn.IFS(AND(C15&gt;=1,C15&lt;20),C75,AND(C15&gt;=20,C15&lt;40),D75,AND(C15&gt;=40,C15&lt;50),E75,AND(C15&gt;=50,C15&lt;60),F75,AND(C15&gt;=60,C15&lt;70),G75,AND(C15&gt;=70,C15&lt;80),H75,AND(C15&gt;=80,C15&lt;90),I75,C15=90,J75)</f>
        <v>13403</v>
      </c>
      <c r="B75" s="15" t="s">
        <v>125</v>
      </c>
      <c r="C75" s="16">
        <v>1020</v>
      </c>
      <c r="D75" s="17">
        <v>3521</v>
      </c>
      <c r="E75" s="17">
        <v>5889</v>
      </c>
      <c r="F75" s="17">
        <v>7604</v>
      </c>
      <c r="G75" s="17">
        <v>9121</v>
      </c>
      <c r="H75" s="17">
        <v>10647</v>
      </c>
      <c r="I75" s="18">
        <v>12182</v>
      </c>
      <c r="J75" s="19">
        <v>13403</v>
      </c>
      <c r="M75" s="7" cm="1">
        <f t="array" ref="M75">_xlfn.IFS(OR(D30="悠久の磐岩",E30="悠久の磐岩",F30="悠久の磐岩"),35,TRUE,0)</f>
        <v>0</v>
      </c>
      <c r="N75">
        <f>IFERROR(IF(C16="草",N76,0)+IF(AND(OR(C16="炎",C16="水",C16="氷",C16="雷"),INDEX(B16:F16,MATCH("翠緑の影4",B30:F30,0))="風"),-40,0),0)</f>
        <v>0</v>
      </c>
      <c r="O75" cm="1">
        <f t="array" ref="O75">_xlfn.IFS(OR(D30="旧貴族のしつけ4",E30="旧貴族のしつけ4",F30="旧貴族のしつけ4"),0.2,TRUE,0)</f>
        <v>0.2</v>
      </c>
      <c r="P75" cm="1">
        <f t="array" ref="P75">_xlfn.IFS(OR(D30="在りし日の歌",E30="在りし日の歌",F30="在りし日の歌"),1200,TRUE,0)</f>
        <v>0</v>
      </c>
      <c r="Q75" cm="1">
        <f t="array" ref="Q75">_xlfn.IFS(OR(D30="教官4",E30="教官4",F30="教官4"),120,TRUE,0)</f>
        <v>0</v>
      </c>
      <c r="R75" s="4"/>
      <c r="S75" s="7">
        <f>IF(AND(OR(C30="翠緑の影2",C31="翠緑の影2"),C16="風"),15,0)</f>
        <v>0</v>
      </c>
      <c r="T75">
        <f>IF(OR(C30="遂げられなかった想い2",C31="遂げられなかった想い2"),18,0)</f>
        <v>0</v>
      </c>
      <c r="U75">
        <f>IF(OR(C30="花海甘露の光2",C31="花海甘露の光2"),20,0)</f>
        <v>0</v>
      </c>
      <c r="V75" s="7">
        <f>IF(AND(C30="血染めの騎士道4",C17="重撃"),50,0)</f>
        <v>0</v>
      </c>
      <c r="W75">
        <f>IF(AND(OR(C30="燃え盛る火の魔女4"),C16="炎"),15,0)</f>
        <v>0</v>
      </c>
      <c r="X75">
        <f>IF(C30="水仙の夢4",25,0)</f>
        <v>0</v>
      </c>
      <c r="Y75" s="4" t="s">
        <v>126</v>
      </c>
    </row>
    <row r="76" spans="1:25" ht="15" x14ac:dyDescent="0.2">
      <c r="A76" cm="1">
        <f t="array" ref="A76">_xlfn.IFS(AND(C15&gt;=1,C15&lt;20),C76,AND(C15&gt;=20,C15&lt;40),D76,AND(C15&gt;=40,C15&lt;50),E76,AND(C15&gt;=50,C15&lt;60),F76,AND(C15&gt;=60,C15&lt;70),G76,AND(C15&gt;=70,C15&lt;80),H76,AND(C15&gt;=80,C15&lt;90),I76,C15=90,J76)</f>
        <v>765</v>
      </c>
      <c r="B76" s="15" t="s">
        <v>128</v>
      </c>
      <c r="C76" s="19">
        <v>60</v>
      </c>
      <c r="D76" s="18">
        <v>205</v>
      </c>
      <c r="E76" s="18">
        <v>344</v>
      </c>
      <c r="F76" s="18">
        <v>444</v>
      </c>
      <c r="G76" s="18">
        <v>532</v>
      </c>
      <c r="H76" s="18">
        <v>621</v>
      </c>
      <c r="I76" s="18">
        <v>711</v>
      </c>
      <c r="J76" s="19">
        <v>765</v>
      </c>
      <c r="M76" s="7" cm="1">
        <f t="array" ref="M76">_xlfn.IFS(OR(D30="悠久の磐岩",E30="悠久の磐岩",F30="悠久の磐岩"),12,TRUE,0)</f>
        <v>0</v>
      </c>
      <c r="N76" cm="1">
        <f t="array" ref="N76">_xlfn.IFS(OR(C30="深林の記憶4",D30="深林の記憶4",E30="深林の記憶4",F30="深林の記憶4"),-30,TRUE,0)</f>
        <v>0</v>
      </c>
      <c r="O76" cm="1">
        <f t="array" ref="O76">_xlfn.IFS(OR(D30="千岩牢固4",E30="千岩牢固4",F30="千岩牢固4"),0.2,TRUE,0)</f>
        <v>0.2</v>
      </c>
      <c r="R76" s="4"/>
      <c r="S76" s="7">
        <f>IF(AND(OR(C30="砂上の楼閣の史話2",C31="砂上の楼閣の史話2"),C16="風"),15,0)</f>
        <v>0</v>
      </c>
      <c r="T76">
        <f>IF(OR(C30="追憶のしめ縄2",C31="追憶のしめ縄2"),18,0)</f>
        <v>0</v>
      </c>
      <c r="U76" t="s">
        <v>6</v>
      </c>
      <c r="V76" s="7">
        <f>IF(AND(C30="逆飛びの流星4",OR(C17="通常攻撃",C17="重撃")),40,0)</f>
        <v>0</v>
      </c>
      <c r="W76">
        <f>IF(AND(OR(C30="旧貴族のしつけ4"),C17="元素爆発"),20,0)</f>
        <v>0</v>
      </c>
      <c r="X76">
        <f>IF(C30="剣闘士のフィナーレ4",18,0)</f>
        <v>0</v>
      </c>
      <c r="Y76" s="4">
        <f>IF(AND(C30="来歆の余興",C17="通常攻撃"),0.7*C21,0)</f>
        <v>0</v>
      </c>
    </row>
    <row r="77" spans="1:25" ht="15" x14ac:dyDescent="0.2">
      <c r="A77" cm="1">
        <f t="array" ref="A77">_xlfn.IFS(AND(C15&gt;=1,C15&lt;20),C77,AND(C15&gt;=20,C15&lt;40),D77,AND(C15&gt;=40,C15&lt;50),E77,AND(C15&gt;=50,C15&lt;60),F77,AND(C15&gt;=60,C15&lt;70),G77,AND(C15&gt;=70,C15&lt;80),H77,AND(C15&gt;=80,C15&lt;90),I77,C15=90,J77)</f>
        <v>342</v>
      </c>
      <c r="B77" s="15" t="s">
        <v>130</v>
      </c>
      <c r="C77" s="19">
        <v>26</v>
      </c>
      <c r="D77" s="18">
        <v>92</v>
      </c>
      <c r="E77" s="18">
        <v>153</v>
      </c>
      <c r="F77" s="18">
        <v>198</v>
      </c>
      <c r="G77" s="18">
        <v>238</v>
      </c>
      <c r="H77" s="18">
        <v>278</v>
      </c>
      <c r="I77" s="18">
        <v>348</v>
      </c>
      <c r="J77" s="19">
        <v>342</v>
      </c>
      <c r="M77" s="7">
        <f>IFERROR(IF(OR(D30="灰燼の都に立つ英雄の絵巻",E30="灰燼の都に立つ英雄の絵巻",F30="灰燼の都に立つ英雄の絵巻"),12,0),0)+IFERROR(IF(AND(OR(D30="灰燼の都に立つ英雄の絵巻",E30="灰燼の都に立つ英雄の絵巻",F30="灰燼の都に立つ英雄の絵巻"),OR(INDEX(B14:F14,MATCH("灰燼の都に立つ英雄の絵巻",B30:F30,0))="ムアラニ",INDEX(B14:F14,MATCH("灰燼の都に立つ英雄の絵巻",B30:F30,0))="カチーナ",INDEX(B14:F14,MATCH("灰燼の都に立つ英雄の絵巻",B30:F30,0))="キィニチ",INDEX(B14:F14,MATCH("灰燼の都に立つ英雄の絵巻",B30:F30,0))="シロネン")),28,0),0)</f>
        <v>0</v>
      </c>
      <c r="R77" s="4"/>
      <c r="S77" s="7">
        <f>IF(AND(OR(C30="燃え盛る火の魔女2",C31="燃え盛る火の魔女2"),C16="炎"),15,0)</f>
        <v>0</v>
      </c>
      <c r="T77">
        <f>IF(OR(C30="残響の森で囁かれる夜話2",C31="残響の森で囁かれる夜話2"),18,0)</f>
        <v>0</v>
      </c>
      <c r="U77" t="s">
        <v>131</v>
      </c>
      <c r="V77" s="7">
        <f>IF(AND(C30="沈淪の心4",OR(C17="通常攻撃",C17="重撃")),30,0)</f>
        <v>0</v>
      </c>
      <c r="W77">
        <f>IF(AND(OR(C30="血染めの騎士道4"),G17="物理"),25,0)</f>
        <v>0</v>
      </c>
      <c r="X77">
        <f>IF(C30="追憶のしめ縄4",18,0)</f>
        <v>0</v>
      </c>
      <c r="Y77" s="4" t="s">
        <v>37</v>
      </c>
    </row>
    <row r="78" spans="1:25" ht="15" x14ac:dyDescent="0.2">
      <c r="A78" cm="1">
        <f t="array" ref="A78">_xlfn.IFS(AND(C15&gt;=1,C15&lt;20),C78,AND(C15&gt;=20,C15&lt;40),D78,AND(C15&gt;=40,C15&lt;50),E78,AND(C15&gt;=50,C15&lt;60),F78,AND(C15&gt;=60,C15&lt;70),G78,AND(C15&gt;=70,C15&lt;80),H78,AND(C15&gt;=80,C15&lt;90),I78,C15=90,J78)</f>
        <v>0.38400000000000001</v>
      </c>
      <c r="B78" s="15" t="s">
        <v>38</v>
      </c>
      <c r="C78" s="20" t="s">
        <v>132</v>
      </c>
      <c r="D78" s="21" t="s">
        <v>132</v>
      </c>
      <c r="E78" s="22">
        <v>9.6000000000000002E-2</v>
      </c>
      <c r="F78" s="22">
        <v>0.192</v>
      </c>
      <c r="G78" s="22">
        <v>0.192</v>
      </c>
      <c r="H78" s="22">
        <v>0.28799999999999998</v>
      </c>
      <c r="I78" s="22">
        <v>0.38400000000000001</v>
      </c>
      <c r="J78" s="23">
        <v>0.38400000000000001</v>
      </c>
      <c r="M78" s="7"/>
      <c r="R78" s="4"/>
      <c r="S78" s="7">
        <f>IF(AND(OR(C30="旧貴族のしつけ2",C31="旧貴族のしつけ2"),C17="元素爆発"),20,0)</f>
        <v>0</v>
      </c>
      <c r="T78">
        <f>IF(OR(C30="来歆の余興2",C31="来歆の余興2"),18,0)</f>
        <v>0</v>
      </c>
      <c r="U78">
        <f>IF(OR(C30="大地を流浪する楽団2",C31="大地を流浪する楽団2"),80,0)</f>
        <v>0</v>
      </c>
      <c r="V78" s="7">
        <f>IF(AND(C30="蒼白の炎4",G17="物理"),25,0)</f>
        <v>0</v>
      </c>
      <c r="W78">
        <f>IF(AND(OR(C30="蒼白の炎4"),G17="物理"),25,0)</f>
        <v>0</v>
      </c>
      <c r="X78">
        <f>IF(C30="辰砂往生録4",18,0)</f>
        <v>0</v>
      </c>
      <c r="Y78" s="4">
        <f>IF(C30="氷風を纏う勇士4",40,0)</f>
        <v>0</v>
      </c>
    </row>
    <row r="79" spans="1:25" x14ac:dyDescent="0.2">
      <c r="B79" t="s">
        <v>134</v>
      </c>
      <c r="M79" s="7"/>
      <c r="R79" s="4"/>
      <c r="S79" s="7">
        <f>IF(AND(OR(C30="血染めの騎士道2",C31="血染めの騎士道2"),G17="物理"),25,0)</f>
        <v>0</v>
      </c>
      <c r="T79">
        <f>IF(OR(C30="辰砂往生録2",C31="辰砂往生録2"),18,0)</f>
        <v>0</v>
      </c>
      <c r="U79">
        <f>IF(OR(C30="金メッキの夢2",C31="金メッキの夢2"),80,0)</f>
        <v>0</v>
      </c>
      <c r="V79" s="7">
        <f>IF(AND(C17="追憶のしめ縄4",OR(C17="通常攻撃",C17="重撃",C17="落下攻撃")),50,0)</f>
        <v>0</v>
      </c>
      <c r="W79">
        <f>IF(AND(OR(C30="悠久の磐岩4"),C16="岩"),15,0)</f>
        <v>0</v>
      </c>
      <c r="X79">
        <f>IF(C30="来歆の余興4",18,0)</f>
        <v>0</v>
      </c>
      <c r="Y79" s="4">
        <f>IF(C30="ファントムハンター4",36,0)</f>
        <v>0</v>
      </c>
    </row>
    <row r="80" spans="1:25" x14ac:dyDescent="0.15">
      <c r="A80" cm="1">
        <f t="array" ref="A80">_xlfn.IFS(AND(C15&gt;=1,C15&lt;20),C80,AND(C15&gt;=20,C15&lt;40),D80,AND(C15&gt;=40,C15&lt;50),E80,AND(C15&gt;=50,C15&lt;60),F80,AND(C15&gt;=60,C15&lt;70),G80,AND(C15&gt;=70,C15&lt;80),H80,AND(C15&gt;=80,C15&lt;90),I80,C15=90,J80)</f>
        <v>11021</v>
      </c>
      <c r="B80" s="24" t="s">
        <v>125</v>
      </c>
      <c r="C80" s="25">
        <v>858</v>
      </c>
      <c r="D80" s="27">
        <v>2961</v>
      </c>
      <c r="E80" s="27">
        <v>4954</v>
      </c>
      <c r="F80" s="27">
        <v>6396</v>
      </c>
      <c r="G80" s="27">
        <v>7672</v>
      </c>
      <c r="H80" s="27">
        <v>8955</v>
      </c>
      <c r="I80" s="27">
        <v>10247</v>
      </c>
      <c r="J80" s="26">
        <v>11021</v>
      </c>
      <c r="M80" s="7" t="s">
        <v>136</v>
      </c>
      <c r="R80" s="4"/>
      <c r="S80" s="7">
        <f>IF(AND(OR(C30="蒼白の炎2",C31="蒼白の炎2"),G17="物理"),25,0)</f>
        <v>0</v>
      </c>
      <c r="T80">
        <f>IF(OR(C30="階律奇想の断章2",C31="階律奇想の断章2"),18,0)</f>
        <v>0</v>
      </c>
      <c r="U80">
        <f>IF(OR(C30="楽園の絶花2",C31="楽園の絶花2"),80,0)</f>
        <v>0</v>
      </c>
      <c r="V80" s="7">
        <f>IF(C30="絶縁の旗印4",0.25*C25,0)</f>
        <v>0</v>
      </c>
      <c r="W80">
        <f>IF(AND(OR(C30="沈淪の心4"),C16="水"),15,0)</f>
        <v>0</v>
      </c>
      <c r="X80">
        <f>IF(C30="残響の森で囁かれる夜話4",18,0)</f>
        <v>0</v>
      </c>
      <c r="Y80" s="4">
        <f>IF(C30="黒曜の秘典4",40,0)</f>
        <v>0</v>
      </c>
    </row>
    <row r="81" spans="1:34" x14ac:dyDescent="0.15">
      <c r="A81" cm="1">
        <f t="array" ref="A81">_xlfn.IFS(AND(C15&gt;=1,C15&lt;20),C81,AND(C15&gt;=20,C15&lt;40),D81,AND(C15&gt;=40,C15&lt;50),E81,AND(C15&gt;=50,C15&lt;60),F81,AND(C15&gt;=60,C15&lt;70),G81,AND(C15&gt;=70,C15&lt;80),H81,AND(C15&gt;=80,C15&lt;90),I81,C15=90,J81)</f>
        <v>538</v>
      </c>
      <c r="B81" s="24" t="s">
        <v>128</v>
      </c>
      <c r="C81" s="25">
        <v>42</v>
      </c>
      <c r="D81" s="28">
        <v>145</v>
      </c>
      <c r="E81" s="28">
        <v>242</v>
      </c>
      <c r="F81" s="28">
        <v>342</v>
      </c>
      <c r="G81" s="28">
        <v>375</v>
      </c>
      <c r="H81" s="28">
        <v>437</v>
      </c>
      <c r="I81" s="28">
        <v>500</v>
      </c>
      <c r="J81" s="25">
        <v>538</v>
      </c>
      <c r="M81" s="7" t="s">
        <v>77</v>
      </c>
      <c r="O81" t="s">
        <v>6</v>
      </c>
      <c r="Q81" t="s">
        <v>138</v>
      </c>
      <c r="R81" s="4"/>
      <c r="S81" s="7">
        <f>IF(AND(OR(C30="悠久の磐岩2",C31="悠久の磐岩2"),C16="岩"),15,0)</f>
        <v>0</v>
      </c>
      <c r="T81" t="s">
        <v>40</v>
      </c>
      <c r="U81" t="s">
        <v>96</v>
      </c>
      <c r="V81" s="7">
        <f>IF(AND(C30="華館夢醒形骸記4",C16="岩"),24,0)</f>
        <v>0</v>
      </c>
      <c r="W81">
        <f>IF(AND(OR(C30="水仙の夢4"),C16="水"),15,0)</f>
        <v>0</v>
      </c>
      <c r="X81">
        <f>IF(C30="遂げられなかった想い4",18,0)</f>
        <v>0</v>
      </c>
      <c r="Y81" s="4" t="s">
        <v>34</v>
      </c>
    </row>
    <row r="82" spans="1:34" x14ac:dyDescent="0.15">
      <c r="A82" cm="1">
        <f t="array" ref="A82">_xlfn.IFS(AND(C15&gt;=1,C15&lt;20),C82,AND(C15&gt;=20,C15&lt;40),D82,AND(C15&gt;=40,C15&lt;50),E82,AND(C15&gt;=50,C15&lt;60),F82,AND(C15&gt;=60,C15&lt;70),G82,AND(C15&gt;=70,C15&lt;80),H82,AND(C15&gt;=80,C15&lt;90),I82,C15=90,J82)</f>
        <v>348</v>
      </c>
      <c r="B82" s="24" t="s">
        <v>130</v>
      </c>
      <c r="C82" s="25">
        <v>24</v>
      </c>
      <c r="D82" s="28">
        <v>85</v>
      </c>
      <c r="E82" s="28">
        <v>143</v>
      </c>
      <c r="F82" s="28">
        <v>184</v>
      </c>
      <c r="G82" s="28">
        <v>221</v>
      </c>
      <c r="H82" s="28">
        <v>258</v>
      </c>
      <c r="I82" s="28">
        <v>296</v>
      </c>
      <c r="J82" s="25">
        <v>348</v>
      </c>
      <c r="M82" s="7" t="s">
        <v>139</v>
      </c>
      <c r="N82">
        <f>IF(AND(OR(C28="蒼古なる自由への誓い",D28="蒼古なる自由への誓い",E28="蒼古なる自由への誓い",F28="蒼古なる自由への誓い"),OR(C17="通常攻撃",C17="重撃",C17="落下攻撃")),(INDEX(B29:F29,MATCH("蒼古なる自由への誓い",B28:F28,0)))*4+12,0)</f>
        <v>32</v>
      </c>
      <c r="O82" t="s">
        <v>140</v>
      </c>
      <c r="P82">
        <f>IFERROR(IF(OR(C28="聖顕の鍵",D28="聖顕の鍵",E28="聖顕の鍵",F28="聖顕の鍵"),(INDEX(B29:F29,MATCH("聖顕の鍵",B28:F28,0)))*0.05+0.15,0)*(INDEX(B19:F19,MATCH("聖顕の鍵",B28:F28,0))),0)/100</f>
        <v>240</v>
      </c>
      <c r="Q82" t="s">
        <v>139</v>
      </c>
      <c r="R82" s="4">
        <f>IFERROR(IF(OR(C28="蒼古なる自由への誓い",D28="蒼古なる自由への誓い",E28="蒼古なる自由への誓い",F28="蒼古なる自由への誓い"),(INDEX(B29:F29,MATCH("蒼古なる自由への誓い",B28:F28,0)))*5+15,0),0)</f>
        <v>40</v>
      </c>
      <c r="S82" s="7">
        <f>IF(AND(OR(C30="沈淪の心2",C31="沈淪の心2"),C16="水"),15,0)</f>
        <v>0</v>
      </c>
      <c r="T82">
        <f>IF(OR(C30="愛される少女2",C31="愛される少女2"),15,0)</f>
        <v>0</v>
      </c>
      <c r="U82" t="s">
        <v>141</v>
      </c>
      <c r="V82" s="7">
        <f>IF(AND(C30="砂上の楼閣の史話4",OR(C17="通常攻撃",C17="重撃")),40,0)</f>
        <v>0</v>
      </c>
      <c r="W82">
        <f>IF(AND(OR(C30="深林の記憶4"),C16="草"),15,0)</f>
        <v>0</v>
      </c>
      <c r="X82">
        <f>IF(C30="階律奇想の断章4",18,0)</f>
        <v>18</v>
      </c>
      <c r="Y82" s="4">
        <f>IF(C30="花海甘露の光4",20,0)</f>
        <v>0</v>
      </c>
    </row>
    <row r="83" spans="1:34" x14ac:dyDescent="0.15">
      <c r="A83" cm="1">
        <f t="array" ref="A83">_xlfn.IFS(AND(C15&gt;=1,C15&lt;20),C83,AND(C15&gt;=20,C15&lt;40),D83,AND(C15&gt;=40,C15&lt;50),E83,AND(C15&gt;=50,C15&lt;60),F83,AND(C15&gt;=60,C15&lt;70),G83,AND(C15&gt;=70,C15&lt;80),H83,AND(C15&gt;=80,C15&lt;90),I83,C15=90,J83)</f>
        <v>0.192</v>
      </c>
      <c r="B83" s="24" t="s">
        <v>37</v>
      </c>
      <c r="C83" s="29" t="s">
        <v>132</v>
      </c>
      <c r="D83" s="30" t="s">
        <v>132</v>
      </c>
      <c r="E83" s="31">
        <v>4.8000000000000001E-2</v>
      </c>
      <c r="F83" s="31">
        <v>9.6000000000000002E-2</v>
      </c>
      <c r="G83" s="31">
        <v>9.6000000000000002E-2</v>
      </c>
      <c r="H83" s="31">
        <v>0.14399999999999999</v>
      </c>
      <c r="I83" s="31">
        <v>0.192</v>
      </c>
      <c r="J83" s="32">
        <v>0.192</v>
      </c>
      <c r="M83" s="7" t="s">
        <v>143</v>
      </c>
      <c r="N83">
        <f>IFERROR(MIN(25.6,((IF(OR(C28="岩峰を巡る歌",D28="岩峰を巡る歌",E28="岩峰を巡る歌",F28="岩峰を巡る歌"),(INDEX(B29:F29,MATCH("岩峰を巡る歌",B28:F28,0)))*0.002+0.006,0))*(INDEX(B20:F20,MATCH("岩峰を巡る歌",B28:F28,0))))),0)</f>
        <v>0</v>
      </c>
      <c r="O83" t="s">
        <v>144</v>
      </c>
      <c r="P83" cm="1">
        <f t="array" ref="P83">IFERROR(_xlfn.IFS(OR(C28="原木刀",D28="原木刀",E28="原木刀",F28="原木刀"),(INDEX(B14:F34,14,MATCH("原木刀",B28:F28,0)))*15+45,OR(C16&lt;&gt;"草",D16&lt;&gt;"草",E16&lt;&gt;"草",F16&lt;&gt;"草"),0),0)</f>
        <v>0</v>
      </c>
      <c r="Q83" t="s">
        <v>145</v>
      </c>
      <c r="R83" s="4">
        <f>IFERROR(IF(OR(C28="終焉を嘆く歌",D28="終焉を嘆く歌",E28="終焉を嘆く歌",F28="終焉を嘆く歌"),(INDEX(B29:F29,MATCH("終焉を嘆く歌",B28:F28,0)))*5+15,0),0)</f>
        <v>0</v>
      </c>
      <c r="S83" s="7">
        <f>IF(AND(OR(C30="水仙の夢2",C31="水仙の夢2"),C16="水"),15,0)</f>
        <v>0</v>
      </c>
      <c r="T83">
        <f>IF(OR(C30="海染硨磲2",C31="海染硨磲2"),15,0)</f>
        <v>0</v>
      </c>
      <c r="U83">
        <f>IF(OR(C30="絶縁の旗印2",C31="絶縁の旗印2"),20,0)</f>
        <v>0</v>
      </c>
      <c r="V83" s="7">
        <f>IF(AND(C30="水仙の夢4",C16="水"),15,0)</f>
        <v>0</v>
      </c>
      <c r="W83">
        <f>IF(AND(OR(C30="雷のような怒り4"),C16="雷"),15,0)</f>
        <v>0</v>
      </c>
      <c r="X83" t="s">
        <v>6</v>
      </c>
      <c r="Y83" s="4">
        <f>IF(C30="千岩牢固4",20,0)</f>
        <v>0</v>
      </c>
    </row>
    <row r="84" spans="1:34" x14ac:dyDescent="0.2">
      <c r="B84" t="s">
        <v>147</v>
      </c>
      <c r="M84" s="7" t="s">
        <v>148</v>
      </c>
      <c r="N84">
        <f>IF(AND(OR(C28="鶴鳴の余韻",D28="鶴鳴の余韻",E28="鶴鳴の余韻",F28="鶴鳴の余韻"),C17="落下攻撃"),(INDEX(B29:F29,MATCH("鶴鳴の余韻",B28:F28,0)))*13+15,0)</f>
        <v>0</v>
      </c>
      <c r="O84" t="s">
        <v>145</v>
      </c>
      <c r="P84">
        <f>IFERROR(IF(OR(C28="終焉を嘆く歌",D28="終焉を嘆く歌",E28="終焉を嘆く歌",F28="終焉を嘆く歌"),(INDEX(B14:F34,14,MATCH("終焉を嘆く歌",B28:F28,0)))*25+75,0),0)</f>
        <v>0</v>
      </c>
      <c r="Q84" t="s">
        <v>149</v>
      </c>
      <c r="R84" s="4">
        <f>IFERROR(IF(OR(C28="松韻の響く頃",D28="松韻の響く頃",E28="松韻の響く頃",F28="松韻の響く頃"),(INDEX(B29:F29,MATCH("松韻の響く頃",B28:F28,0)))*5+15,0),0)</f>
        <v>0</v>
      </c>
      <c r="S84" s="7">
        <f>IF(AND(OR(C30="深林の記憶2",C31="深林の記憶2"),C16="草"),15,0)</f>
        <v>0</v>
      </c>
      <c r="T84">
        <f>IF(OR(C30="在りし日の歌2",C31="在りし日の歌2"),15,0)</f>
        <v>0</v>
      </c>
      <c r="V84" s="7">
        <f>IF(AND(C30="花海甘露の光4",OR(C17="元素スキル",C17="元素爆発")),50,0)</f>
        <v>0</v>
      </c>
      <c r="W84">
        <f>IF(AND(OR(C30="黄金の劇団4"),C17="元素スキル"),20,0)</f>
        <v>0</v>
      </c>
      <c r="X84" t="s">
        <v>150</v>
      </c>
      <c r="Y84" s="4"/>
    </row>
    <row r="85" spans="1:34" ht="15" x14ac:dyDescent="0.2">
      <c r="A85" cm="1">
        <f t="array" ref="A85">_xlfn.IFS(AND(C15&gt;=1,C15&lt;20),C85,AND(C15&gt;=20,C15&lt;40),D85,AND(C15&gt;=40,C15&lt;50),E85,AND(C15&gt;=50,C15&lt;60),F85,AND(C15&gt;=60,C15&lt;70),G85,AND(C15&gt;=70,C15&lt;80),H85,AND(C15&gt;=80,C15&lt;90),I85,C15=90,J85)</f>
        <v>15675</v>
      </c>
      <c r="B85" s="15" t="s">
        <v>125</v>
      </c>
      <c r="C85" s="16">
        <v>1220</v>
      </c>
      <c r="D85" s="17">
        <v>4212</v>
      </c>
      <c r="E85" s="17">
        <v>7045</v>
      </c>
      <c r="F85" s="17">
        <v>9097</v>
      </c>
      <c r="G85" s="17">
        <v>10912</v>
      </c>
      <c r="H85" s="17">
        <v>12734</v>
      </c>
      <c r="I85" s="17">
        <v>14573</v>
      </c>
      <c r="J85" s="16">
        <v>15675</v>
      </c>
      <c r="L85" s="48"/>
      <c r="M85" s="7"/>
      <c r="O85" t="s">
        <v>152</v>
      </c>
      <c r="P85">
        <f>IFERROR(IF(OR(C28="千夜に浮かぶ夢",D28="千夜に浮かぶ夢",E28="千夜に浮かぶ夢",F28="千夜に浮かぶ夢"),(INDEX(B29:F29,MATCH("千夜に浮かぶ夢",B28:F28,0)))*2+38,0),0)</f>
        <v>0</v>
      </c>
      <c r="Q85" t="s">
        <v>153</v>
      </c>
      <c r="R85" s="4">
        <f>IF(OR(C28="狼の末路",D28="狼の末路",E28="狼の末路",F28="狼の末路"),40,0)</f>
        <v>0</v>
      </c>
      <c r="S85" s="7">
        <f>IF(AND(OR(C30="雷のような怒り2",C31="雷のような怒り2"),C16="雷"),15,0)</f>
        <v>0</v>
      </c>
      <c r="T85" t="s">
        <v>102</v>
      </c>
      <c r="V85" s="7">
        <f>IF(AND(C30="黄金の劇団4",C17="元素スキル"),50,0)</f>
        <v>0</v>
      </c>
      <c r="W85">
        <f>IF(AND(OR(C30="ファントムハンター4"),OR(C16="通常攻撃",C16="重撃")),15,0)</f>
        <v>0</v>
      </c>
      <c r="X85">
        <f>IF(C28="金メッキの夢4",50*(4-COUNTIF(C16:F16,C16)),0)</f>
        <v>0</v>
      </c>
      <c r="Y85" s="4"/>
    </row>
    <row r="86" spans="1:34" ht="15" x14ac:dyDescent="0.2">
      <c r="A86" cm="1">
        <f t="array" ref="A86">_xlfn.IFS(AND(C15&gt;=1,C15&lt;20),C86,AND(C15&gt;=20,C15&lt;40),D86,AND(C15&gt;=40,C15&lt;50),E86,AND(C15&gt;=50,C15&lt;60),F86,AND(C15&gt;=60,C15&lt;70),G86,AND(C15&gt;=70,C15&lt;80),H86,AND(C15&gt;=80,C15&lt;90),I86,C15=90,J86)</f>
        <v>628</v>
      </c>
      <c r="B86" s="15" t="s">
        <v>128</v>
      </c>
      <c r="C86" s="19">
        <v>49</v>
      </c>
      <c r="D86" s="18">
        <v>169</v>
      </c>
      <c r="E86" s="18">
        <v>282</v>
      </c>
      <c r="F86" s="18">
        <v>344</v>
      </c>
      <c r="G86" s="18">
        <v>437</v>
      </c>
      <c r="H86" s="18">
        <v>510</v>
      </c>
      <c r="I86" s="18">
        <v>584</v>
      </c>
      <c r="J86" s="19">
        <v>628</v>
      </c>
      <c r="M86" s="7"/>
      <c r="O86" t="s">
        <v>361</v>
      </c>
      <c r="P86" cm="1">
        <f t="array" ref="P86">IFERROR(_xlfn.IFS(OR(C28="森林のレガリア",D28="森林のレガリア",E28="森林のレガリア",F28="森林のレガリア"),(INDEX(B14:F34,14,MATCH("森林のレガリア",B28:F28,0)))*15+45,OR(C16&lt;&gt;"草",D16&lt;&gt;"草",E16&lt;&gt;"草",F16&lt;&gt;"草"),0),0)</f>
        <v>0</v>
      </c>
      <c r="Q86" t="s">
        <v>155</v>
      </c>
      <c r="R86" s="4">
        <f>IFERROR(IF(OR(C28="龍殺しの英傑譚",D28="龍殺しの英傑譚",E28="龍殺しの英傑譚",F28="龍殺しの英傑譚"),(INDEX(B29:F29,MATCH("龍殺しの英傑譚",B28:F28,0)))*6+18,0),0)</f>
        <v>0</v>
      </c>
      <c r="S86" s="7">
        <f>IF(AND(OR(C30="黄金の劇団2",C31="黄金の劇団2"),C17="元素スキル"),20,0)</f>
        <v>0</v>
      </c>
      <c r="T86" t="s">
        <v>107</v>
      </c>
      <c r="V86" s="7">
        <f>IF(AND(C30="残響の森で囁かれる夜話",C16="岩"),20,0)+IF(AND(C30="残響の森で囁かれる夜話",OR(C16="岩",D16="岩",E16="岩",F16="岩")),30,0)</f>
        <v>0</v>
      </c>
      <c r="W86" cm="1">
        <f t="array" aca="1" ref="W86" ca="1">IFERROR(IF(AND(OR(C30="黒曜の秘典4"),OR(BNDEX(#REF!,1,MATCH("灰燼の都に立つ英雄の絵巻",#REF!,0))="ムアラニ",BNDEX(#REF!,1,MATCH("灰燼の都に立つ英雄の絵巻",#REF!,0))="カチーナ",BNDEX(#REF!,1,MATCH("灰燼の都に立つ英雄の絵巻",#REF!,0))="キィニチ",BNDEX(#REF!,1,MATCH("灰燼の都に立つ英雄の絵巻",#REF!,0))="シロネン")),15,0),0)</f>
        <v>0</v>
      </c>
      <c r="X86">
        <f>IF(C30="大地を流浪する楽団4",80,0)</f>
        <v>0</v>
      </c>
      <c r="Y86" s="4"/>
    </row>
    <row r="87" spans="1:34" ht="15" x14ac:dyDescent="0.2">
      <c r="A87" cm="1">
        <f t="array" ref="A87">_xlfn.IFS(AND(C15&gt;=1,C15&lt;20),C87,AND(C15&gt;=20,C15&lt;40),D87,AND(C15&gt;=40,C15&lt;50),E87,AND(C15&gt;=50,C15&lt;60),F87,AND(C15&gt;=60,C15&lt;70),G87,AND(C15&gt;=70,C15&lt;80),H87,AND(C15&gt;=80,C15&lt;90),I87,C15=90,J87)</f>
        <v>266</v>
      </c>
      <c r="B87" s="15" t="s">
        <v>130</v>
      </c>
      <c r="C87" s="19">
        <v>20</v>
      </c>
      <c r="D87" s="18">
        <v>71</v>
      </c>
      <c r="E87" s="18">
        <v>119</v>
      </c>
      <c r="F87" s="18">
        <v>154</v>
      </c>
      <c r="G87" s="18">
        <v>184</v>
      </c>
      <c r="H87" s="18">
        <v>215</v>
      </c>
      <c r="I87" s="18">
        <v>247</v>
      </c>
      <c r="J87" s="19">
        <v>266</v>
      </c>
      <c r="M87" s="7"/>
      <c r="Q87" t="s">
        <v>157</v>
      </c>
      <c r="R87" s="4">
        <f>IFERROR(IF(OR(C28="マカイラの水色",D28="マカイラの水色",E28="マカイラの水色",F28="マカイラの水色"),(INDEX(B29:F29,MATCH("マカイラの水色",B28:F28,0)))*1.8+5.4,0),0)*IFERROR(INDEX(B22:F22,MATCH("マカイラの水色",B28:F28,0)),0)</f>
        <v>0</v>
      </c>
      <c r="S87" s="7">
        <f>IF(AND(OR(C30="ファントムハンター2",C31="ファントムハンター2"),OR(C16="通常攻撃",C16="重撃")),15,0)</f>
        <v>0</v>
      </c>
      <c r="T87">
        <f>IF(OR(C30="華館夢醒形骸記2",C31="華館夢醒形骸記2"),30,0)</f>
        <v>0</v>
      </c>
      <c r="V87" s="7">
        <f>IF(AND(C30="階律奇想の断章4",OR(C14="アルレッキーノ",C14="クロリンデ",C14="シグウィン",C28="海淵のフィナーレ",C28="純水流華",C28="赤月のシルエット")),54,0)</f>
        <v>54</v>
      </c>
      <c r="W87" t="s">
        <v>96</v>
      </c>
      <c r="X87">
        <f>IF(C30="金メッキの夢4",80,0)</f>
        <v>0</v>
      </c>
      <c r="Y87" s="4"/>
    </row>
    <row r="88" spans="1:34" x14ac:dyDescent="0.2">
      <c r="A88" cm="1">
        <f t="array" ref="A88">_xlfn.IFS(AND(C15&gt;=1,C15&lt;20),C88,AND(C15&gt;=20,C15&lt;40),D88,AND(C15&gt;=40,C15&lt;50),E88,AND(C15&gt;=50,C15&lt;60),F88,AND(C15&gt;=60,C15&lt;70),G88,AND(C15&gt;=70,C15&lt;80),H88,AND(C15&gt;=80,C15&lt;90),I88,C15=90,J88)</f>
        <v>0.28799999999999998</v>
      </c>
      <c r="B88" s="15" t="s">
        <v>159</v>
      </c>
      <c r="C88" s="20" t="s">
        <v>132</v>
      </c>
      <c r="D88" s="21" t="s">
        <v>132</v>
      </c>
      <c r="E88" s="22">
        <v>7.1999999999999995E-2</v>
      </c>
      <c r="F88" s="22">
        <v>0.14399999999999999</v>
      </c>
      <c r="G88" s="22">
        <v>0.14399999999999999</v>
      </c>
      <c r="H88" s="22">
        <v>0.216</v>
      </c>
      <c r="I88" s="22">
        <v>0.28799999999999998</v>
      </c>
      <c r="J88" s="23">
        <v>0.28799999999999998</v>
      </c>
      <c r="M88" s="8"/>
      <c r="N88" s="2"/>
      <c r="O88" s="2"/>
      <c r="P88" s="2"/>
      <c r="Q88" s="2" t="s">
        <v>160</v>
      </c>
      <c r="R88" s="5">
        <f>IFERROR(IF(OR(C28="彷徨える星",D28="彷徨える星",E28="彷徨える星",F28="彷徨える星"),(INDEX(B29:F29,MATCH("彷徨える星",B28:F28,0)))*1.8+5.4,0),0)*IFERROR(INDEX(B22:F22,MATCH("彷徨える星",B28:F28,0)),0)</f>
        <v>0</v>
      </c>
      <c r="S88" s="8">
        <f>IFERROR(IF(AND(OR(C30="黒曜の秘典2",C31="黒曜の秘典2"),OR(INDEX(B14:F34,1,MATCH("灰燼の都に立つ英雄の絵巻",B30:F30,0))="ムアラニ",INDEX(B14:F34,1,MATCH("灰燼の都に立つ英雄の絵巻",B30:F30,0))="カチーナ",INDEX(B14:F34,1,MATCH("灰燼の都に立つ英雄の絵巻",B30:F30,0))="キィニチ",INDEX(B14:F34,1,MATCH("灰燼の都に立つ英雄の絵巻",B30:F30,0))="シロネン")),15,0),0)</f>
        <v>0</v>
      </c>
      <c r="T88" s="2"/>
      <c r="U88" s="2"/>
      <c r="V88" s="8">
        <f>IF(C30="遂げられなかった想い4",50,0)</f>
        <v>0</v>
      </c>
      <c r="W88" s="2">
        <f>IF(C30="絶縁の旗印4",20,0)</f>
        <v>0</v>
      </c>
      <c r="X88" s="2">
        <f>IF(C30="楽園の絶花4",80,0)</f>
        <v>0</v>
      </c>
      <c r="Y88" s="5"/>
    </row>
    <row r="89" spans="1:34" x14ac:dyDescent="0.2">
      <c r="B89" t="s">
        <v>162</v>
      </c>
    </row>
    <row r="90" spans="1:34" x14ac:dyDescent="0.15">
      <c r="A90" cm="1">
        <f t="array" ref="A90">_xlfn.IFS(AND(C15&gt;=1,C15&lt;20),C90,AND(C15&gt;=20,C15&lt;40),D90,AND(C15&gt;=40,C15&lt;50),E90,AND(C15&gt;=50,C15&lt;60),F90,AND(C15&gt;=60,C15&lt;70),G90,AND(C15&gt;=70,C15&lt;80),H90,AND(C15&gt;=80,C15&lt;90),I90,C15=90,J90)</f>
        <v>10164</v>
      </c>
      <c r="B90" s="24" t="s">
        <v>125</v>
      </c>
      <c r="C90" s="25">
        <v>791</v>
      </c>
      <c r="D90" s="27">
        <v>2734</v>
      </c>
      <c r="E90" s="27">
        <v>4568</v>
      </c>
      <c r="F90" s="27">
        <v>5899</v>
      </c>
      <c r="G90" s="27">
        <v>7076</v>
      </c>
      <c r="H90" s="27">
        <v>8259</v>
      </c>
      <c r="I90" s="27">
        <v>9450</v>
      </c>
      <c r="J90" s="26">
        <v>10164</v>
      </c>
    </row>
    <row r="91" spans="1:34" x14ac:dyDescent="0.15">
      <c r="A91" cm="1">
        <f t="array" ref="A91">_xlfn.IFS(AND(C15&gt;=1,C15&lt;20),C91,AND(C15&gt;=20,C15&lt;40),D91,AND(C15&gt;=40,C15&lt;50),E91,AND(C15&gt;=50,C15&lt;60),F91,AND(C15&gt;=60,C15&lt;70),G91,AND(C15&gt;=70,C15&lt;80),H91,AND(C15&gt;=80,C15&lt;90),I91,C15=90,J91)</f>
        <v>615</v>
      </c>
      <c r="B91" s="24" t="s">
        <v>128</v>
      </c>
      <c r="C91" s="25">
        <v>48</v>
      </c>
      <c r="D91" s="28">
        <v>165</v>
      </c>
      <c r="E91" s="28">
        <v>276</v>
      </c>
      <c r="F91" s="28">
        <v>357</v>
      </c>
      <c r="G91" s="28">
        <v>428</v>
      </c>
      <c r="H91" s="28">
        <v>500</v>
      </c>
      <c r="I91" s="28">
        <v>572</v>
      </c>
      <c r="J91" s="25">
        <v>615</v>
      </c>
    </row>
    <row r="92" spans="1:34" x14ac:dyDescent="0.15">
      <c r="A92" cm="1">
        <f t="array" ref="A92">_xlfn.IFS(AND(C15&gt;=1,C15&lt;20),C92,AND(C15&gt;=20,C15&lt;40),D92,AND(C15&gt;=40,C15&lt;50),E92,AND(C15&gt;=50,C15&lt;60),F92,AND(C15&gt;=60,C15&lt;70),G92,AND(C15&gt;=70,C15&lt;80),H92,AND(C15&gt;=80,C15&lt;90),I92,C15=90,J92)</f>
        <v>323</v>
      </c>
      <c r="B92" s="24" t="s">
        <v>130</v>
      </c>
      <c r="C92" s="25">
        <v>25</v>
      </c>
      <c r="D92" s="28">
        <v>87</v>
      </c>
      <c r="E92" s="28">
        <v>145</v>
      </c>
      <c r="F92" s="28">
        <v>187</v>
      </c>
      <c r="G92" s="28">
        <v>225</v>
      </c>
      <c r="H92" s="28">
        <v>263</v>
      </c>
      <c r="I92" s="28">
        <v>300</v>
      </c>
      <c r="J92" s="25">
        <v>323</v>
      </c>
    </row>
    <row r="93" spans="1:34" x14ac:dyDescent="0.15">
      <c r="A93" cm="1">
        <f t="array" ref="A93">_xlfn.IFS(AND(C15&gt;=1,C15&lt;20),C93,AND(C15&gt;=20,C15&lt;40),D93,AND(C15&gt;=40,C15&lt;50),E93,AND(C15&gt;=50,C15&lt;60),F93,AND(C15&gt;=60,C15&lt;70),G93,AND(C15&gt;=70,C15&lt;80),H93,AND(C15&gt;=80,C15&lt;90),I93,C15=90,J93)</f>
        <v>0.192</v>
      </c>
      <c r="B93" s="24" t="s">
        <v>37</v>
      </c>
      <c r="C93" s="29" t="s">
        <v>132</v>
      </c>
      <c r="D93" s="30" t="s">
        <v>132</v>
      </c>
      <c r="E93" s="31">
        <v>4.8000000000000001E-2</v>
      </c>
      <c r="F93" s="31">
        <v>9.6000000000000002E-2</v>
      </c>
      <c r="G93" s="31">
        <v>9.6000000000000002E-2</v>
      </c>
      <c r="H93" s="31">
        <v>0.14399999999999999</v>
      </c>
      <c r="I93" s="31">
        <v>0.192</v>
      </c>
      <c r="J93" s="32">
        <v>0.192</v>
      </c>
      <c r="M93" s="6" t="s">
        <v>167</v>
      </c>
      <c r="N93" s="1" t="s">
        <v>32</v>
      </c>
      <c r="O93" s="1" t="s">
        <v>168</v>
      </c>
      <c r="P93" s="1" t="s">
        <v>169</v>
      </c>
      <c r="R93" s="1" t="s">
        <v>170</v>
      </c>
      <c r="S93" s="1"/>
      <c r="T93" s="1" t="s">
        <v>171</v>
      </c>
      <c r="U93" s="1" t="s">
        <v>172</v>
      </c>
      <c r="V93" s="1" t="s">
        <v>173</v>
      </c>
      <c r="W93" s="1" t="s">
        <v>174</v>
      </c>
      <c r="X93" s="1"/>
      <c r="Y93" s="1"/>
      <c r="Z93" s="1" t="s">
        <v>175</v>
      </c>
      <c r="AA93" s="1"/>
      <c r="AB93" s="1"/>
      <c r="AC93" s="1"/>
      <c r="AD93" s="1" t="s">
        <v>176</v>
      </c>
      <c r="AE93" s="1" t="s">
        <v>177</v>
      </c>
      <c r="AF93" s="1" t="s">
        <v>178</v>
      </c>
      <c r="AG93" s="1" t="s">
        <v>179</v>
      </c>
      <c r="AH93" s="3"/>
    </row>
    <row r="94" spans="1:34" x14ac:dyDescent="0.2">
      <c r="B94" t="s">
        <v>181</v>
      </c>
      <c r="M94" s="7" t="s">
        <v>24</v>
      </c>
      <c r="N94" s="67" cm="1">
        <f t="array" ref="N94">IF(AND(C14="アルレッキーノ",C17="通常攻撃",G15&gt;=30),_xlfn.IFS(C32=1,1.204,C32=2,1.302,C32=3,1.4,C32=4,1.54,C32=5,1.638,C32=6,1.75,C32=7,1.904,C32=8,2.058,C32=9,2.212,C32=10,2.38,C32=11,2.548,C32=12,2.716,C32=13,2.884,C32=14,3.052,TRUE,0)*G15*C21/100,0)</f>
        <v>0</v>
      </c>
      <c r="O94" s="67"/>
      <c r="P94" s="67"/>
      <c r="R94" s="67"/>
      <c r="S94" s="67"/>
      <c r="T94" s="67"/>
      <c r="U94" s="67">
        <f>IF(C14="アルレッキーノ",40,0)</f>
        <v>40</v>
      </c>
      <c r="V94" s="67"/>
      <c r="W94" s="67">
        <f>IF(AND(C14="アルレッキーノ",C17="通常攻撃",C27&gt;=1),G15*C21/100,0)</f>
        <v>5755.1200000000008</v>
      </c>
      <c r="X94" s="67"/>
      <c r="Y94" s="67"/>
      <c r="Z94" s="67"/>
      <c r="AA94" s="67"/>
      <c r="AB94" s="67"/>
      <c r="AC94" s="67"/>
      <c r="AD94" s="67"/>
      <c r="AE94" s="67"/>
      <c r="AF94" s="67"/>
      <c r="AG94" s="67">
        <f>IF(AND(C14="アルレッキーノ",C27&gt;5,OR(C17="通常攻撃",C17="元素爆発"),),70,0)</f>
        <v>0</v>
      </c>
      <c r="AH94" s="4"/>
    </row>
    <row r="95" spans="1:34" ht="15" x14ac:dyDescent="0.2">
      <c r="A95" cm="1">
        <f t="array" ref="A95">_xlfn.IFS(AND(C15&gt;=1,C15&lt;20),C95,AND(C15&gt;=20,C15&lt;40),D95,AND(C15&gt;=40,C15&lt;50),E95,AND(C15&gt;=50,C15&lt;60),F95,AND(C15&gt;=60,C15&lt;70),G95,AND(C15&gt;=70,C15&lt;80),H95,AND(C15&gt;=80,C15&lt;90),I95,C15=90,J95)</f>
        <v>15552</v>
      </c>
      <c r="B95" s="15" t="s">
        <v>125</v>
      </c>
      <c r="C95" s="16">
        <v>1211</v>
      </c>
      <c r="D95" s="17">
        <v>4179</v>
      </c>
      <c r="E95" s="17">
        <v>6990</v>
      </c>
      <c r="F95" s="17">
        <v>9026</v>
      </c>
      <c r="G95" s="17">
        <v>10826</v>
      </c>
      <c r="H95" s="17">
        <v>12637</v>
      </c>
      <c r="I95" s="17">
        <v>14459</v>
      </c>
      <c r="J95" s="16">
        <v>15552</v>
      </c>
      <c r="M95" s="7" t="s">
        <v>134</v>
      </c>
      <c r="N95" s="67"/>
      <c r="O95" s="67"/>
      <c r="P95" s="67"/>
      <c r="R95" s="67"/>
      <c r="S95" s="67"/>
      <c r="T95" s="67">
        <f>IF(AND(C14="リネ",F10=1,C15&gt;60),COUNTIF(C16:F16,"炎")*20+60,0)</f>
        <v>0</v>
      </c>
      <c r="U95" s="67"/>
      <c r="V95" s="67"/>
      <c r="W95" s="67"/>
      <c r="X95" s="67"/>
      <c r="Y95" s="67"/>
      <c r="Z95" s="67">
        <f>IF(AND(C27&gt;1,C14="リネ"),60,0)</f>
        <v>0</v>
      </c>
      <c r="AA95" s="67"/>
      <c r="AB95" s="67"/>
      <c r="AC95" s="67"/>
      <c r="AD95" s="67"/>
      <c r="AE95" s="67"/>
      <c r="AF95" s="67"/>
      <c r="AG95" s="67"/>
      <c r="AH95" s="4"/>
    </row>
    <row r="96" spans="1:34" ht="15" x14ac:dyDescent="0.2">
      <c r="A96" cm="1">
        <f t="array" ref="A96">_xlfn.IFS(AND(C15&gt;=1,C15&lt;20),C96,AND(C15&gt;=20,C15&lt;40),D96,AND(C15&gt;=40,C15&lt;50),E96,AND(C15&gt;=50,C15&lt;60),F96,AND(C15&gt;=60,C15&lt;70),G96,AND(C15&gt;=70,C15&lt;80),H96,AND(C15&gt;=80,C15&lt;90),I96,C15=90,J96)</f>
        <v>876</v>
      </c>
      <c r="B96" s="15" t="s">
        <v>128</v>
      </c>
      <c r="C96" s="19">
        <v>68</v>
      </c>
      <c r="D96" s="18">
        <v>235</v>
      </c>
      <c r="E96" s="18">
        <v>394</v>
      </c>
      <c r="F96" s="18">
        <v>508</v>
      </c>
      <c r="G96" s="18">
        <v>610</v>
      </c>
      <c r="H96" s="18">
        <v>712</v>
      </c>
      <c r="I96" s="18">
        <v>815</v>
      </c>
      <c r="J96" s="19">
        <v>876</v>
      </c>
      <c r="M96" s="7" t="s">
        <v>147</v>
      </c>
      <c r="N96" s="67"/>
      <c r="O96" s="67"/>
      <c r="P96" s="67"/>
      <c r="R96" s="67"/>
      <c r="S96" s="67"/>
      <c r="T96" s="67"/>
      <c r="U96" s="67"/>
      <c r="V96" s="67"/>
      <c r="W96" s="67">
        <f>IF(AND(C14="ディシア",C27&gt;0),20,0)</f>
        <v>0</v>
      </c>
      <c r="X96" s="67">
        <f>IF(AND(C14="ディシア",C27&gt;0,C17="元素スキル"),C19*0.036,0)</f>
        <v>0</v>
      </c>
      <c r="Y96" s="67">
        <f>IF(AND(C14="ディシア",C27&gt;0,C17="元素爆発"),C19*0.06,0)</f>
        <v>0</v>
      </c>
      <c r="Z96" s="67"/>
      <c r="AA96" s="67"/>
      <c r="AB96" s="67"/>
      <c r="AC96" s="67"/>
      <c r="AD96" s="67"/>
      <c r="AE96" s="67">
        <f>IF(AND(C14="リネ",C27&gt;3),-20,0)</f>
        <v>0</v>
      </c>
      <c r="AF96" s="67"/>
      <c r="AG96" s="67">
        <f>IF(AND(C14="ディシア",C17="元素爆発",C27&gt;5),60,0)</f>
        <v>0</v>
      </c>
      <c r="AH96" s="4"/>
    </row>
    <row r="97" spans="1:34" ht="15" x14ac:dyDescent="0.2">
      <c r="A97" cm="1">
        <f t="array" ref="A97">_xlfn.IFS(AND(C15&gt;=1,C15&lt;20),C97,AND(C15&gt;=20,C15&lt;40),D97,AND(C15&gt;=40,C15&lt;50),E97,AND(C15&gt;=50,C15&lt;60),F97,AND(C15&gt;=60,C15&lt;70),G97,AND(C15&gt;=70,C15&lt;80),H97,AND(C15&gt;=80,C15&lt;90),I97,C15=90,J97)</f>
        <v>106</v>
      </c>
      <c r="B97" s="15" t="s">
        <v>130</v>
      </c>
      <c r="C97" s="19">
        <v>9</v>
      </c>
      <c r="D97" s="18">
        <v>28</v>
      </c>
      <c r="E97" s="18">
        <v>47</v>
      </c>
      <c r="F97" s="18">
        <v>61</v>
      </c>
      <c r="G97" s="18">
        <v>74</v>
      </c>
      <c r="H97" s="18">
        <v>86</v>
      </c>
      <c r="I97" s="18">
        <v>99</v>
      </c>
      <c r="J97" s="19">
        <v>106</v>
      </c>
      <c r="M97" s="7" t="s">
        <v>162</v>
      </c>
      <c r="N97" s="67"/>
      <c r="O97" s="67">
        <f>IF(AND(C14="宵宮",C17="通常攻撃"),CHOOSE(C33, 1.379, 1.402, 1.424, 1.454, 1.477, 1.499, 1.529, 1.558, 1.588, 1.617, 1.647, 1.676, 1.706),1)</f>
        <v>1</v>
      </c>
      <c r="P97" s="67"/>
      <c r="R97" s="67">
        <f>IF(C14="宵宮",20,0)</f>
        <v>0</v>
      </c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4"/>
    </row>
    <row r="98" spans="1:34" ht="15" x14ac:dyDescent="0.2">
      <c r="A98" cm="1">
        <f t="array" ref="A98">_xlfn.IFS(AND(C15&gt;=1,C15&lt;20),C98,AND(C15&gt;=20,C15&lt;40),D98,AND(C15&gt;=40,C15&lt;50),E98,AND(C15&gt;=50,C15&lt;60),F98,AND(C15&gt;=60,C15&lt;70),G98,AND(C15&gt;=70,C15&lt;80),H98,AND(C15&gt;=80,C15&lt;90),I98,C15=90,J98)</f>
        <v>0.38400000000000001</v>
      </c>
      <c r="B98" s="15" t="s">
        <v>38</v>
      </c>
      <c r="C98" s="20" t="s">
        <v>132</v>
      </c>
      <c r="D98" s="21" t="s">
        <v>132</v>
      </c>
      <c r="E98" s="22">
        <v>9.6000000000000002E-2</v>
      </c>
      <c r="F98" s="22">
        <v>0.192</v>
      </c>
      <c r="G98" s="22">
        <v>0.192</v>
      </c>
      <c r="H98" s="22">
        <v>0.28799999999999998</v>
      </c>
      <c r="I98" s="22">
        <v>0.38400000000000001</v>
      </c>
      <c r="J98" s="23">
        <v>0.38400000000000001</v>
      </c>
      <c r="M98" s="7" t="s">
        <v>181</v>
      </c>
      <c r="N98" s="67"/>
      <c r="O98" s="67"/>
      <c r="P98" s="67"/>
      <c r="R98" s="67"/>
      <c r="S98" s="67"/>
      <c r="T98" s="67">
        <f>IF(C14="胡桃",33,0)</f>
        <v>0</v>
      </c>
      <c r="U98" s="67"/>
      <c r="V98" s="67"/>
      <c r="W98" s="67">
        <f>IF(AND(C14="宵宮",C27&gt;=1),20,0)</f>
        <v>0</v>
      </c>
      <c r="X98" s="67"/>
      <c r="Y98" s="67"/>
      <c r="Z98" s="67">
        <f>IF(AND(C14="宵宮",C27&gt;=2),25,0)</f>
        <v>0</v>
      </c>
      <c r="AA98" s="67"/>
      <c r="AB98" s="67"/>
      <c r="AC98" s="67"/>
      <c r="AD98" s="67"/>
      <c r="AE98" s="67"/>
      <c r="AF98" s="67"/>
      <c r="AG98" s="67"/>
      <c r="AH98" s="4"/>
    </row>
    <row r="99" spans="1:34" x14ac:dyDescent="0.2">
      <c r="B99" t="s">
        <v>187</v>
      </c>
      <c r="M99" s="7" t="s">
        <v>187</v>
      </c>
      <c r="N99" s="67"/>
      <c r="O99" s="67"/>
      <c r="P99" s="67"/>
      <c r="R99" s="67">
        <f>IF(AND(C14="クレー",C17="重撃"),50,0)</f>
        <v>0</v>
      </c>
      <c r="S99" s="67"/>
      <c r="T99" s="67"/>
      <c r="U99" s="67"/>
      <c r="V99" s="67"/>
      <c r="W99" s="67"/>
      <c r="X99" s="67"/>
      <c r="Y99" s="67"/>
      <c r="Z99" s="67">
        <f>IFERROR(IF(AND(OR(C14="クレー",D14="クレー",E14="クレー",F14="クレー"),INDEX(C27:F27,MATCH("クレー",C14:F14,0))&gt;=2),30,0),0)</f>
        <v>0</v>
      </c>
      <c r="AA99" s="67"/>
      <c r="AB99" s="67"/>
      <c r="AC99" s="67"/>
      <c r="AD99" s="67"/>
      <c r="AE99" s="67"/>
      <c r="AF99" s="67"/>
      <c r="AG99" s="67">
        <f>IFERROR(IF(AND(OR(C14="クレー",D14="クレー",E14="クレー",F14="クレー"),INDEX(C27:F27,MATCH("クレー",C14:F14,0))&gt;=6,C16="炎"),10,0),0)</f>
        <v>0</v>
      </c>
      <c r="AH99" s="4"/>
    </row>
    <row r="100" spans="1:34" x14ac:dyDescent="0.15">
      <c r="A100" cm="1">
        <f t="array" ref="A100">_xlfn.IFS(AND(C15&gt;=1,C15&lt;20),C100,AND(C15&gt;=20,C15&lt;40),D100,AND(C15&gt;=40,C15&lt;50),E100,AND(C15&gt;=50,C15&lt;60),F100,AND(C15&gt;=60,C15&lt;70),G100,AND(C15&gt;=70,C15&lt;80),H100,AND(C15&gt;=80,C15&lt;90),I100,C15=90,J100)</f>
        <v>10287</v>
      </c>
      <c r="B100" s="24" t="s">
        <v>125</v>
      </c>
      <c r="C100" s="25">
        <v>801</v>
      </c>
      <c r="D100" s="27">
        <v>2764</v>
      </c>
      <c r="E100" s="27">
        <v>4623</v>
      </c>
      <c r="F100" s="27">
        <v>5970</v>
      </c>
      <c r="G100" s="27">
        <v>7161</v>
      </c>
      <c r="H100" s="27">
        <v>8358</v>
      </c>
      <c r="I100" s="27">
        <v>9563</v>
      </c>
      <c r="J100" s="26">
        <v>10287</v>
      </c>
      <c r="M100" s="7" t="s">
        <v>189</v>
      </c>
      <c r="N100" s="67"/>
      <c r="O100" s="67"/>
      <c r="P100" s="67"/>
      <c r="R100" s="67"/>
      <c r="S100" s="67"/>
      <c r="T100" s="67">
        <f>IF(C14="ディルック",20,0)</f>
        <v>0</v>
      </c>
      <c r="U100" s="67"/>
      <c r="V100" s="67"/>
      <c r="W100" s="67">
        <f>IF(AND(C14="ディルック",C27&gt;=1),15,0)</f>
        <v>0</v>
      </c>
      <c r="X100" s="67"/>
      <c r="Y100" s="67"/>
      <c r="Z100" s="67">
        <f>IF(AND(C14="ディルック",C27&gt;=2),30,0)</f>
        <v>0</v>
      </c>
      <c r="AA100" s="67"/>
      <c r="AB100" s="67"/>
      <c r="AC100" s="67"/>
      <c r="AD100" s="67"/>
      <c r="AE100" s="67">
        <f>IF(AND(C14="ディルック",C27&gt;=4,C17="元素スキル"),40,0)</f>
        <v>0</v>
      </c>
      <c r="AF100" s="67"/>
      <c r="AG100" s="67">
        <f>IF(AND(C14="ディルック",C27&gt;=6,C17="通常攻撃"),30,0)</f>
        <v>0</v>
      </c>
      <c r="AH100" s="4"/>
    </row>
    <row r="101" spans="1:34" x14ac:dyDescent="0.15">
      <c r="A101" cm="1">
        <f t="array" ref="A101">_xlfn.IFS(AND(C15&gt;=1,C15&lt;20),C101,AND(C15&gt;=20,C15&lt;40),D101,AND(C15&gt;=40,C15&lt;50),E101,AND(C15&gt;=50,C15&lt;60),F101,AND(C15&gt;=60,C15&lt;70),G101,AND(C15&gt;=70,C15&lt;80),H101,AND(C15&gt;=80,C15&lt;90),I101,C15=90,J101)</f>
        <v>615</v>
      </c>
      <c r="B101" s="24" t="s">
        <v>128</v>
      </c>
      <c r="C101" s="25">
        <v>48</v>
      </c>
      <c r="D101" s="28">
        <v>165</v>
      </c>
      <c r="E101" s="28">
        <v>276</v>
      </c>
      <c r="F101" s="28">
        <v>357</v>
      </c>
      <c r="G101" s="28">
        <v>428</v>
      </c>
      <c r="H101" s="28">
        <v>500</v>
      </c>
      <c r="I101" s="28">
        <v>572</v>
      </c>
      <c r="J101" s="25">
        <v>615</v>
      </c>
      <c r="M101" s="7" t="s">
        <v>191</v>
      </c>
      <c r="N101" s="67"/>
      <c r="O101" s="67"/>
      <c r="P101" s="67"/>
      <c r="R101" s="67"/>
      <c r="S101" s="67"/>
      <c r="T101" s="67">
        <f>IF(AND(C14="嘉明",C17="落下攻撃"),20,0)</f>
        <v>0</v>
      </c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>
        <f>IF(AND(C14="嘉明",C17="落下攻撃",C27&gt;=6),40,0)</f>
        <v>0</v>
      </c>
      <c r="AH101" s="4"/>
    </row>
    <row r="102" spans="1:34" x14ac:dyDescent="0.15">
      <c r="A102" cm="1">
        <f t="array" ref="A102">_xlfn.IFS(AND(C15&gt;=1,C15&lt;20),C102,AND(C15&gt;=20,C15&lt;40),D102,AND(C15&gt;=40,C15&lt;50),E102,AND(C15&gt;=50,C15&lt;60),F102,AND(C15&gt;=60,C15&lt;70),G102,AND(C15&gt;=70,C15&lt;80),H102,AND(C15&gt;=80,C15&lt;90),I102,C15=90,J102)</f>
        <v>341</v>
      </c>
      <c r="B102" s="24" t="s">
        <v>130</v>
      </c>
      <c r="C102" s="25">
        <v>24</v>
      </c>
      <c r="D102" s="28">
        <v>84</v>
      </c>
      <c r="E102" s="28">
        <v>140</v>
      </c>
      <c r="F102" s="28">
        <v>180</v>
      </c>
      <c r="G102" s="28">
        <v>216</v>
      </c>
      <c r="H102" s="28">
        <v>253</v>
      </c>
      <c r="I102" s="28">
        <v>289</v>
      </c>
      <c r="J102" s="25">
        <v>341</v>
      </c>
      <c r="M102" s="7" t="s">
        <v>193</v>
      </c>
      <c r="N102" s="67"/>
      <c r="O102" s="67"/>
      <c r="P102" s="67"/>
      <c r="R102" s="67">
        <f>IF(AND(C14="シュヴルーズ",AND(OR(C16="炎",C16="雷"),OR(D16="炎",D16="雷"),OR(E16="炎",E16="雷"),OR(F16="炎",F16="雷"))),-40,0)</f>
        <v>0</v>
      </c>
      <c r="S102" s="67"/>
      <c r="T102" s="67">
        <f>IF(AND(C14="シュヴルーズ",AND(OR(C16="炎",C16="雷"),OR(D16="炎",D16="雷"),OR(E16="炎",E16="雷"),OR(F16="炎",F16="雷"))),INDEX(B14:F19,5,MATCH("シュヴルーズ",C14:F14,0))*0.001,0)</f>
        <v>0</v>
      </c>
      <c r="U102" s="67"/>
      <c r="V102" s="67"/>
      <c r="W102" s="67"/>
      <c r="X102" s="67"/>
      <c r="Y102" s="67"/>
      <c r="Z102" s="67">
        <f>IF(AND(C14="嘉明",C27&gt;=2),20,0)</f>
        <v>0</v>
      </c>
      <c r="AA102" s="67"/>
      <c r="AB102" s="67"/>
      <c r="AC102" s="67"/>
      <c r="AD102" s="67"/>
      <c r="AE102" s="67"/>
      <c r="AF102" s="67"/>
      <c r="AG102" s="67">
        <f>IFERROR(IF(AND(OR(C14="シュヴルーズ",D14="シュヴルーズ",E14="シュヴルーズ",F14="シュヴルーズ"),OR(C16="炎",C16="雷"),INDEX(B14:F27,12,MATCH("シュヴルーズ",B14:F14,0))&gt;=6),60,0),0)</f>
        <v>0</v>
      </c>
      <c r="AH102" s="4"/>
    </row>
    <row r="103" spans="1:34" x14ac:dyDescent="0.15">
      <c r="A103" cm="1">
        <f t="array" ref="A103">_xlfn.IFS(AND(C15&gt;=1,C15&lt;20),C103,AND(C15&gt;=20,C15&lt;40),D103,AND(C15&gt;=40,C15&lt;50),E103,AND(C15&gt;=50,C15&lt;60),F103,AND(C15&gt;=60,C15&lt;70),G103,AND(C15&gt;=70,C15&lt;80),H103,AND(C15&gt;=80,C15&lt;90),I103,C15=90,J103)</f>
        <v>0.28799999999999998</v>
      </c>
      <c r="B103" s="24" t="s">
        <v>195</v>
      </c>
      <c r="C103" s="29" t="s">
        <v>132</v>
      </c>
      <c r="D103" s="30" t="s">
        <v>132</v>
      </c>
      <c r="E103" s="31">
        <v>7.1999999999999995E-2</v>
      </c>
      <c r="F103" s="31">
        <v>0.14399999999999999</v>
      </c>
      <c r="G103" s="31">
        <v>0.14399999999999999</v>
      </c>
      <c r="H103" s="31">
        <v>0.216</v>
      </c>
      <c r="I103" s="31">
        <v>0.28799999999999998</v>
      </c>
      <c r="J103" s="32">
        <v>0.28799999999999998</v>
      </c>
      <c r="M103" s="7" t="s">
        <v>196</v>
      </c>
      <c r="N103" s="67"/>
      <c r="O103" s="67"/>
      <c r="P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>
        <f>IFERROR(IF(AND(OR(C14="トーマ",D14="トーマ",E14="トーマ",F14="トーマ"),INDEX(B14:F27,12,MATCH("トーマ",B14:F14,0))&gt;=6,OR(C17="通常攻撃",C17="重撃",C17="落下攻撃")),15,0),0)</f>
        <v>0</v>
      </c>
      <c r="AH103" s="4"/>
    </row>
    <row r="104" spans="1:34" x14ac:dyDescent="0.2">
      <c r="B104" t="s">
        <v>189</v>
      </c>
      <c r="M104" s="7" t="s">
        <v>198</v>
      </c>
      <c r="N104" s="67"/>
      <c r="O104" s="67"/>
      <c r="P104" s="67">
        <f>IF(AND(C14="煙緋",C17="重撃"),CHOOSE(C34, 0.33, 0.35, 0.37, 0.4, 0.42, 0.44, 0.47, 0.49, 0.52, 0.54, 0.57, 0.6, 0.62, 0.65)*100,0)</f>
        <v>0</v>
      </c>
      <c r="R104" s="67" cm="1">
        <f t="array" ref="R104">_xlfn.IFS(AND(C14="煙緋",C27&lt;6),15,AND(C14="煙緋",C27&gt;=6),20,TRUE,0)</f>
        <v>0</v>
      </c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4"/>
    </row>
    <row r="105" spans="1:34" x14ac:dyDescent="0.15">
      <c r="A105" cm="1">
        <f t="array" ref="A105">_xlfn.IFS(AND(C15&gt;=1,C15&lt;20),C105,AND(C15&gt;=20,C15&lt;40),D105,AND(C15&gt;=40,C15&lt;50),E105,AND(C15&gt;=50,C15&lt;60),F105,AND(C15&gt;=60,C15&lt;70),G105,AND(C15&gt;=70,C15&lt;80),H105,AND(C15&gt;=80,C15&lt;90),I105,C15=90,J105)</f>
        <v>12981</v>
      </c>
      <c r="B105" s="24" t="s">
        <v>125</v>
      </c>
      <c r="C105" s="26">
        <v>1011</v>
      </c>
      <c r="D105" s="27">
        <v>3488</v>
      </c>
      <c r="E105" s="27">
        <v>5834</v>
      </c>
      <c r="F105" s="33">
        <v>7533</v>
      </c>
      <c r="G105" s="27">
        <v>9034</v>
      </c>
      <c r="H105" s="27">
        <v>10547</v>
      </c>
      <c r="I105" s="27">
        <v>12068</v>
      </c>
      <c r="J105" s="26">
        <v>12981</v>
      </c>
      <c r="M105" s="7" t="s">
        <v>200</v>
      </c>
      <c r="N105" s="67"/>
      <c r="O105" s="67"/>
      <c r="P105" s="67"/>
      <c r="R105" s="67"/>
      <c r="S105" s="67"/>
      <c r="T105" s="67">
        <f>IF(AND(C14="辛炎",G17="物理"),15,0)</f>
        <v>0</v>
      </c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>
        <f>IFERROR(IF(AND(OR(C14="辛炎",D14="辛炎",E14="辛炎",F14="辛炎"),INDEX(B14:G26,12,MATCH("辛炎",B14:G14,0))&gt;=4),-15,0),0)</f>
        <v>0</v>
      </c>
      <c r="AF105" s="67"/>
      <c r="AG105" s="67">
        <f>IF(AND(C14="辛炎",C17="重撃"),C20*0.5,0)</f>
        <v>0</v>
      </c>
      <c r="AH105" s="4"/>
    </row>
    <row r="106" spans="1:34" x14ac:dyDescent="0.15">
      <c r="A106" cm="1">
        <f t="array" ref="A106">_xlfn.IFS(AND(C15&gt;=1,C15&lt;20),C106,AND(C15&gt;=20,C15&lt;40),D106,AND(C15&gt;=40,C15&lt;50),E106,AND(C15&gt;=50,C15&lt;60),F106,AND(C15&gt;=60,C15&lt;70),G106,AND(C15&gt;=70,C15&lt;80),H106,AND(C15&gt;=80,C15&lt;90),I106,C15=90,J106)</f>
        <v>784</v>
      </c>
      <c r="B106" s="24" t="s">
        <v>128</v>
      </c>
      <c r="C106" s="25">
        <v>61</v>
      </c>
      <c r="D106" s="28">
        <v>211</v>
      </c>
      <c r="E106" s="28">
        <v>352</v>
      </c>
      <c r="F106" s="34">
        <v>455</v>
      </c>
      <c r="G106" s="28">
        <v>546</v>
      </c>
      <c r="H106" s="28">
        <v>637</v>
      </c>
      <c r="I106" s="28">
        <v>729</v>
      </c>
      <c r="J106" s="25">
        <v>784</v>
      </c>
      <c r="M106" s="7" t="s">
        <v>25</v>
      </c>
      <c r="N106" s="67"/>
      <c r="O106" s="67"/>
      <c r="P106" s="67" cm="1">
        <f t="array" ref="P106">IF(OR(C14="ベネット",D14="ベネット",E14="ベネット",F14="ベネット"),INDEX(C35:F35,MATCH("ベネット",C14:F14,0))+K137,0)*(_xlfn.IFS(INDEX(C34:F34,MATCH("ベネット",C14:F14,0))=1,0.56,INDEX(C34:F34,MATCH("ベネット",C14:F14,0))=2,0.6,INDEX(C34:F34,MATCH("ベネット",C14:F14,0))=3,0.64,INDEX(C34:F34,MATCH("ベネット",C14:F14,0))=4,0.7,INDEX(C34:F34,MATCH("ベネット",C14:F14,0))=5,0.74,INDEX(C34:F34,MATCH("ベネット",C14:F14,0))=6,0.78,INDEX(C34:F34,MATCH("ベネット",C14:F14,0))=7,0.84,INDEX(C34:F34,MATCH("ベネット",C14:F14,0))=8,0.9,INDEX(C34:F34,MATCH("ベネット",C14:F14,0))=9,0.95,INDEX(C34:F34,MATCH("ベネット",C14:F14,0))=10,1.01,INDEX(C34:F34,MATCH("ベネット",C14:F14,0))=11,1.06,INDEX(C34:F34,MATCH("ベネット",C14:F14,0))=12,1.12,INDEX(C34:F34,MATCH("ベネット",C14:F14,0))=13,1.19,TRUE,0)+IF(INDEX(C27:F27,MATCH("ベネット",C14:F14,0))&gt;=1,0.2,0))</f>
        <v>1184.28</v>
      </c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>
        <f>IFERROR(IF(AND(C16="炎",OR(C14="ベネット",D14="ベネット",E14="ベネット",F14="ベネット"),INDEX(B27:F27,MATCH("ベネット",B14:F14,0))=6),15,0),0)</f>
        <v>0</v>
      </c>
      <c r="AH106" s="4"/>
    </row>
    <row r="107" spans="1:34" x14ac:dyDescent="0.15">
      <c r="A107" cm="1">
        <f t="array" ref="A107">_xlfn.IFS(AND(C15&gt;=1,C15&lt;20),C107,AND(C15&gt;=20,C15&lt;40),D107,AND(C15&gt;=40,C15&lt;50),E107,AND(C15&gt;=50,C15&lt;60),F107,AND(C15&gt;=60,C15&lt;70),G107,AND(C15&gt;=70,C15&lt;80),H107,AND(C15&gt;=80,C15&lt;90),I107,C15=90,J107)</f>
        <v>335</v>
      </c>
      <c r="B107" s="24" t="s">
        <v>130</v>
      </c>
      <c r="C107" s="25">
        <v>26</v>
      </c>
      <c r="D107" s="28">
        <v>90</v>
      </c>
      <c r="E107" s="28">
        <v>151</v>
      </c>
      <c r="F107" s="34">
        <v>194</v>
      </c>
      <c r="G107" s="28">
        <v>233</v>
      </c>
      <c r="H107" s="28">
        <v>272</v>
      </c>
      <c r="I107" s="28">
        <v>341</v>
      </c>
      <c r="J107" s="25">
        <v>335</v>
      </c>
      <c r="M107" s="7" t="s">
        <v>203</v>
      </c>
      <c r="N107" s="67"/>
      <c r="O107" s="67"/>
      <c r="P107" s="67"/>
      <c r="R107" s="67"/>
      <c r="S107" s="67"/>
      <c r="T107" s="67"/>
      <c r="U107" s="67"/>
      <c r="V107" s="67"/>
      <c r="W107" s="67">
        <f>IF(AND(OR(C14="香菱", D14="香菱", E14="香菱", F14="香菱"), C27&gt;=1, C16="炎"), -15, 0)</f>
        <v>0</v>
      </c>
      <c r="X107" s="67"/>
      <c r="Y107" s="67"/>
      <c r="Z107" s="67"/>
      <c r="AA107" s="67"/>
      <c r="AB107" s="67"/>
      <c r="AC107" s="67"/>
      <c r="AD107" s="67"/>
      <c r="AE107" s="67"/>
      <c r="AF107" s="67"/>
      <c r="AG107" s="67">
        <f>IF(AND(OR(C14="香菱", D14="香菱", E14="香菱", F14="香菱"), C27&gt;=6, C16="炎"), 15, 0)</f>
        <v>0</v>
      </c>
      <c r="AH107" s="4"/>
    </row>
    <row r="108" spans="1:34" x14ac:dyDescent="0.15">
      <c r="A108" cm="1">
        <f t="array" ref="A108">_xlfn.IFS(AND(C15&gt;=1,C15&lt;20),C108,AND(C15&gt;=20,C15&lt;40),D108,AND(C15&gt;=40,C15&lt;50),E108,AND(C15&gt;=50,C15&lt;60),F108,AND(C15&gt;=60,C15&lt;70),G108,AND(C15&gt;=70,C15&lt;80),H108,AND(C15&gt;=80,C15&lt;90),I108,C15=90,J108)</f>
        <v>0.192</v>
      </c>
      <c r="B108" s="24" t="s">
        <v>37</v>
      </c>
      <c r="C108" s="29" t="s">
        <v>132</v>
      </c>
      <c r="D108" s="30" t="s">
        <v>132</v>
      </c>
      <c r="E108" s="31">
        <v>4.8000000000000001E-2</v>
      </c>
      <c r="F108" s="31">
        <v>9.6000000000000002E-2</v>
      </c>
      <c r="G108" s="31">
        <v>9.6000000000000002E-2</v>
      </c>
      <c r="H108" s="31">
        <v>0.14399999999999999</v>
      </c>
      <c r="I108" s="31">
        <v>0.192</v>
      </c>
      <c r="J108" s="32">
        <v>0.192</v>
      </c>
      <c r="M108" s="7" t="s">
        <v>205</v>
      </c>
      <c r="N108" s="67"/>
      <c r="O108" s="67"/>
      <c r="P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>
        <f>IF(AND(OR(C14="アンバー", D14="アンバー", E14="アンバー", F14="アンバー"), C27&gt;=6), 15, 0)</f>
        <v>0</v>
      </c>
      <c r="AH108" s="4"/>
    </row>
    <row r="109" spans="1:34" x14ac:dyDescent="0.2">
      <c r="B109" t="s">
        <v>191</v>
      </c>
      <c r="M109" s="7" t="s">
        <v>207</v>
      </c>
      <c r="N109" s="67"/>
      <c r="O109" s="67"/>
      <c r="P109" s="67"/>
      <c r="R109" s="67"/>
      <c r="S109" s="67"/>
      <c r="T109" s="67"/>
      <c r="U109" s="67"/>
      <c r="V109" s="67"/>
      <c r="W109" s="67">
        <f>IF(AND(C14="ムアラニ", C27&gt;=1, C17="通常攻撃"), C19*66, 0)</f>
        <v>0</v>
      </c>
      <c r="X109" s="67"/>
      <c r="Y109" s="67"/>
      <c r="Z109" s="67"/>
      <c r="AA109" s="67"/>
      <c r="AB109" s="67"/>
      <c r="AC109" s="67"/>
      <c r="AD109" s="67"/>
      <c r="AE109" s="67">
        <f>IF(AND(C14="ムアラニ", C27&gt;=4, C17="元素爆発"), 75, 0)</f>
        <v>0</v>
      </c>
      <c r="AF109" s="67"/>
      <c r="AG109" s="67"/>
      <c r="AH109" s="4"/>
    </row>
    <row r="110" spans="1:34" ht="15" x14ac:dyDescent="0.2">
      <c r="A110" cm="1">
        <f t="array" ref="A110">_xlfn.IFS(AND(C15&gt;=1,C15&lt;20),C110,AND(C15&gt;=20,C15&lt;40),D110,AND(C15&gt;=40,C15&lt;50),E110,AND(C15&gt;=50,C15&lt;60),F110,AND(C15&gt;=60,C15&lt;70),G110,AND(C15&gt;=70,C15&lt;80),H110,AND(C15&gt;=80,C15&lt;90),I110,C15=90,J110)</f>
        <v>11419</v>
      </c>
      <c r="B110" s="15" t="s">
        <v>125</v>
      </c>
      <c r="C110" s="19">
        <v>957</v>
      </c>
      <c r="D110" s="17">
        <v>3475</v>
      </c>
      <c r="E110" s="17">
        <v>5264</v>
      </c>
      <c r="F110" s="17">
        <v>6732</v>
      </c>
      <c r="G110" s="17">
        <v>8034</v>
      </c>
      <c r="H110" s="17">
        <v>9329</v>
      </c>
      <c r="I110" s="17">
        <v>10628</v>
      </c>
      <c r="J110" s="16">
        <v>11419</v>
      </c>
      <c r="M110" s="7" t="s">
        <v>209</v>
      </c>
      <c r="N110" s="67"/>
      <c r="O110" s="67"/>
      <c r="P110" s="67"/>
      <c r="R110" s="67">
        <f>IF(C14="シグウィン", 8, 0)</f>
        <v>0</v>
      </c>
      <c r="S110" s="67">
        <f>IF(AND(OR(C14="シグウィン", D14="シグウィン", E14="シグウィン", F14="シグウィン"), C17="元素スキル"),    (INDEX(C19:F19, MATCH("シグウィン", C14:F14, 0)) - 30000) * 0.08, 0)</f>
        <v>0</v>
      </c>
      <c r="T110" s="67"/>
      <c r="U110" s="67"/>
      <c r="V110" s="67"/>
      <c r="W110" s="67">
        <f>IFERROR(IF(AND(OR(C14="シグウィン", D14="シグウィン", E14="シグウィン", F14="シグウィン"), C17="元素スキル",INDEX(C27:F27,MATCH("シグウィン",C14:F14,0))&gt;=1),    (INDEX(C19:F19, MATCH("シグウィン", C14:F14, 0)) - 30000) * 0.02, 0),0)</f>
        <v>0</v>
      </c>
      <c r="X110" s="67"/>
      <c r="Y110" s="67"/>
      <c r="Z110" s="67">
        <f>IFERROR(IF(AND(OR(C14="シグウィン", D14="シグウィン", E14="シグウィン", F14="シグウィン"),
        INDEX(C27:F27, MATCH("シグウィン", C14:F14, 0)) &gt;= 2,
        C16="水"), -35, 0),0)</f>
        <v>0</v>
      </c>
      <c r="AA110" s="67"/>
      <c r="AB110" s="67"/>
      <c r="AC110" s="67"/>
      <c r="AD110" s="67"/>
      <c r="AE110" s="67"/>
      <c r="AF110" s="67"/>
      <c r="AG110" s="67">
        <f>IF(AND(C14="シグウィン", C27&gt;=6), C19*0.0004, 0)</f>
        <v>0</v>
      </c>
      <c r="AH110" s="4">
        <f>IF(AND(C14="シグウィン", C27&gt;=6), C19*0.0022, 0)</f>
        <v>0</v>
      </c>
    </row>
    <row r="111" spans="1:34" ht="15" x14ac:dyDescent="0.2">
      <c r="A111" cm="1">
        <f t="array" ref="A111">_xlfn.IFS(AND(C15&gt;=1,C15&lt;20),C111,AND(C15&gt;=20,C15&lt;40),D111,AND(C15&gt;=40,C15&lt;50),E111,AND(C15&gt;=50,C15&lt;60),F111,AND(C15&gt;=60,C15&lt;70),G111,AND(C15&gt;=70,C15&lt;80),H111,AND(C15&gt;=80,C15&lt;90),I111,C15=90,J111)</f>
        <v>703</v>
      </c>
      <c r="B111" s="15" t="s">
        <v>128</v>
      </c>
      <c r="C111" s="19">
        <v>59</v>
      </c>
      <c r="D111" s="18">
        <v>195</v>
      </c>
      <c r="E111" s="18">
        <v>324</v>
      </c>
      <c r="F111" s="18">
        <v>414</v>
      </c>
      <c r="G111" s="18">
        <v>494</v>
      </c>
      <c r="H111" s="18">
        <v>574</v>
      </c>
      <c r="I111" s="18">
        <v>654</v>
      </c>
      <c r="J111" s="19">
        <v>703</v>
      </c>
      <c r="M111" s="7" t="s">
        <v>26</v>
      </c>
      <c r="N111" s="67"/>
      <c r="O111" s="67">
        <f>IF(AND(C14="フリーナ",C17="元素スキル"),1.4,1)</f>
        <v>1</v>
      </c>
      <c r="P111" s="67" cm="1">
        <f t="array" ref="P111">IF(OR(C14="フリーナ", D14="フリーナ", E14="フリーナ", F14="フリーナ"),
    _xlfn.IFS(INDEX(C34:F34, MATCH("フリーナ", C14:F14, 0))=1, 21,
        INDEX(C34:F34, MATCH("フリーナ", C14:F14, 0))=2, 27,
        INDEX(C34:F34, MATCH("フリーナ", C14:F14, 0))=3, 33,
        INDEX(C34:F34, MATCH("フリーナ", C14:F14, 0))=4, 39,
        INDEX(C34:F34, MATCH("フリーナ", C14:F14, 0))=5, 45,
        INDEX(C34:F34, MATCH("フリーナ", C14:F14, 0))=6, 51,
        INDEX(C34:F34, MATCH("フリーナ", C14:F14, 0))=7, 57,
        INDEX(C34:F34, MATCH("フリーナ", C14:F14, 0))=8, 63,
        INDEX(C34:F34, MATCH("フリーナ", C14:F14, 0))=9, 69,
        INDEX(C34:F34, MATCH("フリーナ", C14:F14, 0))=10, 75,
        INDEX(C34:F34, MATCH("フリーナ", C14:F14, 0))=11, 81,
        INDEX(C34:F34, MATCH("フリーナ", C14:F14, 0))=12, 87,
        INDEX(C34:F34, MATCH("フリーナ", C14:F14, 0))=13, 93),
    0)</f>
        <v>93</v>
      </c>
      <c r="R111" s="67">
        <f>IF(AND(C14="フリーナ", C17="元素スキル"), MIN(C19*0.0007, 28), 0)</f>
        <v>0</v>
      </c>
      <c r="S111" s="67"/>
      <c r="T111" s="67"/>
      <c r="U111" s="67"/>
      <c r="V111" s="67"/>
      <c r="W111" s="67">
        <f>IF(INDEX(C27:F27,MATCH("フリーナ",C14:F14,0))&gt;=1,P111/3,0)</f>
        <v>31</v>
      </c>
      <c r="X111" s="67"/>
      <c r="Y111" s="67"/>
      <c r="Z111" s="67"/>
      <c r="AA111" s="67"/>
      <c r="AB111" s="67"/>
      <c r="AC111" s="67"/>
      <c r="AD111" s="67"/>
      <c r="AE111" s="67"/>
      <c r="AF111" s="67"/>
      <c r="AG111" s="67">
        <f>IF(AND(C14="フリーナ",C27&gt;=6,OR(C17="通常攻撃",C17="重撃",C17="落下攻撃")),C19*0.43,0)</f>
        <v>0</v>
      </c>
      <c r="AH111" s="4"/>
    </row>
    <row r="112" spans="1:34" ht="15" x14ac:dyDescent="0.2">
      <c r="A112" cm="1">
        <f t="array" ref="A112">_xlfn.IFS(AND(C15&gt;=1,C15&lt;20),C112,AND(C15&gt;=20,C15&lt;40),D112,AND(C15&gt;=40,C15&lt;50),E112,AND(C15&gt;=50,C15&lt;60),F112,AND(C15&gt;=60,C15&lt;70),G112,AND(C15&gt;=70,C15&lt;80),H112,AND(C15&gt;=80,C15&lt;90),I112,C15=90,J112)</f>
        <v>302</v>
      </c>
      <c r="B112" s="15" t="s">
        <v>130</v>
      </c>
      <c r="C112" s="19">
        <v>26</v>
      </c>
      <c r="D112" s="18">
        <v>84</v>
      </c>
      <c r="E112" s="18">
        <v>139</v>
      </c>
      <c r="F112" s="18">
        <v>178</v>
      </c>
      <c r="G112" s="18">
        <v>212</v>
      </c>
      <c r="H112" s="18">
        <v>246</v>
      </c>
      <c r="I112" s="18">
        <v>280</v>
      </c>
      <c r="J112" s="19">
        <v>302</v>
      </c>
      <c r="M112" s="7" t="s">
        <v>212</v>
      </c>
      <c r="N112" s="67">
        <f>IF(AND(C14="ヌヴィレット", C17="重撃"),
    IF(COUNTIF(C16:F16, C16)=4, 1,
    IF(COUNTIF(C16:F16, C16)=3, 1.1,
    IF(COUNTIF(C16:F16, C16)=2, 1.25, 1.6))),
1)</f>
        <v>1</v>
      </c>
      <c r="O112" s="67"/>
      <c r="P112" s="67"/>
      <c r="R112" s="67"/>
      <c r="S112" s="67"/>
      <c r="T112" s="67">
        <f>IF(C14="ヌヴィレット",30,0)</f>
        <v>0</v>
      </c>
      <c r="U112" s="67"/>
      <c r="V112" s="67"/>
      <c r="W112" s="67"/>
      <c r="X112" s="67"/>
      <c r="Y112" s="67"/>
      <c r="Z112" s="67">
        <f>IF(AND(C14="ヌヴィレット",C17="重撃",C27&gt;=2),42,0)</f>
        <v>0</v>
      </c>
      <c r="AA112" s="67"/>
      <c r="AB112" s="67"/>
      <c r="AC112" s="67"/>
      <c r="AD112" s="67"/>
      <c r="AE112" s="67"/>
      <c r="AF112" s="67"/>
      <c r="AG112" s="67"/>
      <c r="AH112" s="4"/>
    </row>
    <row r="113" spans="1:34" ht="15" x14ac:dyDescent="0.2">
      <c r="A113" cm="1">
        <f t="array" ref="A113">_xlfn.IFS(AND(C15&gt;=1,C15&lt;20),C113,AND(C15&gt;=20,C15&lt;40),D113,AND(C15&gt;=40,C15&lt;50),E113,AND(C15&gt;=50,C15&lt;60),F113,AND(C15&gt;=60,C15&lt;70),G113,AND(C15&gt;=70,C15&lt;80),H113,AND(C15&gt;=80,C15&lt;90),I113,C15=90,J113)</f>
        <v>0.24</v>
      </c>
      <c r="B113" s="15" t="s">
        <v>36</v>
      </c>
      <c r="C113" s="20" t="s">
        <v>132</v>
      </c>
      <c r="D113" s="21" t="s">
        <v>132</v>
      </c>
      <c r="E113" s="22">
        <v>0.06</v>
      </c>
      <c r="F113" s="22">
        <v>0.12</v>
      </c>
      <c r="G113" s="22">
        <v>0.12</v>
      </c>
      <c r="H113" s="22">
        <v>0.18</v>
      </c>
      <c r="I113" s="22">
        <v>0.24</v>
      </c>
      <c r="J113" s="23">
        <v>0.24</v>
      </c>
      <c r="M113" s="7" t="s">
        <v>214</v>
      </c>
      <c r="N113" s="67"/>
      <c r="O113" s="67"/>
      <c r="P113" s="67"/>
      <c r="R113" s="67">
        <f>IF(AND(C14="ニィロウ", COUNTIF(C16:F16, "草") + COUNTIF(C16:F16, "水") = 4), 100, 0)</f>
        <v>0</v>
      </c>
      <c r="S113" s="67"/>
      <c r="T113" s="67"/>
      <c r="U113" s="67"/>
      <c r="V113" s="67"/>
      <c r="W113" s="67">
        <f>IF(AND(C14="ニィロウ",C17="元素スキル",C27&gt;=1),65,0)</f>
        <v>0</v>
      </c>
      <c r="X113" s="67"/>
      <c r="Y113" s="67"/>
      <c r="Z113" s="67">
        <f>IFERROR(IF(AND(C14="ニィロウ", COUNTIF(C16:F16, "草") + COUNTIF(C16:F16, "水") = 4,INDEX(B27:F27,MATCH("ニィロウ",C14:F14,0))&gt;=2), -35, 0),0)</f>
        <v>0</v>
      </c>
      <c r="AA113" s="67"/>
      <c r="AB113" s="67"/>
      <c r="AC113" s="67"/>
      <c r="AD113" s="67"/>
      <c r="AE113" s="67">
        <f>IF(AND(C14="ニィロウ",C17="元素爆発",C27&gt;=4),50,0)</f>
        <v>0</v>
      </c>
      <c r="AF113" s="67"/>
      <c r="AG113" s="67">
        <f>MIN(IF(AND(C14="ニィロウ",C27&gt;=6),C19*0.0006,0),30)</f>
        <v>0</v>
      </c>
      <c r="AH113" s="4">
        <f>MIN(IF(AND(C14="ニィロウ",C27&gt;=6),C19*0.0012,0),60)</f>
        <v>0</v>
      </c>
    </row>
    <row r="114" spans="1:34" x14ac:dyDescent="0.2">
      <c r="B114" t="s">
        <v>193</v>
      </c>
      <c r="M114" s="7" t="s">
        <v>216</v>
      </c>
      <c r="N114" s="67"/>
      <c r="O114" s="67"/>
      <c r="P114" s="67"/>
      <c r="R114" s="67">
        <f>IF(C14="夜蘭", IF(COUNTIF(C16:F16, C16)=1, 30, IF(COUNTIF(C16:F16, C16)=2, 18, IF(COUNTIF(C16:F16, C16)=3, 12, IF(COUNTIF(C16:F16, C16)=4, 6, 0)))), 0)</f>
        <v>0</v>
      </c>
      <c r="S114" s="67"/>
      <c r="T114" s="67">
        <f>IF(OR(C14="夜蘭",D14="夜蘭",E14="夜蘭",F14="夜蘭"),25,0)</f>
        <v>0</v>
      </c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>
        <f>IF(AND(C14="夜蘭",C27&gt;=4),40,0)</f>
        <v>0</v>
      </c>
      <c r="AF114" s="67"/>
      <c r="AG114" s="67"/>
      <c r="AH114" s="4"/>
    </row>
    <row r="115" spans="1:34" x14ac:dyDescent="0.15">
      <c r="A115" cm="1">
        <f t="array" ref="A115">_xlfn.IFS(AND(C15&gt;=1,C15&lt;20),C115,AND(C15&gt;=20,C15&lt;40),D115,AND(C15&gt;=40,C15&lt;50),E115,AND(C15&gt;=50,C15&lt;60),F115,AND(C15&gt;=60,C15&lt;70),G115,AND(C15&gt;=70,C15&lt;80),H115,AND(C15&gt;=80,C15&lt;90),I115,C15=90,J115)</f>
        <v>11962</v>
      </c>
      <c r="B115" s="24" t="s">
        <v>125</v>
      </c>
      <c r="C115" s="26">
        <v>1003</v>
      </c>
      <c r="D115" s="27">
        <v>3326</v>
      </c>
      <c r="E115" s="27">
        <v>5514</v>
      </c>
      <c r="F115" s="27">
        <v>7052</v>
      </c>
      <c r="G115" s="27">
        <v>8413</v>
      </c>
      <c r="H115" s="27">
        <v>9773</v>
      </c>
      <c r="I115" s="27">
        <v>11134</v>
      </c>
      <c r="J115" s="26">
        <v>11962</v>
      </c>
      <c r="M115" s="7" t="s">
        <v>218</v>
      </c>
      <c r="N115" s="67"/>
      <c r="O115" s="67"/>
      <c r="P115" s="67">
        <f>IF(AND(OR(C14="キャンディス",D14="キャンディス",E14="キャンディス",F14="キャンディス"),C17="通常攻撃"),20,0)</f>
        <v>0</v>
      </c>
      <c r="R115" s="67"/>
      <c r="S115" s="67"/>
      <c r="T115" s="67">
        <f>IF(AND(OR(C14="キャンディス",D14="キャンディス",E14="キャンディス",F14="キャンディス"),C17="通常攻撃"),C19*0.0005,0)</f>
        <v>0</v>
      </c>
      <c r="U115" s="67"/>
      <c r="V115" s="67"/>
      <c r="W115" s="67"/>
      <c r="X115" s="67"/>
      <c r="Y115" s="67"/>
      <c r="Z115" s="67">
        <f>IF(AND(C14="キャンディス",C27&gt;=2),20,0)</f>
        <v>0</v>
      </c>
      <c r="AA115" s="67"/>
      <c r="AB115" s="67"/>
      <c r="AC115" s="67"/>
      <c r="AD115" s="67"/>
      <c r="AE115" s="67"/>
      <c r="AF115" s="67"/>
      <c r="AG115" s="67"/>
      <c r="AH115" s="4"/>
    </row>
    <row r="116" spans="1:34" x14ac:dyDescent="0.15">
      <c r="A116" cm="1">
        <f t="array" ref="A116">_xlfn.IFS(AND(C15&gt;=1,C15&lt;20),C116,AND(C15&gt;=20,C15&lt;40),D116,AND(C15&gt;=40,C15&lt;50),E116,AND(C15&gt;=50,C15&lt;60),F116,AND(C15&gt;=60,C15&lt;70),G116,AND(C15&gt;=70,C15&lt;80),H116,AND(C15&gt;=80,C15&lt;90),I116,C15=90,J116)</f>
        <v>605</v>
      </c>
      <c r="B116" s="24" t="s">
        <v>128</v>
      </c>
      <c r="C116" s="25">
        <v>51</v>
      </c>
      <c r="D116" s="28">
        <v>168</v>
      </c>
      <c r="E116" s="28">
        <v>279</v>
      </c>
      <c r="F116" s="28">
        <v>357</v>
      </c>
      <c r="G116" s="28">
        <v>425</v>
      </c>
      <c r="H116" s="28">
        <v>494</v>
      </c>
      <c r="I116" s="28">
        <v>563</v>
      </c>
      <c r="J116" s="25">
        <v>605</v>
      </c>
      <c r="M116" s="7" t="s">
        <v>220</v>
      </c>
      <c r="N116" s="67"/>
      <c r="O116" s="67"/>
      <c r="P116" s="67"/>
      <c r="R116" s="67"/>
      <c r="S116" s="67"/>
      <c r="T116" s="67">
        <f>IF(AND(C14="珊瑚宮心海",OR(C17="通常攻撃",C17="重撃")),C26*0.15,0)</f>
        <v>0</v>
      </c>
      <c r="U116" s="67">
        <f>IF(C14="珊瑚宮心海",25,0)</f>
        <v>0</v>
      </c>
      <c r="V116" s="67">
        <f>IF(C14="珊瑚宮心海",-100,0)</f>
        <v>0</v>
      </c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>
        <f>IF(AND(C14="珊瑚宮心海",OR(C17="通常攻撃",C17="重撃"),C27&gt;=6),40,0)</f>
        <v>0</v>
      </c>
      <c r="AH116" s="4"/>
    </row>
    <row r="117" spans="1:34" x14ac:dyDescent="0.15">
      <c r="A117" cm="1">
        <f t="array" ref="A117">_xlfn.IFS(AND(C15&gt;=1,C15&lt;20),C117,AND(C15&gt;=20,C15&lt;40),D117,AND(C15&gt;=40,C15&lt;50),E117,AND(C15&gt;=50,C15&lt;60),F117,AND(C15&gt;=60,C15&lt;70),G117,AND(C15&gt;=70,C15&lt;80),H117,AND(C15&gt;=80,C15&lt;90),I117,C15=90,J117)</f>
        <v>194</v>
      </c>
      <c r="B117" s="24" t="s">
        <v>130</v>
      </c>
      <c r="C117" s="25">
        <v>16</v>
      </c>
      <c r="D117" s="28">
        <v>54</v>
      </c>
      <c r="E117" s="28">
        <v>89</v>
      </c>
      <c r="F117" s="28">
        <v>114</v>
      </c>
      <c r="G117" s="28">
        <v>134</v>
      </c>
      <c r="H117" s="28">
        <v>158</v>
      </c>
      <c r="I117" s="28">
        <v>180</v>
      </c>
      <c r="J117" s="25">
        <v>194</v>
      </c>
      <c r="M117" s="7" t="s">
        <v>222</v>
      </c>
      <c r="N117" s="67"/>
      <c r="O117" s="67"/>
      <c r="P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4"/>
    </row>
    <row r="118" spans="1:34" x14ac:dyDescent="0.2">
      <c r="A118" cm="1">
        <f t="array" ref="A118">_xlfn.IFS(AND(C15&gt;=1,C15&lt;20),C118,AND(C15&gt;=20,C15&lt;40),D118,AND(C15&gt;=40,C15&lt;50),E118,AND(C15&gt;=50,C15&lt;60),F118,AND(C15&gt;=60,C15&lt;70),G118,AND(C15&gt;=70,C15&lt;80),H118,AND(C15&gt;=80,C15&lt;90),I118,C15=90,J118)</f>
        <v>0.24</v>
      </c>
      <c r="B118" s="24" t="s">
        <v>159</v>
      </c>
      <c r="C118" s="29" t="s">
        <v>132</v>
      </c>
      <c r="D118" s="30" t="s">
        <v>132</v>
      </c>
      <c r="E118" s="31">
        <v>0.06</v>
      </c>
      <c r="F118" s="31">
        <v>0.12</v>
      </c>
      <c r="G118" s="31">
        <v>0.12</v>
      </c>
      <c r="H118" s="31">
        <v>0.18</v>
      </c>
      <c r="I118" s="31">
        <v>0.24</v>
      </c>
      <c r="J118" s="32">
        <v>0.24</v>
      </c>
      <c r="M118" s="7" t="s">
        <v>224</v>
      </c>
      <c r="N118" s="67"/>
      <c r="O118" s="67"/>
      <c r="P118" s="67" cm="1">
        <f t="array" ref="P118">IF(OR(C14="モナ",D14="モナ",E14="モナ",F14="モナ"),_xlfn.IFS(INDEX(B32:G32,MATCH("モナ",C14:F14,0))=1,42,INDEX(B32:G32,MATCH("モナ",C14:F14,0))=2,44,INDEX(B32:G32,MATCH("モナ",C14:F14,0))=3,46,INDEX(B32:G32,MATCH("モナ",C14:F14,0))=4,48,INDEX(B32:G32,MATCH("モナ",C14:F14,0))=5,50,INDEX(B32:G32,MATCH("モナ",C14:F14,0))=6,52,INDEX(B32:G32,MATCH("モナ",C14:F14,0))=7,54,INDEX(B32:G32,MATCH("モナ",C14:F14,0))=8,56,INDEX(B32:G32,MATCH("モナ",C14:F14,0))=9,58,INDEX(B32:G32,MATCH("モナ",C14:F14,0))=10,60,INDEX(B32:G32,MATCH("モナ",C14:F14,0))=11,60,INDEX(B32:G32,MATCH("モナ",C14:F14,0))=12,60,INDEX(B32:G32,MATCH("モナ",C14:F14,0))=13,60,TRUE,0),0)</f>
        <v>0</v>
      </c>
      <c r="R118" s="67"/>
      <c r="S118" s="67"/>
      <c r="T118" s="67">
        <f>IF(C14="モナ",C25*0.2,0)</f>
        <v>0</v>
      </c>
      <c r="U118" s="67"/>
      <c r="V118" s="67"/>
      <c r="W118" s="67">
        <f>IF(AND(C14="モナ",C27&gt;=1),15,0)</f>
        <v>0</v>
      </c>
      <c r="X118" s="67"/>
      <c r="Y118" s="67"/>
      <c r="Z118" s="67"/>
      <c r="AA118" s="67"/>
      <c r="AB118" s="67"/>
      <c r="AC118" s="67"/>
      <c r="AD118" s="67"/>
      <c r="AE118" s="67"/>
      <c r="AF118" s="67"/>
      <c r="AG118" s="67">
        <f>IF(AND(C14="モナ",C27&gt;=6,C17="重撃"),180,0)</f>
        <v>0</v>
      </c>
      <c r="AH118" s="4"/>
    </row>
    <row r="119" spans="1:34" x14ac:dyDescent="0.2">
      <c r="B119" t="s">
        <v>196</v>
      </c>
      <c r="M119" s="7" t="s">
        <v>226</v>
      </c>
      <c r="N119" s="67"/>
      <c r="O119" s="67" cm="1">
        <f t="array" ref="O119">C19*(IF(AND(C14="神里綾人",C17="通常攻撃"),_xlfn.IFS(C33=1,0.0056,C33=2,0.0061,C33=3,0.0065,C33=4,0.0072,C33=5,0.0076,C33=6,0.0082,C33=7,0.0089,C33=8,0.0096,C33=9,0.0103,C33=10,0.0111,C33=11,0.0119,C33=12,0.0126,C33=13,0.0134),0))*4</f>
        <v>0</v>
      </c>
      <c r="P119" s="67" cm="1">
        <f t="array" ref="P119">IF(AND(OR(C14="神里綾人",D14="神里綾人",E14="神里綾人",F14="神里綾人"),C17="通常攻撃"),_xlfn.IFS(INDEX(B34:F34,MATCH("神里綾人",C14:F14,0))=1,11,INDEX(B34:F34,MATCH("神里綾人",C14:F14,0))=2,12,INDEX(B34:F34,MATCH("神里綾人",C14:F14,0))=3,13,INDEX(B34:F34,MATCH("神里綾人",C14:F14,0))=4,14,INDEX(B34:F34,MATCH("神里綾人",C14:F14,0))=5,15,INDEX(B34:F34,MATCH("神里綾人",C14:F14,0))=6,16,INDEX(B34:F34,MATCH("神里綾人",C14:F14,0))=7,17,INDEX(B34:F34,MATCH("神里綾人",C14:F14,0))=8,18,INDEX(B34:F34,MATCH("神里綾人",C14:F14,0))=9,19,INDEX(B34:F34,MATCH("神里綾人",C14:F14,0))=10,20,INDEX(B34:F34,MATCH("神里綾人",C14:F14,0))=11,20,INDEX(B34:F34,MATCH("神里綾人",C14:F14,0))=12,20,INDEX(B34:F34,MATCH("神里綾人",C14:F14,0))=13,20),0)</f>
        <v>0</v>
      </c>
      <c r="R119" s="67"/>
      <c r="S119" s="67"/>
      <c r="T119" s="67"/>
      <c r="U119" s="67"/>
      <c r="V119" s="67"/>
      <c r="W119" s="67">
        <f>IF(AND(C14="神里綾人",C27&gt;=1,C17="通常攻撃"),40,0)</f>
        <v>0</v>
      </c>
      <c r="X119" s="67"/>
      <c r="Y119" s="67"/>
      <c r="Z119" s="67" cm="1">
        <f t="array" ref="Z119">C19*(IF(AND(C14="神里綾人",C17="通常攻撃",C27&gt;=1),_xlfn.IFS(C33=1,0.0056,C33=2,0.0061,C33=3,0.0065,C33=4,0.0072,C33=5,0.0076,C33=6,0.0082,C33=7,0.0089,C33=8,0.0096,C33=9,0.0103,C33=10,0.0111,C33=11,0.0119,C33=12,0.0126,C33=13,0.0134),0))</f>
        <v>0</v>
      </c>
      <c r="AA119" s="67">
        <f>IF(AND(C14="神里綾人",C27&gt;=2),50,0)</f>
        <v>0</v>
      </c>
      <c r="AB119" s="67"/>
      <c r="AC119" s="67"/>
      <c r="AD119" s="67"/>
      <c r="AE119" s="67"/>
      <c r="AF119" s="67"/>
      <c r="AG119" s="67"/>
      <c r="AH119" s="4"/>
    </row>
    <row r="120" spans="1:34" x14ac:dyDescent="0.15">
      <c r="A120" cm="1">
        <f t="array" ref="A120">_xlfn.IFS(AND(C15&gt;=1,C15&lt;20),C120,AND(C15&gt;=20,C15&lt;40),D120,AND(C15&gt;=40,C15&lt;50),E120,AND(C15&gt;=50,C15&lt;60),F120,AND(C15&gt;=60,C15&lt;70),G120,AND(C15&gt;=70,C15&lt;80),H120,AND(C15&gt;=80,C15&lt;90),I120,C15=90,J120)</f>
        <v>10334</v>
      </c>
      <c r="B120" s="24" t="s">
        <v>125</v>
      </c>
      <c r="C120" s="25">
        <v>866</v>
      </c>
      <c r="D120" s="27">
        <v>2872</v>
      </c>
      <c r="E120" s="27">
        <v>4762</v>
      </c>
      <c r="F120" s="27">
        <v>6091</v>
      </c>
      <c r="G120" s="27">
        <v>7266</v>
      </c>
      <c r="H120" s="27">
        <v>8440</v>
      </c>
      <c r="I120" s="27">
        <v>9616</v>
      </c>
      <c r="J120" s="26">
        <v>10334</v>
      </c>
      <c r="M120" s="7" t="s">
        <v>228</v>
      </c>
      <c r="N120" s="67"/>
      <c r="O120" s="67"/>
      <c r="P120" s="67"/>
      <c r="R120" s="67"/>
      <c r="S120" s="67"/>
      <c r="T120" s="67">
        <f>IF(AND(C14="行秋",C15&gt;=60),20,0)</f>
        <v>0</v>
      </c>
      <c r="U120" s="67"/>
      <c r="V120" s="67">
        <f>IF(AND(C14="行秋",C27&gt;=4,C17="元素スキル"),1.5,1)</f>
        <v>1</v>
      </c>
      <c r="W120" s="67"/>
      <c r="X120" s="67"/>
      <c r="Y120" s="67"/>
      <c r="Z120" s="67">
        <f>IFERROR(IF(AND(OR(C14="行秋",D14="行秋",E14="行秋",F14="行秋"),INDEX(B26:G26,MATCH("行秋",B14:G14,0))&gt;=2),-15,0),0)</f>
        <v>0</v>
      </c>
      <c r="AA120" s="67"/>
      <c r="AB120" s="67"/>
      <c r="AC120" s="67"/>
      <c r="AD120" s="67"/>
      <c r="AE120" s="67"/>
      <c r="AF120" s="67"/>
      <c r="AG120" s="67"/>
      <c r="AH120" s="4"/>
    </row>
    <row r="121" spans="1:34" x14ac:dyDescent="0.15">
      <c r="A121" cm="1">
        <f t="array" ref="A121">_xlfn.IFS(AND(C15&gt;=1,C15&lt;20),C121,AND(C15&gt;=20,C15&lt;40),D121,AND(C15&gt;=40,C15&lt;50),E121,AND(C15&gt;=50,C15&lt;60),F121,AND(C15&gt;=60,C15&lt;70),G121,AND(C15&gt;=70,C15&lt;80),H121,AND(C15&gt;=80,C15&lt;90),I121,C15=90,J121)</f>
        <v>751</v>
      </c>
      <c r="B121" s="24" t="s">
        <v>128</v>
      </c>
      <c r="C121" s="25">
        <v>63</v>
      </c>
      <c r="D121" s="28">
        <v>209</v>
      </c>
      <c r="E121" s="28">
        <v>346</v>
      </c>
      <c r="F121" s="28">
        <v>443</v>
      </c>
      <c r="G121" s="28">
        <v>528</v>
      </c>
      <c r="H121" s="28">
        <v>613</v>
      </c>
      <c r="I121" s="28">
        <v>699</v>
      </c>
      <c r="J121" s="25">
        <v>751</v>
      </c>
      <c r="M121" s="7" t="s">
        <v>230</v>
      </c>
      <c r="N121" s="67"/>
      <c r="O121" s="67"/>
      <c r="P121" s="67"/>
      <c r="R121" s="67"/>
      <c r="S121" s="67"/>
      <c r="T121" s="67"/>
      <c r="U121" s="67"/>
      <c r="V121" s="67"/>
      <c r="W121" s="67"/>
      <c r="X121" s="67"/>
      <c r="Y121" s="67"/>
      <c r="Z121" s="67">
        <f>IFERROR(IF(AND(OR(C14="バーバラ",D14="バーバラ",E14="バーバラ",F14="バーバラ"),INDEX(B29:F29,MATCH("バーバラ",C14:F14,0))&gt;=2),15,0),0)</f>
        <v>0</v>
      </c>
      <c r="AA121" s="67"/>
      <c r="AB121" s="67"/>
      <c r="AC121" s="67"/>
      <c r="AD121" s="67"/>
      <c r="AE121" s="67"/>
      <c r="AF121" s="67"/>
      <c r="AG121" s="67"/>
      <c r="AH121" s="4"/>
    </row>
    <row r="122" spans="1:34" x14ac:dyDescent="0.15">
      <c r="A122" cm="1">
        <f t="array" ref="A122">_xlfn.IFS(AND(C15&gt;=1,C15&lt;20),C122,AND(C15&gt;=20,C15&lt;40),D122,AND(C15&gt;=40,C15&lt;50),E122,AND(C15&gt;=50,C15&lt;60),F122,AND(C15&gt;=60,C15&lt;70),G122,AND(C15&gt;=70,C15&lt;80),H122,AND(C15&gt;=80,C15&lt;90),I122,C15=90,J122)</f>
        <v>202</v>
      </c>
      <c r="B122" s="24" t="s">
        <v>130</v>
      </c>
      <c r="C122" s="25">
        <v>17</v>
      </c>
      <c r="D122" s="28">
        <v>56</v>
      </c>
      <c r="E122" s="28">
        <v>93</v>
      </c>
      <c r="F122" s="28">
        <v>119</v>
      </c>
      <c r="G122" s="28">
        <v>142</v>
      </c>
      <c r="H122" s="28">
        <v>165</v>
      </c>
      <c r="I122" s="28">
        <v>188</v>
      </c>
      <c r="J122" s="25">
        <v>202</v>
      </c>
      <c r="M122" s="7" t="s">
        <v>232</v>
      </c>
      <c r="N122" s="67"/>
      <c r="O122" s="67">
        <f>IF(AND(C14="リオセスリ",C17="通常攻撃"),CHOOSE(C33, 1.432, 1.458, 1.483, 1.517, 1.543, 1.569, 1.602, 1.636, 1.67, 1.703),1)</f>
        <v>1</v>
      </c>
      <c r="P122" s="67"/>
      <c r="R122" s="67">
        <f>IF(AND(C14="リオセスリ",C17="重撃"),50,0)</f>
        <v>0</v>
      </c>
      <c r="S122" s="67"/>
      <c r="T122" s="67">
        <f>IF(C14="リオセスリ",30,0)</f>
        <v>0</v>
      </c>
      <c r="U122" s="67"/>
      <c r="V122" s="67"/>
      <c r="W122" s="67">
        <f>IF(AND(C14="リオセスリ",C17="重撃",C27&gt;=1),150,0)</f>
        <v>0</v>
      </c>
      <c r="X122" s="67"/>
      <c r="Y122" s="67"/>
      <c r="Z122" s="67">
        <f>IF(AND(C14="リオセスリ",C17="元素爆発",C27&gt;=2),200,0)</f>
        <v>0</v>
      </c>
      <c r="AA122" s="67"/>
      <c r="AB122" s="67"/>
      <c r="AC122" s="67"/>
      <c r="AD122" s="67"/>
      <c r="AE122" s="67"/>
      <c r="AF122" s="67"/>
      <c r="AG122" s="67"/>
      <c r="AH122" s="4"/>
    </row>
    <row r="123" spans="1:34" x14ac:dyDescent="0.15">
      <c r="A123" cm="1">
        <f t="array" ref="A123">_xlfn.IFS(AND(C15&gt;=1,C15&lt;20),C123,AND(C15&gt;=20,C15&lt;40),D123,AND(C15&gt;=40,C15&lt;50),E123,AND(C15&gt;=50,C15&lt;60),F123,AND(C15&gt;=60,C15&lt;70),G123,AND(C15&gt;=70,C15&lt;80),H123,AND(C15&gt;=80,C15&lt;90),I123,C15=90,J123)</f>
        <v>0.24</v>
      </c>
      <c r="B123" s="24" t="s">
        <v>36</v>
      </c>
      <c r="C123" s="29" t="s">
        <v>132</v>
      </c>
      <c r="D123" s="30" t="s">
        <v>132</v>
      </c>
      <c r="E123" s="31">
        <v>0.06</v>
      </c>
      <c r="F123" s="31">
        <v>0.12</v>
      </c>
      <c r="G123" s="31">
        <v>0.12</v>
      </c>
      <c r="H123" s="31">
        <v>0.18</v>
      </c>
      <c r="I123" s="31">
        <v>0.24</v>
      </c>
      <c r="J123" s="32">
        <v>0.24</v>
      </c>
      <c r="M123" s="7" t="s">
        <v>27</v>
      </c>
      <c r="N123" s="67"/>
      <c r="O123" s="67" cm="1">
        <f t="array" ref="O123">IF(AND(OR(C14="申鶴",D14="申鶴",E14="申鶴",F14="申鶴"),C16="氷"),_xlfn.IFS(INDEX(B21:F21,MATCH("申鶴",C14:F14,0))=1,0.457,INDEX(B21:F21,MATCH("申鶴",C14:F14,0))=2,0.491,INDEX(B21:F21,MATCH("申鶴",C14:F14,0))=3,0.525,INDEX(B21:F21,MATCH("申鶴",C14:F14,0))=4,0.571,INDEX(B21:F21,MATCH("申鶴",C14:F14,0))=5,0.605,INDEX(B21:F21,MATCH("申鶴",C14:F14,0))=6,0.639,INDEX(B21:F21,MATCH("申鶴",C14:F14,0))=7,0.685,INDEX(B21:F21,MATCH("申鶴",C14:F14,0))=8,0.73,INDEX(B21:F21,MATCH("申鶴",C14:F14,0))=9,0.776,INDEX(B21:F21,MATCH("申鶴",C14:F14,0))=10,0.822,INDEX(B21:F21,MATCH("申鶴",C14:F14,0))=11,0.867,INDEX(B21:F21,MATCH("申鶴",C14:F14,0))=12,0.913,INDEX(B21:F21,MATCH("申鶴",C14:F14,0))=13,0.97,TRUE,0)*INDEX(B21:F21,MATCH("申鶴",C14:F14)),0)</f>
        <v>0</v>
      </c>
      <c r="P123" s="67" cm="1">
        <f t="array" ref="P123">IF(AND(OR(C14="申鶴",D14="申鶴",E14="申鶴",F14="申鶴"),C16="氷"),_xlfn.IFS(INDEX(B21:F21,MATCH("申鶴",C14:F14,0))=1,-6,INDEX(B21:F21,MATCH("申鶴",C14:F14,0))=2,-7,INDEX(B21:F21,MATCH("申鶴",C14:F14,0))=3,-8,INDEX(B21:F21,MATCH("申鶴",C14:F14,0))=4,-9,INDEX(B21:F21,MATCH("申鶴",C14:F14,0))=5,-10,INDEX(B21:F21,MATCH("申鶴",C14:F14,0))=6,-11,INDEX(B21:F21,MATCH("申鶴",C14:F14,0))=7,-12,INDEX(B21:F21,MATCH("申鶴",C14:F14,0))=8,-13,INDEX(B21:F21,MATCH("申鶴",C14:F14,0))=9,-14,INDEX(B21:F21,MATCH("申鶴",C14:F14,0))=10,-15,INDEX(B21:F21,MATCH("申鶴",C14:F14,0))=11,-15,INDEX(B21:F21,MATCH("申鶴",C14:F14,0))=12,-15,INDEX(B21:F21,MATCH("申鶴",C14:F14,0))=13,-15,TRUE,0),0)</f>
        <v>0</v>
      </c>
      <c r="R123" s="67">
        <f>IF(AND(OR(C14="申鶴",D14="申鶴",E14="申鶴",F14="申鶴"),C16="氷",G17&lt;&gt;"物理"),15,0)</f>
        <v>0</v>
      </c>
      <c r="S123" s="67">
        <f>IF(OR(C14="申鶴",D14="申鶴",E14="申鶴",F14="申鶴"),15,0)</f>
        <v>15</v>
      </c>
      <c r="T123" s="67"/>
      <c r="U123" s="67"/>
      <c r="V123" s="67"/>
      <c r="W123" s="67"/>
      <c r="X123" s="67"/>
      <c r="Y123" s="67"/>
      <c r="Z123" s="67">
        <f>IFERROR(IF(AND(OR(C14="申鶴",D14="申鶴",E14="申鶴",F14="申鶴"),C16="氷",G17&lt;&gt;"物理",INDEX(B27:F27,MATCH("申鶴",C14:F14,0))&gt;=2),15,0),0)</f>
        <v>0</v>
      </c>
      <c r="AA123" s="67"/>
      <c r="AB123" s="67"/>
      <c r="AC123" s="67"/>
      <c r="AD123" s="67"/>
      <c r="AE123" s="67">
        <f>IF(AND(C14="申鶴",C27&gt;=4,C17="元素スキル"),250,0)</f>
        <v>0</v>
      </c>
      <c r="AF123" s="67"/>
      <c r="AG123" s="67">
        <f>IF(AND(C14="リオセスリ",C17="重撃",C27&gt;=6),10,0)</f>
        <v>0</v>
      </c>
      <c r="AH123" s="4">
        <f>IF(AND(C14="リオセスリ",C17="重撃",C27&gt;=6),80,0)</f>
        <v>0</v>
      </c>
    </row>
    <row r="124" spans="1:34" x14ac:dyDescent="0.2">
      <c r="B124" t="s">
        <v>198</v>
      </c>
      <c r="M124" s="7" t="s">
        <v>235</v>
      </c>
      <c r="N124" s="67"/>
      <c r="O124" s="67"/>
      <c r="P124" s="67"/>
      <c r="R124" s="67">
        <f>IF(OR(C14="アーロイ",D14="アーロイ",E14="アーロイ",F14="アーロイ"),8,0)</f>
        <v>0</v>
      </c>
      <c r="S124" s="67">
        <f>IF(C14="アーロイ",16,0)</f>
        <v>0</v>
      </c>
      <c r="T124" s="67">
        <f>IF(C14="アーロイ",17.5,0)</f>
        <v>0</v>
      </c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4"/>
    </row>
    <row r="125" spans="1:34" x14ac:dyDescent="0.15">
      <c r="A125" cm="1">
        <f t="array" ref="A125">_xlfn.IFS(AND(C15&gt;=1,C15&lt;20),C125,AND(C15&gt;=20,C15&lt;40),D125,AND(C15&gt;=40,C15&lt;50),E125,AND(C15&gt;=50,C15&lt;60),F125,AND(C15&gt;=60,C15&lt;70),G125,AND(C15&gt;=70,C15&lt;80),H125,AND(C15&gt;=80,C15&lt;90),I125,C15=90,J125)</f>
        <v>9352</v>
      </c>
      <c r="B125" s="24" t="s">
        <v>125</v>
      </c>
      <c r="C125" s="25">
        <v>784</v>
      </c>
      <c r="D125" s="27">
        <v>2600</v>
      </c>
      <c r="E125" s="27">
        <v>4341</v>
      </c>
      <c r="F125" s="27">
        <v>5514</v>
      </c>
      <c r="G125" s="27">
        <v>6578</v>
      </c>
      <c r="H125" s="27">
        <v>7641</v>
      </c>
      <c r="I125" s="27">
        <v>8705</v>
      </c>
      <c r="J125" s="26">
        <v>9352</v>
      </c>
      <c r="M125" s="7" t="s">
        <v>237</v>
      </c>
      <c r="N125" s="67"/>
      <c r="O125" s="67"/>
      <c r="P125" s="67"/>
      <c r="R125" s="67">
        <f>IF(AND(C14="神里綾華",OR(C17="通常攻撃",C17="重撃")),30,0)</f>
        <v>0</v>
      </c>
      <c r="S125" s="67">
        <f>IF(C14="神里綾華",18,0)</f>
        <v>0</v>
      </c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>
        <f>IFERROR(IF(AND(OR(C14="神里綾華",D14="神里綾華",E14="神里綾華",F14="神里綾華"),INDEX(C27:F27,MATCH("神里綾華",C14:F14,0))&gt;=4),30,0),0)</f>
        <v>0</v>
      </c>
      <c r="AF125" s="67"/>
      <c r="AG125" s="67">
        <f>IF(AND(C14="神里綾華",C17="重撃",C27&gt;=6),298,0)</f>
        <v>0</v>
      </c>
      <c r="AH125" s="4"/>
    </row>
    <row r="126" spans="1:34" x14ac:dyDescent="0.15">
      <c r="A126" cm="1">
        <f t="array" ref="A126">_xlfn.IFS(AND(C15&gt;=1,C15&lt;20),C126,AND(C15&gt;=20,C15&lt;40),D126,AND(C15&gt;=40,C15&lt;50),E126,AND(C15&gt;=50,C15&lt;60),F126,AND(C15&gt;=60,C15&lt;70),G126,AND(C15&gt;=70,C15&lt;80),H126,AND(C15&gt;=80,C15&lt;90),I126,C15=90,J126)</f>
        <v>587</v>
      </c>
      <c r="B126" s="24" t="s">
        <v>128</v>
      </c>
      <c r="C126" s="25">
        <v>49</v>
      </c>
      <c r="D126" s="28">
        <v>163</v>
      </c>
      <c r="E126" s="28">
        <v>271</v>
      </c>
      <c r="F126" s="28">
        <v>346</v>
      </c>
      <c r="G126" s="28">
        <v>413</v>
      </c>
      <c r="H126" s="28">
        <v>480</v>
      </c>
      <c r="I126" s="28">
        <v>546</v>
      </c>
      <c r="J126" s="25">
        <v>587</v>
      </c>
      <c r="M126" s="7" t="s">
        <v>238</v>
      </c>
      <c r="N126" s="67"/>
      <c r="O126" s="67" cm="1">
        <f t="array" ref="O126">IF(C14="エウルア",_xlfn.IFS(C33=1,-16,C33=2,-17,C33=3,-18,C33=4,-19,C33=5,-20,C33=6,-21,C33=7,-22,C33=8,-23,C33=9,-24,C33=10,-25,C33=11,-25,C33=12,-25,C33=13,-25,TRUE,0),0)</f>
        <v>0</v>
      </c>
      <c r="P126" s="67"/>
      <c r="R126" s="67"/>
      <c r="S126" s="67"/>
      <c r="T126" s="67"/>
      <c r="U126" s="67"/>
      <c r="V126" s="67"/>
      <c r="W126" s="67">
        <f>IF(AND(C14="エウルア",C27&gt;=1,G17="物理攻撃"),30,0)</f>
        <v>0</v>
      </c>
      <c r="X126" s="67"/>
      <c r="Y126" s="67"/>
      <c r="Z126" s="67"/>
      <c r="AA126" s="67"/>
      <c r="AB126" s="67"/>
      <c r="AC126" s="67"/>
      <c r="AD126" s="67"/>
      <c r="AE126" s="67">
        <f>IF(AND(C14="エウルア",C27&gt;=4,C17="元素爆発",G17="物理攻撃"),25,0)</f>
        <v>0</v>
      </c>
      <c r="AF126" s="67"/>
      <c r="AG126" s="67"/>
      <c r="AH126" s="4"/>
    </row>
    <row r="127" spans="1:34" x14ac:dyDescent="0.15">
      <c r="A127" cm="1">
        <f t="array" ref="A127">_xlfn.IFS(AND(C15&gt;=1,C15&lt;20),C127,AND(C15&gt;=20,C15&lt;40),D127,AND(C15&gt;=40,C15&lt;50),E127,AND(C15&gt;=50,C15&lt;60),F127,AND(C15&gt;=60,C15&lt;70),G127,AND(C15&gt;=70,C15&lt;80),H127,AND(C15&gt;=80,C15&lt;90),I127,C15=90,J127)</f>
        <v>240</v>
      </c>
      <c r="B127" s="24" t="s">
        <v>130</v>
      </c>
      <c r="C127" s="25">
        <v>20</v>
      </c>
      <c r="D127" s="28">
        <v>67</v>
      </c>
      <c r="E127" s="28">
        <v>111</v>
      </c>
      <c r="F127" s="28">
        <v>141</v>
      </c>
      <c r="G127" s="28">
        <v>169</v>
      </c>
      <c r="H127" s="28">
        <v>196</v>
      </c>
      <c r="I127" s="28">
        <v>223</v>
      </c>
      <c r="J127" s="25">
        <v>240</v>
      </c>
      <c r="M127" s="7" t="s">
        <v>240</v>
      </c>
      <c r="N127" s="67"/>
      <c r="O127" s="67"/>
      <c r="P127" s="67"/>
      <c r="R127" s="67">
        <f>IF(AND(C14="甘雨",C17="重撃",C15&gt;19),20,0)</f>
        <v>0</v>
      </c>
      <c r="S127" s="67"/>
      <c r="T127" s="67">
        <f>IFERROR(IF(AND(OR(C14="甘雨",D14="甘雨",E14="甘雨",F14="甘雨"),C16="氷",G17&lt;&gt;"物理",INDEX(A15:F15,MATCH("甘雨",C14:F14,0))&gt;59),20,0),0)</f>
        <v>0</v>
      </c>
      <c r="U127" s="67"/>
      <c r="V127" s="67"/>
      <c r="W127" s="67">
        <f>IFERROR(IF(AND(OR(C14="甘雨",D14="甘雨",E14="甘雨",F14="甘雨"),INDEX(A27:F27,MATCH("甘雨",C14:F14,0))&gt;=1,C16="氷",G17&lt;&gt;"物理"),-15,0),0)</f>
        <v>0</v>
      </c>
      <c r="X127" s="67"/>
      <c r="Y127" s="67"/>
      <c r="Z127" s="67"/>
      <c r="AA127" s="67"/>
      <c r="AB127" s="67"/>
      <c r="AC127" s="67"/>
      <c r="AD127" s="67"/>
      <c r="AE127" s="67">
        <f>IFERROR(IF(AND(OR(C14="甘雨",D14="甘雨",E14="甘雨",F14="甘雨"),INDEX(A27:F27,MATCH("甘雨",C14:F14,0))&gt;=4),25,0),0)</f>
        <v>0</v>
      </c>
      <c r="AF127" s="67"/>
      <c r="AG127" s="67"/>
      <c r="AH127" s="4"/>
    </row>
    <row r="128" spans="1:34" x14ac:dyDescent="0.15">
      <c r="A128" cm="1">
        <f t="array" ref="A128">_xlfn.IFS(AND(C15&gt;=1,C15&lt;20),C128,AND(C15&gt;=20,C15&lt;40),D128,AND(C15&gt;=40,C15&lt;50),E128,AND(C15&gt;=50,C15&lt;60),F128,AND(C15&gt;=60,C15&lt;70),G128,AND(C15&gt;=70,C15&lt;80),H128,AND(C15&gt;=80,C15&lt;90),I128,C15=90,J128)</f>
        <v>0.24</v>
      </c>
      <c r="B128" s="24" t="s">
        <v>195</v>
      </c>
      <c r="C128" s="29" t="s">
        <v>132</v>
      </c>
      <c r="D128" s="30" t="s">
        <v>132</v>
      </c>
      <c r="E128" s="31">
        <v>0.06</v>
      </c>
      <c r="F128" s="31">
        <v>0.12</v>
      </c>
      <c r="G128" s="31">
        <v>0.12</v>
      </c>
      <c r="H128" s="31">
        <v>0.18</v>
      </c>
      <c r="I128" s="31">
        <v>0.24</v>
      </c>
      <c r="J128" s="32">
        <v>0.24</v>
      </c>
      <c r="M128" s="7" t="s">
        <v>242</v>
      </c>
      <c r="N128" s="67"/>
      <c r="O128" s="67"/>
      <c r="P128" s="67"/>
      <c r="R128" s="67"/>
      <c r="S128" s="67"/>
      <c r="T128" s="67"/>
      <c r="U128" s="67"/>
      <c r="V128" s="67"/>
      <c r="W128" s="67"/>
      <c r="X128" s="67"/>
      <c r="Y128" s="67"/>
      <c r="Z128" s="67">
        <f>IF(AND(C14="七七",OR(C17="通常攻撃",C17="重撃"),C27&gt;=2),15,0)</f>
        <v>0</v>
      </c>
      <c r="AA128" s="67"/>
      <c r="AB128" s="67"/>
      <c r="AC128" s="67"/>
      <c r="AD128" s="67"/>
      <c r="AE128" s="67"/>
      <c r="AF128" s="67"/>
      <c r="AG128" s="67"/>
      <c r="AH128" s="4"/>
    </row>
    <row r="129" spans="1:34" x14ac:dyDescent="0.2">
      <c r="B129" t="s">
        <v>200</v>
      </c>
      <c r="M129" s="7" t="s">
        <v>244</v>
      </c>
      <c r="N129" s="67"/>
      <c r="O129" s="67"/>
      <c r="P129" s="67"/>
      <c r="R129" s="67"/>
      <c r="S129" s="67"/>
      <c r="T129" s="67" cm="1">
        <f t="array" ref="T129">IF(AND(C14="シャルロット",C15&gt;59),_xlfn.IFS(
    SUM(COUNTIF(C14:F14, "リネ"), COUNTIF(C14:F14, "リオセスリ"), COUNTIF(C14:F14, "ヌヴィレット"), COUNTIF(C14:F14, "フリーナ"), COUNTIF(C14:F14, "シャルロット"), COUNTIF(C14:F14, "フレミネ"), COUNTIF(C14:F14, "リネット"), COUNTIF(C14:F14, "シュヴルーズ"), COUNTIF(C14:F14, "ナヴィア"), COUNTIF(C14:F14, "エミリエ")) = 4, 0,
    SUM(COUNTIF(C14:F14, "リネ"), COUNTIF(C14:F14, "リオセスリ"), COUNTIF(C14:F14, "ヌヴィレット"), COUNTIF(C14:F14, "フリーナ"), COUNTIF(C14:F14, "シャルロット"), COUNTIF(C14:F14, "フレミネ"), COUNTIF(C14:F14, "リネット"), COUNTIF(C14:F14, "シュヴルーズ"), COUNTIF(C14:F14, "ナヴィア"), COUNTIF(C14:F14, "エミリエ")) = 3, 5,
    SUM(COUNTIF(C14:F14, "リネ"), COUNTIF(C14:F14, "リオセスリ"), COUNTIF(C14:F14, "ヌヴィレット"), COUNTIF(C14:F14, "フリーナ"), COUNTIF(C14:F14, "シャルロット"), COUNTIF(C14:F14, "フレミネ"), COUNTIF(C14:F14, "リネット"), COUNTIF(C14:F14, "シュヴルーズ"), COUNTIF(C14:F14, "ナヴィア"), COUNTIF(C14:F14, "エミリエ")) = 2, 10,
    SUM(COUNTIF(C14:F14, "リネ"), COUNTIF(C14:F14, "リオセスリ"), COUNTIF(C14:F14, "ヌヴィレット"), COUNTIF(C14:F14, "フリーナ"), COUNTIF(C14:F14, "シャルロット"), COUNTIF(C14:F14, "フレミネ"), COUNTIF(C14:F14, "リネット"), COUNTIF(C14:F14, "シュヴルーズ"), COUNTIF(C14:F14, "ナヴィア"), COUNTIF(C14:F14, "エミリエ")) = 1, 15,
    SUM(COUNTIF(C14:F14, "リネ"), COUNTIF(C14:F14, "リオセスリ"), COUNTIF(C14:F14, "ヌヴィレット"), COUNTIF(C14:F14, "フリーナ"), COUNTIF(C14:F14, "シャルロット"), COUNTIF(C14:F14, "フレミネ"), COUNTIF(C14:F14, "リネット"), COUNTIF(C14:F14, "シュヴルーズ"), COUNTIF(C14:F14, "ナヴィア"), COUNTIF(C14:F14, "エミリエ")) = 0, 15,
    TRUE, 0
),0)</f>
        <v>0</v>
      </c>
      <c r="U129" s="67"/>
      <c r="V129" s="67"/>
      <c r="W129" s="67"/>
      <c r="X129" s="67"/>
      <c r="Y129" s="67"/>
      <c r="Z129" s="67">
        <f>IF(AND(C14="シャルロット",C27&gt;=2),30,0)</f>
        <v>0</v>
      </c>
      <c r="AA129" s="67"/>
      <c r="AB129" s="67"/>
      <c r="AC129" s="67"/>
      <c r="AD129" s="67"/>
      <c r="AE129" s="67"/>
      <c r="AF129" s="67"/>
      <c r="AG129" s="67">
        <f>IF(AND(C14="シャルロット",C27&gt;=4),10,0)</f>
        <v>0</v>
      </c>
      <c r="AH129" s="4"/>
    </row>
    <row r="130" spans="1:34" x14ac:dyDescent="0.15">
      <c r="A130" cm="1">
        <f t="array" ref="A130">_xlfn.IFS(AND(C15&gt;=1,C15&lt;20),C130,AND(C15&gt;=20,C15&lt;40),D130,AND(C15&gt;=40,C15&lt;50),E130,AND(C15&gt;=50,C15&lt;60),F130,AND(C15&gt;=60,C15&lt;70),G130,AND(C15&gt;=70,C15&lt;80),H130,AND(C15&gt;=80,C15&lt;90),I130,C15=90,J130)</f>
        <v>11201</v>
      </c>
      <c r="B130" s="24" t="s">
        <v>125</v>
      </c>
      <c r="C130" s="25">
        <v>939</v>
      </c>
      <c r="D130" s="27">
        <v>3414</v>
      </c>
      <c r="E130" s="27">
        <v>5163</v>
      </c>
      <c r="F130" s="27">
        <v>6604</v>
      </c>
      <c r="G130" s="27">
        <v>7878</v>
      </c>
      <c r="H130" s="27">
        <v>9151</v>
      </c>
      <c r="I130" s="27">
        <v>10425</v>
      </c>
      <c r="J130" s="26">
        <v>11201</v>
      </c>
      <c r="M130" s="7" t="s">
        <v>246</v>
      </c>
      <c r="N130" s="67"/>
      <c r="O130" s="67"/>
      <c r="P130" s="67"/>
      <c r="R130" s="67"/>
      <c r="S130" s="67"/>
      <c r="T130" s="67">
        <f>IF(AND(C14="フレミネ",C17="元素スキル",C15&gt;59,COUNTIF(C16:F16,"水")&gt;=1),40,0)</f>
        <v>0</v>
      </c>
      <c r="U130" s="67"/>
      <c r="V130" s="67"/>
      <c r="W130" s="67">
        <f>IF(AND(C14="フレミネ",C17="元素スキル",C27&gt;=1),15,0)</f>
        <v>0</v>
      </c>
      <c r="X130" s="67"/>
      <c r="Y130" s="67"/>
      <c r="Z130" s="67"/>
      <c r="AA130" s="67"/>
      <c r="AB130" s="67"/>
      <c r="AC130" s="67"/>
      <c r="AD130" s="67"/>
      <c r="AE130" s="67">
        <f>IF(AND(C14="フレミネ",OR(COUNTIF(C16:F16,"水"&gt;=1),COUNTIF(C16:F16,"雷")&gt;=1),C27&gt;=4),18,0)</f>
        <v>0</v>
      </c>
      <c r="AF130" s="67"/>
      <c r="AG130" s="67">
        <f>IF(AND(C14="フレミネ",OR(COUNTIF(C16:F16,"水"&gt;=1),COUNTIF(C16:F16,"雷")&gt;=1),C27&gt;=6),36,0)</f>
        <v>0</v>
      </c>
      <c r="AH130" s="4"/>
    </row>
    <row r="131" spans="1:34" x14ac:dyDescent="0.15">
      <c r="A131" cm="1">
        <f t="array" ref="A131">_xlfn.IFS(AND(C15&gt;=1,C15&lt;20),C131,AND(C15&gt;=20,C15&lt;40),D131,AND(C15&gt;=40,C15&lt;50),E131,AND(C15&gt;=50,C15&lt;60),F131,AND(C15&gt;=60,C15&lt;70),G131,AND(C15&gt;=70,C15&lt;80),H131,AND(C15&gt;=80,C15&lt;90),I131,C15=90,J131)</f>
        <v>799</v>
      </c>
      <c r="B131" s="24" t="s">
        <v>128</v>
      </c>
      <c r="C131" s="25">
        <v>67</v>
      </c>
      <c r="D131" s="28">
        <v>222</v>
      </c>
      <c r="E131" s="28">
        <v>348</v>
      </c>
      <c r="F131" s="28">
        <v>471</v>
      </c>
      <c r="G131" s="28">
        <v>562</v>
      </c>
      <c r="H131" s="28">
        <v>652</v>
      </c>
      <c r="I131" s="28">
        <v>743</v>
      </c>
      <c r="J131" s="25">
        <v>799</v>
      </c>
      <c r="M131" s="7" t="s">
        <v>247</v>
      </c>
      <c r="N131" s="67"/>
      <c r="O131" s="67"/>
      <c r="P131" s="67"/>
      <c r="R131" s="67">
        <f>IFERROR(IF(AND(OR(C14="ミカ",D14="ミカ",E14="ミカ",F14="ミカ"),INDEX(A15:F15,MATCH("ミカ",C14:F14,0))&gt;19,G17="物理攻撃"),30,0),0)</f>
        <v>0</v>
      </c>
      <c r="S131" s="67"/>
      <c r="T131" s="67">
        <f>IFERROR(IF(AND(OR(C14="ミカ",D14="ミカ",E14="ミカ",F14="ミカ"),INDEX(A15:F15,MATCH("ミカ",C14:F14,0))&gt;59,G17="物理攻撃"),10,0),0)</f>
        <v>0</v>
      </c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>
        <f>IFERROR(IF(AND(OR(C14="ミカ",D14="ミカ",E14="ミカ",F14="ミカ"),INDEX(A15:F15,MATCH("ミカ",C14:F14,0))&gt;59,G17="物理攻撃",INDEX(A15:F15,MATCH("ミカ",C14:F14,0))&gt;=6),10,0),0)</f>
        <v>0</v>
      </c>
      <c r="AH131" s="4">
        <f>IFERROR(IF(AND(OR(C14="ミカ",D14="ミカ",E14="ミカ",F14="ミカ"),G17="物理攻撃",INDEX(A15:F15,MATCH("ミカ",C14:F14,0))&gt;=6),60,0),0)</f>
        <v>0</v>
      </c>
    </row>
    <row r="132" spans="1:34" x14ac:dyDescent="0.15">
      <c r="A132" cm="1">
        <f t="array" ref="A132">_xlfn.IFS(AND(C15&gt;=1,C15&lt;20),C132,AND(C15&gt;=20,C15&lt;40),D132,AND(C15&gt;=40,C15&lt;50),E132,AND(C15&gt;=50,C15&lt;60),F132,AND(C15&gt;=60,C15&lt;70),G132,AND(C15&gt;=70,C15&lt;80),H132,AND(C15&gt;=80,C15&lt;90),I132,C15=90,J132)</f>
        <v>248</v>
      </c>
      <c r="B132" s="24" t="s">
        <v>130</v>
      </c>
      <c r="C132" s="25">
        <v>20</v>
      </c>
      <c r="D132" s="28">
        <v>69</v>
      </c>
      <c r="E132" s="28">
        <v>114</v>
      </c>
      <c r="F132" s="28">
        <v>146</v>
      </c>
      <c r="G132" s="28">
        <v>174</v>
      </c>
      <c r="H132" s="28">
        <v>203</v>
      </c>
      <c r="I132" s="28">
        <v>234</v>
      </c>
      <c r="J132" s="25">
        <v>248</v>
      </c>
      <c r="M132" s="7" t="s">
        <v>248</v>
      </c>
      <c r="N132" s="67"/>
      <c r="O132" s="67"/>
      <c r="P132" s="67"/>
      <c r="R132" s="67"/>
      <c r="S132" s="67"/>
      <c r="T132" s="67">
        <f>IF(AND(C14="レイラ",C15&gt;=59,C17="元素スキル"),C19*0.015,0)</f>
        <v>0</v>
      </c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>
        <f>IFERROR(IF(AND(OR(C14="レイラ",D14="レイラ",E14="レイラ",F14="レイラ"),OR(C17="通常攻撃",C17="重撃"),INDEX(A27:F27,MATCH("レイラ",C14:F14,0))&gt;=4),INDEX(A19:F19,MATCH("レイラ",C14:F14,0))*0.05,0),0)</f>
        <v>0</v>
      </c>
      <c r="AF132" s="67"/>
      <c r="AG132" s="67">
        <f>IF(AND(C14="レイラ",OR(C17="元素スキル",C17="元素爆発"),C27&gt;=6),40,0)</f>
        <v>0</v>
      </c>
      <c r="AH132" s="4"/>
    </row>
    <row r="133" spans="1:34" x14ac:dyDescent="0.15">
      <c r="A133" cm="1">
        <f t="array" ref="A133">_xlfn.IFS(AND(C15&gt;=1,C15&lt;20),C133,AND(C15&gt;=20,C15&lt;40),D133,AND(C15&gt;=40,C15&lt;50),E133,AND(C15&gt;=50,C15&lt;60),F133,AND(C15&gt;=60,C15&lt;70),G133,AND(C15&gt;=70,C15&lt;80),H133,AND(C15&gt;=80,C15&lt;90),I133,C15=90,J133)</f>
        <v>0.24</v>
      </c>
      <c r="B133" s="24" t="s">
        <v>36</v>
      </c>
      <c r="C133" s="29" t="s">
        <v>132</v>
      </c>
      <c r="D133" s="30" t="s">
        <v>132</v>
      </c>
      <c r="E133" s="31">
        <v>0.06</v>
      </c>
      <c r="F133" s="31">
        <v>0.12</v>
      </c>
      <c r="G133" s="31">
        <v>0.12</v>
      </c>
      <c r="H133" s="31">
        <v>0.18</v>
      </c>
      <c r="I133" s="31">
        <v>0.24</v>
      </c>
      <c r="J133" s="32">
        <v>0.24</v>
      </c>
      <c r="M133" s="7" t="s">
        <v>249</v>
      </c>
      <c r="N133" s="67"/>
      <c r="O133" s="67"/>
      <c r="P133" s="67"/>
      <c r="R133" s="67">
        <f>IF(AND(C14="ロサリア",C15&gt;19),12,0)</f>
        <v>0</v>
      </c>
      <c r="S133" s="67"/>
      <c r="T133" s="67">
        <f>IFERROR(IF(AND(OR(C14="ロサリア",D14="ロサリア",E14="ロサリア",F14="ロサリア"),INDEX(A15:F15,MATCH("ロサリア",C14:F14,0))&gt;59),INDEX(A23:F23,MATCH("ロサリア",C14:F14,0))*0.15,0),0)</f>
        <v>0</v>
      </c>
      <c r="U133" s="67"/>
      <c r="V133" s="67"/>
      <c r="W133" s="67">
        <f>IF(AND(C14="ロサリア",C17="通常攻撃",C27&gt;=1),10,0)</f>
        <v>0</v>
      </c>
      <c r="X133" s="67"/>
      <c r="Y133" s="67"/>
      <c r="Z133" s="67"/>
      <c r="AA133" s="67"/>
      <c r="AB133" s="67"/>
      <c r="AC133" s="67"/>
      <c r="AD133" s="67"/>
      <c r="AE133" s="67"/>
      <c r="AF133" s="67"/>
      <c r="AG133" s="67">
        <f>IFERROR(IF(AND(OR(C14="ロサリア",D14="ロサリア",E14="ロサリア",F14="ロサリア"),INDEX(A27:F27,MATCH("ロサリア",C14:F14,0))&gt;=6,G17="物理攻撃"),-20,0),0)</f>
        <v>0</v>
      </c>
      <c r="AH133" s="4"/>
    </row>
    <row r="134" spans="1:34" x14ac:dyDescent="0.2">
      <c r="B134" t="s">
        <v>25</v>
      </c>
      <c r="M134" s="7" t="s">
        <v>250</v>
      </c>
      <c r="N134" s="67"/>
      <c r="O134" s="67"/>
      <c r="P134" s="67"/>
      <c r="R134" s="67"/>
      <c r="S134" s="67"/>
      <c r="T134" s="67"/>
      <c r="U134" s="67"/>
      <c r="V134" s="67"/>
      <c r="W134" s="67"/>
      <c r="X134" s="67"/>
      <c r="Y134" s="67"/>
      <c r="Z134" s="67">
        <f>IF(AND(C14="ディオナ",C17="元素スキル",C27&gt;=2),15,0)</f>
        <v>0</v>
      </c>
      <c r="AA134" s="67"/>
      <c r="AB134" s="67"/>
      <c r="AC134" s="67"/>
      <c r="AD134" s="67"/>
      <c r="AE134" s="67"/>
      <c r="AF134" s="67"/>
      <c r="AG134" s="67">
        <f>IFERROR(IF(AND(OR(C14="ディオナ",D14="ディオナ",E14="ディオナ",F14="ディオナ"),INDEX(A27:F27,MATCH("ディオナ",C14:F14,0))&gt;=6),200,0),0)</f>
        <v>0</v>
      </c>
      <c r="AH134" s="4"/>
    </row>
    <row r="135" spans="1:34" x14ac:dyDescent="0.15">
      <c r="A135" cm="1">
        <f t="array" ref="A135">_xlfn.IFS(AND(C15&gt;=1,C15&lt;20),C135,AND(C15&gt;=20,C15&lt;40),D135,AND(C15&gt;=40,C15&lt;50),E135,AND(C15&gt;=50,C15&lt;60),F135,AND(C15&gt;=60,C15&lt;70),G135,AND(C15&gt;=70,C15&lt;80),H135,AND(C15&gt;=80,C15&lt;90),I135,C15=90,J135)</f>
        <v>12397</v>
      </c>
      <c r="B135" s="24" t="s">
        <v>125</v>
      </c>
      <c r="C135" s="26">
        <v>1039</v>
      </c>
      <c r="D135" s="33">
        <v>3447</v>
      </c>
      <c r="E135" s="27">
        <v>5715</v>
      </c>
      <c r="F135" s="33">
        <v>7309</v>
      </c>
      <c r="G135" s="33">
        <v>8719</v>
      </c>
      <c r="H135" s="27">
        <v>10129</v>
      </c>
      <c r="I135" s="26">
        <v>11539</v>
      </c>
      <c r="J135" s="26">
        <v>12397</v>
      </c>
      <c r="M135" s="7" t="s">
        <v>251</v>
      </c>
      <c r="N135" s="67"/>
      <c r="O135" s="67"/>
      <c r="P135" s="67"/>
      <c r="R135" s="67"/>
      <c r="S135" s="67"/>
      <c r="T135" s="67">
        <f>IFERROR(IF(AND(OR(C14="重雲",D14="重雲",E14="重雲",F14="重雲"),INDEX(A15:F15,MATCH("重雲",C14:F14,0))&gt;59,C16="氷",G16&lt;&gt;"物理攻撃"),-10,0),0)</f>
        <v>0</v>
      </c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>
        <f>IF(AND(C14="重雲",C17="元素爆発",C27&gt;=6),15,0)</f>
        <v>0</v>
      </c>
      <c r="AH135" s="4"/>
    </row>
    <row r="136" spans="1:34" x14ac:dyDescent="0.15">
      <c r="A136" cm="1">
        <f t="array" ref="A136">_xlfn.IFS(AND(C15&gt;=1,C15&lt;20),C136,AND(C15&gt;=20,C15&lt;40),D136,AND(C15&gt;=40,C15&lt;50),E136,AND(C15&gt;=50,C15&lt;60),F136,AND(C15&gt;=60,C15&lt;70),G136,AND(C15&gt;=70,C15&lt;80),H136,AND(C15&gt;=80,C15&lt;90),I136,C15=90,J136)</f>
        <v>771</v>
      </c>
      <c r="B136" s="24" t="s">
        <v>128</v>
      </c>
      <c r="C136" s="25">
        <v>65</v>
      </c>
      <c r="D136" s="34">
        <v>214</v>
      </c>
      <c r="E136" s="28">
        <v>356</v>
      </c>
      <c r="F136" s="34">
        <v>455</v>
      </c>
      <c r="G136" s="34">
        <v>542</v>
      </c>
      <c r="H136" s="28">
        <v>630</v>
      </c>
      <c r="I136" s="25">
        <v>718</v>
      </c>
      <c r="J136" s="25">
        <v>771</v>
      </c>
      <c r="M136" s="7" t="s">
        <v>252</v>
      </c>
      <c r="N136" s="67"/>
      <c r="O136" s="67"/>
      <c r="P136" s="67"/>
      <c r="R136" s="67"/>
      <c r="S136" s="67"/>
      <c r="T136" s="67"/>
      <c r="U136" s="67"/>
      <c r="V136" s="67"/>
      <c r="W136" s="67">
        <f>IF(AND(C14="ガイア",OR(C17="通常攻撃",C17="重撃"),C27&gt;=1),15,0)</f>
        <v>0</v>
      </c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4"/>
    </row>
    <row r="137" spans="1:34" x14ac:dyDescent="0.15">
      <c r="A137" cm="1">
        <f t="array" ref="A137">_xlfn.IFS(AND(C15&gt;=1,C15&lt;20),C137,AND(C15&gt;=20,C15&lt;40),D137,AND(C15&gt;=40,C15&lt;50),E137,AND(C15&gt;=50,C15&lt;60),F137,AND(C15&gt;=60,C15&lt;70),G137,AND(C15&gt;=70,C15&lt;80),H137,AND(C15&gt;=80,C15&lt;90),I137,C15=90,J137)</f>
        <v>191</v>
      </c>
      <c r="B137" s="24" t="s">
        <v>130</v>
      </c>
      <c r="C137" s="25">
        <v>16</v>
      </c>
      <c r="D137" s="34">
        <v>53</v>
      </c>
      <c r="E137" s="28">
        <v>88</v>
      </c>
      <c r="F137" s="34">
        <v>113</v>
      </c>
      <c r="G137" s="34">
        <v>134</v>
      </c>
      <c r="H137" s="28">
        <v>156</v>
      </c>
      <c r="I137" s="25">
        <v>178</v>
      </c>
      <c r="J137" s="25">
        <v>191</v>
      </c>
      <c r="K137" cm="1">
        <f t="array" ref="K137">IFERROR(_xlfn.IFS(AND(INDEX(B15:F15,MATCH("ベネット",B14:F14,0))&gt;=1,INDEX(B15:F15,MATCH("ベネット",B14:F14,0))&lt;20),C137,AND(INDEX(B15:F15,MATCH("ベネット",B14:F14,0))&gt;=20,INDEX(B15:F15,MATCH("ベネット",B14:F14,0))&lt;40),D137,AND(INDEX(B15:F15,MATCH("ベネット",B14:F14,0))&gt;=40,INDEX(B15:F15,MATCH("ベネット",B14:F14,0))&lt;50),E137,AND(INDEX(B15:F15,MATCH("ベネット",B14:F14,0))&gt;=50,INDEX(B15:F15,MATCH("ベネット",B14:F14,0))&lt;60),F137,AND(INDEX(B15:F15,MATCH("ベネット",B14:F14,0))&gt;=60,INDEX(B15:F15,MATCH("ベネット",B14:F14,0))&lt;70),G137,AND(INDEX(B15:F15,MATCH("ベネット",B14:F14,0))&gt;=70,INDEX(B15:F15,MATCH("ベネット",B14:F14,0))&lt;80),H137,AND(INDEX(B15:F15,MATCH("ベネット",B14:F14,0))&gt;=80,INDEX(B15:F15,MATCH("ベネット",B14:F14,0))&lt;90),I137,INDEX(B15:F15,MATCH("ベネット",B14:F14,0))=90,J137,TRUE,0),0)</f>
        <v>178</v>
      </c>
      <c r="M137" s="7" t="s">
        <v>253</v>
      </c>
      <c r="N137" s="67"/>
      <c r="O137" s="67"/>
      <c r="P137" s="67"/>
      <c r="R137" s="67">
        <f>IF(AND(C14="クロリンデ",C15&gt;=19,OR(C17="通常攻撃",C17="元素爆発")),C21*0.6,0)</f>
        <v>0</v>
      </c>
      <c r="S137" s="67"/>
      <c r="T137" s="67">
        <f>IF(AND(C14="クロリンデ",C15&gt;59),20,0)</f>
        <v>0</v>
      </c>
      <c r="U137" s="67"/>
      <c r="V137" s="67"/>
      <c r="W137" s="67"/>
      <c r="X137" s="67"/>
      <c r="Y137" s="67"/>
      <c r="Z137" s="67">
        <f>IF(AND(C14="クロリンデ",C15&gt;=19,OR(C17="通常攻撃",C17="元素爆発"),C29&gt;=2),C21*0.3,0)</f>
        <v>0</v>
      </c>
      <c r="AA137" s="67"/>
      <c r="AB137" s="67"/>
      <c r="AC137" s="67"/>
      <c r="AD137" s="67"/>
      <c r="AE137" s="67">
        <f>IF(AND(C14="クロリンデ",C27&gt;=4,C17="元素爆発"),MIN(G15*2,200),0)</f>
        <v>0</v>
      </c>
      <c r="AF137" s="67"/>
      <c r="AG137" s="67">
        <f>IF(AND(C14="クロリンデ",C27&gt;=6),10,0)</f>
        <v>0</v>
      </c>
      <c r="AH137" s="4">
        <f>IF(AND(C14="クロリンデ",C27&gt;=6),70,0)</f>
        <v>0</v>
      </c>
    </row>
    <row r="138" spans="1:34" x14ac:dyDescent="0.15">
      <c r="A138" cm="1">
        <f t="array" ref="A138">_xlfn.IFS(AND(C15&gt;=1,C15&lt;20),C138,AND(C15&gt;=20,C15&lt;40),D138,AND(C15&gt;=40,C15&lt;50),E138,AND(C15&gt;=50,C15&lt;60),F138,AND(C15&gt;=60,C15&lt;70),G138,AND(C15&gt;=70,C15&lt;80),H138,AND(C15&gt;=80,C15&lt;90),I138,C15=90,J138)</f>
        <v>0.26700000000000002</v>
      </c>
      <c r="B138" s="24" t="s">
        <v>39</v>
      </c>
      <c r="C138" s="29" t="s">
        <v>132</v>
      </c>
      <c r="D138" s="30" t="s">
        <v>132</v>
      </c>
      <c r="E138" s="31">
        <v>6.7000000000000004E-2</v>
      </c>
      <c r="F138" s="31">
        <v>0.13300000000000001</v>
      </c>
      <c r="G138" s="31">
        <v>0.13300000000000001</v>
      </c>
      <c r="H138" s="31">
        <v>0.2</v>
      </c>
      <c r="I138" s="32">
        <v>0.26700000000000002</v>
      </c>
      <c r="J138" s="32">
        <v>0.26700000000000002</v>
      </c>
      <c r="M138" s="7" t="s">
        <v>254</v>
      </c>
      <c r="N138" s="67"/>
      <c r="O138" s="67"/>
      <c r="P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4"/>
    </row>
    <row r="139" spans="1:34" x14ac:dyDescent="0.2">
      <c r="B139" t="s">
        <v>203</v>
      </c>
      <c r="M139" s="7" t="s">
        <v>255</v>
      </c>
      <c r="N139" s="67"/>
      <c r="O139" s="67"/>
      <c r="P139" s="67"/>
      <c r="R139" s="67"/>
      <c r="S139" s="67"/>
      <c r="T139" s="67">
        <f>IF(AND(C14="八重神子",C15&gt;19,C17="元素スキル"),C22*0.15,0)</f>
        <v>0</v>
      </c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>
        <f>IFERROR(IF(AND(OR(C14="八重神子",D14="八重神子",E14="八重神子",F14="八重神子"),INDEX(A27:F27,MATCH("八重神子",C14:F14,0))&gt;=4,C16="雷",G17="元素攻撃"),20,0),0)</f>
        <v>0</v>
      </c>
      <c r="AF139" s="67"/>
      <c r="AG139" s="67">
        <f>IF(AND(C14="八重神子",C27&gt;=6,C17="元素スキル"),60,0)</f>
        <v>0</v>
      </c>
      <c r="AH139" s="4"/>
    </row>
    <row r="140" spans="1:34" x14ac:dyDescent="0.15">
      <c r="A140" cm="1">
        <f t="array" ref="A140">_xlfn.IFS(AND(C15&gt;=1,C15&lt;20),C140,AND(C15&gt;=20,C15&lt;40),D140,AND(C15&gt;=40,C15&lt;50),E140,AND(C15&gt;=50,C15&lt;60),F140,AND(C15&gt;=60,C15&lt;70),G140,AND(C15&gt;=70,C15&lt;80),H140,AND(C15&gt;=80,C15&lt;90),I140,C15=90,J140)</f>
        <v>10875</v>
      </c>
      <c r="B140" s="24" t="s">
        <v>125</v>
      </c>
      <c r="C140" s="25">
        <v>912</v>
      </c>
      <c r="D140" s="27">
        <v>3024</v>
      </c>
      <c r="E140" s="27">
        <v>5013</v>
      </c>
      <c r="F140" s="33">
        <v>6411</v>
      </c>
      <c r="G140" s="33">
        <v>7648</v>
      </c>
      <c r="H140" s="27">
        <v>8885</v>
      </c>
      <c r="I140" s="27">
        <v>10122</v>
      </c>
      <c r="J140" s="26">
        <v>10875</v>
      </c>
      <c r="M140" s="7" t="s">
        <v>256</v>
      </c>
      <c r="N140" s="67"/>
      <c r="O140" s="67" cm="1">
        <f t="array" ref="O140">IF(AND(OR(C14="雷電将軍",D14="雷電将軍",E14="雷電将軍",F14="雷電将軍"),C17="元素爆発"),_xlfn.IFS(OR(C14=AB191:AB200),40,OR(C14=AB202:AB204),50,OR(C14=AB206:AB236),60,OR(C14=AB239:AB251),70,OR(C14=AB253:AB281),80,OR(C14=AB285:AB286),90)*_xlfn.IFS(INDEX(A33:F33,MATCH("雷電将軍",C14:F14,0))=1,0.22,INDEX(A33:F33,MATCH("雷電将軍",C14:F14,0))=2,0.23,INDEX(A33:F33,MATCH("雷電将軍",C14:F14,0))=3,0.24,INDEX(A33:F33,MATCH("雷電将軍",C14:F14,0))=4,0.25,INDEX(A33:F33,MATCH("雷電将軍",C14:F14,0))=5,0.26,INDEX(A33:F33,MATCH("雷電将軍",C14:F14,0))=6,0.27,INDEX(A33:F33,MATCH("雷電将軍",C14:F14,0))=7,0.28,INDEX(A33:F33,MATCH("雷電将軍",C14:F14,0))=8,0.29,INDEX(A33:F33,MATCH("雷電将軍",C14:F14,0))=9,0.3,INDEX(A33:F33,MATCH("雷電将軍",C14:F14,0))=10,0.3,INDEX(A33:F33,MATCH("雷電将軍",C14:F14,0))=11,0.3,INDEX(A33:F33,MATCH("雷電将軍",C14:F14,0))=12,0.3,INDEX(A33:F33,MATCH("雷電将軍",C14:F14,0))=13,0.3),0)</f>
        <v>0</v>
      </c>
      <c r="P140" s="67" cm="1">
        <f t="array" ref="P140">IF(AND(C14="雷電将軍",C17="元素爆発",C4&gt;400),_xlfn.IFS(C34=1,0.0389,C34=2,0.0418,C34=3,0.0447,C34=4,0.0486,C34=5,0.0515,C34=6,0.0544,C34=7,0.0583,C34=8,0.0622,C34=9,0.0661,C34=10,0.07,C34=11,0.0739,C34=12,0.0778,C34=13,0.0826)*C21*60,0)</f>
        <v>0</v>
      </c>
      <c r="Q140" cm="1">
        <f t="array" ref="Q140">IF(AND(C14="雷電将軍",C17="元素爆発",C4&lt;=400),_xlfn.IFS(C34=1,0.0073,C34=2,0.0078,C34=3,0.0084,C34=4,0.0091,C34=5,0.0096,C34=6,0.0102,C34=7,0.0109,C34=8,0.0116,C34=9,0.0123,C34=10,0.0131,C34=11,0.0138,C34=12,0.0145,C34=13,0.0154)*C21*60,0)</f>
        <v>0</v>
      </c>
      <c r="R140" s="67"/>
      <c r="S140" s="67"/>
      <c r="T140" s="67">
        <f>IF(AND(C14="雷電将軍",C15&gt;59,G17="元素攻撃"),(C25-100)*0.4,0)</f>
        <v>0</v>
      </c>
      <c r="U140" s="67"/>
      <c r="V140" s="67"/>
      <c r="W140" s="67"/>
      <c r="X140" s="67"/>
      <c r="Y140" s="67"/>
      <c r="Z140" s="67">
        <f>IF(AND(C14="雷電将軍",C17="元素爆発",C27&gt;=2),60,0)</f>
        <v>0</v>
      </c>
      <c r="AA140" s="67"/>
      <c r="AB140" s="67"/>
      <c r="AC140" s="67"/>
      <c r="AD140" s="67"/>
      <c r="AE140" s="67">
        <f>IF(AND(OR(D14="雷電将軍",E14="雷電将軍",F14="雷電将軍"),C27&gt;=4),30,0)</f>
        <v>0</v>
      </c>
      <c r="AF140" s="67"/>
      <c r="AG140" s="67"/>
      <c r="AH140" s="4"/>
    </row>
    <row r="141" spans="1:34" x14ac:dyDescent="0.15">
      <c r="A141" cm="1">
        <f t="array" ref="A141">_xlfn.IFS(AND(C15&gt;=1,C15&lt;20),C141,AND(C15&gt;=20,C15&lt;40),D141,AND(C15&gt;=40,C15&lt;50),E141,AND(C15&gt;=50,C15&lt;60),F141,AND(C15&gt;=60,C15&lt;70),G141,AND(C15&gt;=70,C15&lt;80),H141,AND(C15&gt;=80,C15&lt;90),I141,C15=90,J141)</f>
        <v>669</v>
      </c>
      <c r="B141" s="24" t="s">
        <v>128</v>
      </c>
      <c r="C141" s="25">
        <v>56</v>
      </c>
      <c r="D141" s="28">
        <v>186</v>
      </c>
      <c r="E141" s="28">
        <v>308</v>
      </c>
      <c r="F141" s="34">
        <v>394</v>
      </c>
      <c r="G141" s="34">
        <v>470</v>
      </c>
      <c r="H141" s="28">
        <v>546</v>
      </c>
      <c r="I141" s="28">
        <v>623</v>
      </c>
      <c r="J141" s="25">
        <v>669</v>
      </c>
      <c r="M141" s="7" t="s">
        <v>257</v>
      </c>
      <c r="N141" s="67"/>
      <c r="O141" s="67"/>
      <c r="P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>
        <f>IF(AND(C14="刻晴",C27&gt;=4),25,0)</f>
        <v>0</v>
      </c>
      <c r="AF141" s="67"/>
      <c r="AG141" s="67">
        <f>IF(AND(C14="刻晴",C27&gt;=6),24,0)</f>
        <v>0</v>
      </c>
      <c r="AH141" s="4"/>
    </row>
    <row r="142" spans="1:34" x14ac:dyDescent="0.15">
      <c r="A142" cm="1">
        <f t="array" ref="A142">_xlfn.IFS(AND(C15&gt;=1,C15&lt;20),C142,AND(C15&gt;=20,C15&lt;40),D142,AND(C15&gt;=40,C15&lt;50),E142,AND(C15&gt;=50,C15&lt;60),F142,AND(C15&gt;=60,C15&lt;70),G142,AND(C15&gt;=70,C15&lt;80),H142,AND(C15&gt;=80,C15&lt;90),I142,C15=90,J142)</f>
        <v>225</v>
      </c>
      <c r="B142" s="24" t="s">
        <v>130</v>
      </c>
      <c r="C142" s="25">
        <v>19</v>
      </c>
      <c r="D142" s="28">
        <v>63</v>
      </c>
      <c r="E142" s="28">
        <v>104</v>
      </c>
      <c r="F142" s="34">
        <v>133</v>
      </c>
      <c r="G142" s="34">
        <v>158</v>
      </c>
      <c r="H142" s="28">
        <v>184</v>
      </c>
      <c r="I142" s="28">
        <v>209</v>
      </c>
      <c r="J142" s="25">
        <v>225</v>
      </c>
      <c r="M142" s="7" t="s">
        <v>258</v>
      </c>
      <c r="N142" s="67"/>
      <c r="O142" s="67"/>
      <c r="P142" s="67"/>
      <c r="R142" s="67"/>
      <c r="S142" s="67"/>
      <c r="T142" s="67">
        <f>IF(AND(C14="セトス",C15&gt;59,C17="重撃",C18="元素熟知"),C22*7,0)</f>
        <v>0</v>
      </c>
      <c r="U142" s="67"/>
      <c r="V142" s="67"/>
      <c r="W142" s="67">
        <f>IF(AND(C14="セトス",C17="重撃",C18="元素熟知",C27&gt;=1),15,0)</f>
        <v>0</v>
      </c>
      <c r="X142" s="67"/>
      <c r="Y142" s="67"/>
      <c r="Z142" s="67">
        <f>IF(AND(C14="セトス",C27&gt;=2),30,0)</f>
        <v>0</v>
      </c>
      <c r="AA142" s="67"/>
      <c r="AB142" s="67"/>
      <c r="AC142" s="67"/>
      <c r="AD142" s="67"/>
      <c r="AE142" s="67"/>
      <c r="AF142" s="67"/>
      <c r="AG142" s="67"/>
      <c r="AH142" s="4"/>
    </row>
    <row r="143" spans="1:34" x14ac:dyDescent="0.15">
      <c r="A143" cm="1">
        <f t="array" ref="A143">_xlfn.IFS(AND(C15&gt;=1,C15&lt;20),C143,AND(C15&gt;=20,C15&lt;40),D143,AND(C15&gt;=40,C15&lt;50),E143,AND(C15&gt;=50,C15&lt;60),F143,AND(C15&gt;=60,C15&lt;70),G143,AND(C15&gt;=70,C15&lt;80),H143,AND(C15&gt;=80,C15&lt;90),I143,C15=90,J143)</f>
        <v>96</v>
      </c>
      <c r="B143" s="24" t="s">
        <v>74</v>
      </c>
      <c r="C143" s="29" t="s">
        <v>132</v>
      </c>
      <c r="D143" s="30" t="s">
        <v>132</v>
      </c>
      <c r="E143" s="28">
        <v>24</v>
      </c>
      <c r="F143" s="28">
        <v>48</v>
      </c>
      <c r="G143" s="28">
        <v>48</v>
      </c>
      <c r="H143" s="28">
        <v>72</v>
      </c>
      <c r="I143" s="28">
        <v>96</v>
      </c>
      <c r="J143" s="25">
        <v>96</v>
      </c>
      <c r="M143" s="7" t="s">
        <v>259</v>
      </c>
      <c r="N143" s="67"/>
      <c r="O143" s="67"/>
      <c r="P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>
        <f>IFERROR(IF(AND(OR(C14="ドリー",D14="ドリー",E14="ドリー",F14="ドリー"),INDEX(A27:F27,MATCH("ドリー",C14:F14,0))&gt;=4),30,0),0)</f>
        <v>0</v>
      </c>
      <c r="AF143" s="67"/>
      <c r="AG143" s="67"/>
      <c r="AH143" s="4"/>
    </row>
    <row r="144" spans="1:34" x14ac:dyDescent="0.2">
      <c r="B144" t="s">
        <v>205</v>
      </c>
      <c r="M144" s="7" t="s">
        <v>260</v>
      </c>
      <c r="N144" s="67"/>
      <c r="O144" s="67"/>
      <c r="P144" s="67"/>
      <c r="R144" s="67"/>
      <c r="S144" s="67"/>
      <c r="T144" s="67">
        <f>IF(AND(C14="久岐忍",C15&gt;59,C17="元素スキル"),C22*0.25,0)</f>
        <v>0</v>
      </c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>
        <f>IF(AND(C14="久岐忍",C27&gt;=6),150,0)</f>
        <v>0</v>
      </c>
      <c r="AH144" s="4"/>
    </row>
    <row r="145" spans="1:34" x14ac:dyDescent="0.15">
      <c r="A145" cm="1">
        <f t="array" ref="A145">_xlfn.IFS(AND(C15&gt;=1,C15&lt;20),C145,AND(C15&gt;=20,C15&lt;40),D145,AND(C15&gt;=40,C15&lt;50),E145,AND(C15&gt;=50,C15&lt;60),F145,AND(C15&gt;=60,C15&lt;70),G145,AND(C15&gt;=70,C15&lt;80),H145,AND(C15&gt;=80,C15&lt;90),I145,C15=90,J145)</f>
        <v>9461</v>
      </c>
      <c r="B145" s="24" t="s">
        <v>125</v>
      </c>
      <c r="C145" s="25">
        <v>793</v>
      </c>
      <c r="D145" s="27">
        <v>2630</v>
      </c>
      <c r="E145" s="27">
        <v>4341</v>
      </c>
      <c r="F145" s="33">
        <v>5578</v>
      </c>
      <c r="G145" s="27">
        <v>6654</v>
      </c>
      <c r="H145" s="27">
        <v>7730</v>
      </c>
      <c r="I145" s="27">
        <v>8806</v>
      </c>
      <c r="J145" s="26">
        <v>9461</v>
      </c>
      <c r="M145" s="7" t="s">
        <v>483</v>
      </c>
      <c r="N145" s="67"/>
      <c r="O145" s="67" cm="1">
        <f t="array" ref="O145">IFERROR(IF(AND(OR(C14="九条裟羅",D14="九条裟羅",E14="九条裟羅",F14="九条裟羅")),_xlfn.IFS(INDEX(A33:F33,MATCH("九条裟羅",C14:F14,0))=1,0.43,INDEX(A33:F33,MATCH("九条裟羅",C14:F14,0))=2,0.46,INDEX(A33:F33,MATCH("九条裟羅",C14:F14,0))=3,0.49,INDEX(A33:F33,MATCH("九条裟羅",C14:F14,0))=4,0.54,INDEX(A33:F33,MATCH("九条裟羅",C14:F14,0))=5,0.57,INDEX(A33:F33,MATCH("九条裟羅",C14:F14,0))=6,0.6,INDEX(A33:F33,MATCH("九条裟羅",C14:F14,0))=7,0.64,INDEX(A33:F33,MATCH("九条裟羅",C14:F14,0))=8,0.69,INDEX(A33:F33,MATCH("九条裟羅",C14:F14,0))=9,0.73,INDEX(A33:F33,MATCH("九条裟羅",C14:F14,0))=10,0.77,INDEX(A33:F33,MATCH("九条裟羅",C14:F14,0))=11,0.82,INDEX(A33:F33,MATCH("九条裟羅",C14:F14,0))=12,0.86,INDEX(A33:F33,MATCH("九条裟羅",C14:F14,0))=13,0.91)*(INDEX(A35:F35,MATCH("九条裟羅",C14:F14,0))+K332),0),0)</f>
        <v>0</v>
      </c>
      <c r="P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>
        <f>IFERROR(IF(AND(OR(C14="九条裟羅",D14="九条裟羅",E14="九条裟羅",F14="九条裟羅"),INDEX(A27:F27,MATCH("九条裟羅",0))&gt;=6,C16="雷",G17="元素攻撃"),60,0),0)</f>
        <v>0</v>
      </c>
      <c r="AH145" s="4"/>
    </row>
    <row r="146" spans="1:34" x14ac:dyDescent="0.15">
      <c r="A146" cm="1">
        <f t="array" ref="A146">_xlfn.IFS(AND(C15&gt;=1,C15&lt;20),C146,AND(C15&gt;=20,C15&lt;40),D146,AND(C15&gt;=40,C15&lt;50),E146,AND(C15&gt;=50,C15&lt;60),F146,AND(C15&gt;=60,C15&lt;70),G146,AND(C15&gt;=70,C15&lt;80),H146,AND(C15&gt;=80,C15&lt;90),I146,C15=90,J146)</f>
        <v>601</v>
      </c>
      <c r="B146" s="24" t="s">
        <v>128</v>
      </c>
      <c r="C146" s="25">
        <v>50</v>
      </c>
      <c r="D146" s="28">
        <v>167</v>
      </c>
      <c r="E146" s="28">
        <v>277</v>
      </c>
      <c r="F146" s="34">
        <v>354</v>
      </c>
      <c r="G146" s="28">
        <v>422</v>
      </c>
      <c r="H146" s="28">
        <v>491</v>
      </c>
      <c r="I146" s="28">
        <v>559</v>
      </c>
      <c r="J146" s="25">
        <v>601</v>
      </c>
      <c r="M146" s="7" t="s">
        <v>261</v>
      </c>
      <c r="N146" s="67"/>
      <c r="O146" s="67"/>
      <c r="P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4"/>
    </row>
    <row r="147" spans="1:34" x14ac:dyDescent="0.15">
      <c r="A147" cm="1">
        <f t="array" ref="A147">_xlfn.IFS(AND(C15&gt;=1,C15&lt;20),C147,AND(C15&gt;=20,C15&lt;40),D147,AND(C15&gt;=40,C15&lt;50),E147,AND(C15&gt;=50,C15&lt;60),F147,AND(C15&gt;=60,C15&lt;70),G147,AND(C15&gt;=70,C15&lt;80),H147,AND(C15&gt;=80,C15&lt;90),I147,C15=90,J147)</f>
        <v>223</v>
      </c>
      <c r="B147" s="24" t="s">
        <v>130</v>
      </c>
      <c r="C147" s="25">
        <v>19</v>
      </c>
      <c r="D147" s="28">
        <v>62</v>
      </c>
      <c r="E147" s="28">
        <v>103</v>
      </c>
      <c r="F147" s="34">
        <v>134</v>
      </c>
      <c r="G147" s="28">
        <v>157</v>
      </c>
      <c r="H147" s="28">
        <v>182</v>
      </c>
      <c r="I147" s="28">
        <v>208</v>
      </c>
      <c r="J147" s="25">
        <v>223</v>
      </c>
      <c r="M147" s="7" t="s">
        <v>262</v>
      </c>
      <c r="N147" s="67"/>
      <c r="O147" s="67"/>
      <c r="P147" s="67"/>
      <c r="R147" s="67"/>
      <c r="S147" s="67"/>
      <c r="T147" s="67">
        <f>IF(AND(C14="北斗",C15&gt;59,OR(C17="通常攻撃",C17="重撃")),15,0)</f>
        <v>0</v>
      </c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>
        <f>IFERROR(IF(AND(OR(C14="北斗",D14="北斗",E14="北斗",F14="北斗"),INDEX(A27:F27,MATCH("北斗",C14:F14,0))&gt;=6,C16="雷",G17="元素攻撃"),-15,0),0)</f>
        <v>0</v>
      </c>
      <c r="AH147" s="4"/>
    </row>
    <row r="148" spans="1:34" x14ac:dyDescent="0.15">
      <c r="A148" cm="1">
        <f t="array" ref="A148">_xlfn.IFS(AND(C15&gt;=1,C15&lt;20),C148,AND(C15&gt;=20,C15&lt;40),D148,AND(C15&gt;=40,C15&lt;50),E148,AND(C15&gt;=50,C15&lt;60),F148,AND(C15&gt;=60,C15&lt;70),G148,AND(C15&gt;=70,C15&lt;80),H148,AND(C15&gt;=80,C15&lt;90),I148,C15=90,J148)</f>
        <v>0.24</v>
      </c>
      <c r="B148" s="24" t="s">
        <v>36</v>
      </c>
      <c r="C148" s="29" t="s">
        <v>132</v>
      </c>
      <c r="D148" s="30" t="s">
        <v>132</v>
      </c>
      <c r="E148" s="31">
        <v>0.06</v>
      </c>
      <c r="F148" s="31">
        <v>0.12</v>
      </c>
      <c r="G148" s="31">
        <v>0.12</v>
      </c>
      <c r="H148" s="31">
        <v>0.18</v>
      </c>
      <c r="I148" s="31">
        <v>0.24</v>
      </c>
      <c r="J148" s="32">
        <v>0.24</v>
      </c>
      <c r="M148" s="7" t="s">
        <v>263</v>
      </c>
      <c r="N148" s="67"/>
      <c r="O148" s="67"/>
      <c r="P148" s="67"/>
      <c r="R148" s="67"/>
      <c r="S148" s="67"/>
      <c r="T148" s="67"/>
      <c r="U148" s="67"/>
      <c r="V148" s="67"/>
      <c r="W148" s="67">
        <f>IF(AND(C14="レザー",C27&gt;=1),10,0)</f>
        <v>0</v>
      </c>
      <c r="X148" s="67"/>
      <c r="Y148" s="67"/>
      <c r="Z148" s="67">
        <f>IF(AND(C14="レザー",C27&gt;=2),10,0)</f>
        <v>0</v>
      </c>
      <c r="AA148" s="67"/>
      <c r="AB148" s="67"/>
      <c r="AC148" s="67"/>
      <c r="AD148" s="67"/>
      <c r="AE148" s="67">
        <f>IFERROR(IF(AND(OR(C14="レザー",D14="レザー",E14="レザー",F14="レザー"),INDEX(C27:F27,MATCH("レザー",C14:F14,0))&gt;=4),15,0),0)</f>
        <v>0</v>
      </c>
      <c r="AF148" s="67"/>
      <c r="AG148" s="67"/>
      <c r="AH148" s="4"/>
    </row>
    <row r="149" spans="1:34" x14ac:dyDescent="0.2">
      <c r="B149" t="s">
        <v>207</v>
      </c>
      <c r="M149" s="7" t="s">
        <v>264</v>
      </c>
      <c r="N149" s="67"/>
      <c r="O149" s="67"/>
      <c r="P149" s="67"/>
      <c r="R149" s="67"/>
      <c r="S149" s="67"/>
      <c r="T149" s="67">
        <f>IF(OR(C14="リサ",D14="リサ",E14="リサ",F14="リサ"),15,0)</f>
        <v>0</v>
      </c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4"/>
    </row>
    <row r="150" spans="1:34" x14ac:dyDescent="0.15">
      <c r="A150" cm="1">
        <f t="array" ref="A150">_xlfn.IFS(AND(C15&gt;=1,C15&lt;20),C150,AND(C15&gt;=20,C15&lt;40),D150,AND(C15&gt;=40,C15&lt;50),E150,AND(C15&gt;=50,C15&lt;60),F150,AND(C15&gt;=60,C15&lt;70),G150,AND(C15&gt;=70,C15&lt;80),H150,AND(C15&gt;=80,C15&lt;90),I150,C15=90,J150)</f>
        <v>15185</v>
      </c>
      <c r="B150" s="24" t="s">
        <v>125</v>
      </c>
      <c r="C150" s="26">
        <v>1182</v>
      </c>
      <c r="D150" s="27">
        <v>4080</v>
      </c>
      <c r="E150" s="27">
        <v>6825</v>
      </c>
      <c r="F150" s="27">
        <v>8813</v>
      </c>
      <c r="G150" s="27">
        <v>10571</v>
      </c>
      <c r="H150" s="27">
        <v>12338</v>
      </c>
      <c r="I150" s="27">
        <v>14117</v>
      </c>
      <c r="J150" s="26">
        <v>15185</v>
      </c>
      <c r="M150" s="7" t="s">
        <v>265</v>
      </c>
      <c r="N150" s="67"/>
      <c r="O150" s="67"/>
      <c r="P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4"/>
    </row>
    <row r="151" spans="1:34" x14ac:dyDescent="0.15">
      <c r="A151" cm="1">
        <f t="array" ref="A151">_xlfn.IFS(AND(C15&gt;=1,C15&lt;20),C151,AND(C15&gt;=20,C15&lt;40),D151,AND(C15&gt;=40,C15&lt;50),E151,AND(C15&gt;=50,C15&lt;60),F151,AND(C15&gt;=60,C15&lt;70),G151,AND(C15&gt;=70,C15&lt;80),H151,AND(C15&gt;=80,C15&lt;90),I151,C15=90,J151)</f>
        <v>570</v>
      </c>
      <c r="B151" s="24" t="s">
        <v>128</v>
      </c>
      <c r="C151" s="25">
        <v>44</v>
      </c>
      <c r="D151" s="28">
        <v>153</v>
      </c>
      <c r="E151" s="28">
        <v>256</v>
      </c>
      <c r="F151" s="28">
        <v>334</v>
      </c>
      <c r="G151" s="28">
        <v>397</v>
      </c>
      <c r="H151" s="28">
        <v>463</v>
      </c>
      <c r="I151" s="28">
        <v>530</v>
      </c>
      <c r="J151" s="25">
        <v>570</v>
      </c>
      <c r="M151" s="7" t="s">
        <v>266</v>
      </c>
      <c r="N151" s="67"/>
      <c r="O151" s="67"/>
      <c r="P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4"/>
    </row>
    <row r="152" spans="1:34" x14ac:dyDescent="0.15">
      <c r="A152" cm="1">
        <f t="array" ref="A152">_xlfn.IFS(AND(C15&gt;=1,C15&lt;20),C152,AND(C15&gt;=20,C15&lt;40),D152,AND(C15&gt;=40,C15&lt;50),E152,AND(C15&gt;=50,C15&lt;60),F152,AND(C15&gt;=60,C15&lt;70),G152,AND(C15&gt;=70,C15&lt;80),H152,AND(C15&gt;=80,C15&lt;90),I152,C15=90,J152)</f>
        <v>182</v>
      </c>
      <c r="B152" s="24" t="s">
        <v>130</v>
      </c>
      <c r="C152" s="25">
        <v>14</v>
      </c>
      <c r="D152" s="28">
        <v>49</v>
      </c>
      <c r="E152" s="28">
        <v>81</v>
      </c>
      <c r="F152" s="28">
        <v>105</v>
      </c>
      <c r="G152" s="28">
        <v>126</v>
      </c>
      <c r="H152" s="28">
        <v>147</v>
      </c>
      <c r="I152" s="28">
        <v>168</v>
      </c>
      <c r="J152" s="25">
        <v>182</v>
      </c>
      <c r="M152" s="7" t="s">
        <v>267</v>
      </c>
      <c r="N152" s="67"/>
      <c r="O152" s="67"/>
      <c r="P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4"/>
    </row>
    <row r="153" spans="1:34" x14ac:dyDescent="0.15">
      <c r="A153" cm="1">
        <f t="array" ref="A153">_xlfn.IFS(AND(C15&gt;=1,C15&lt;20),C153,AND(C15&gt;=20,C15&lt;40),D153,AND(C15&gt;=40,C15&lt;50),E153,AND(C15&gt;=50,C15&lt;60),F153,AND(C15&gt;=60,C15&lt;70),G153,AND(C15&gt;=70,C15&lt;80),H153,AND(C15&gt;=80,C15&lt;90),I153,C15=90,J153)</f>
        <v>0.192</v>
      </c>
      <c r="B153" s="24" t="s">
        <v>37</v>
      </c>
      <c r="C153" s="29" t="s">
        <v>132</v>
      </c>
      <c r="D153" s="30" t="s">
        <v>132</v>
      </c>
      <c r="E153" s="31">
        <v>4.8000000000000001E-2</v>
      </c>
      <c r="F153" s="31">
        <v>9.6000000000000002E-2</v>
      </c>
      <c r="G153" s="31">
        <v>9.6000000000000002E-2</v>
      </c>
      <c r="H153" s="31">
        <v>0.14399999999999999</v>
      </c>
      <c r="I153" s="31">
        <v>0.192</v>
      </c>
      <c r="J153" s="32">
        <v>0.192</v>
      </c>
      <c r="M153" s="7" t="s">
        <v>268</v>
      </c>
      <c r="N153" s="67"/>
      <c r="O153" s="67"/>
      <c r="P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4"/>
    </row>
    <row r="154" spans="1:34" x14ac:dyDescent="0.2">
      <c r="B154" t="s">
        <v>209</v>
      </c>
      <c r="M154" s="7" t="s">
        <v>269</v>
      </c>
      <c r="N154" s="67"/>
      <c r="O154" s="67"/>
      <c r="P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4"/>
    </row>
    <row r="155" spans="1:34" x14ac:dyDescent="0.15">
      <c r="A155" cm="1">
        <f t="array" ref="A155">_xlfn.IFS(AND(C15&gt;=1,C15&lt;20),C155,AND(C15&gt;=20,C15&lt;40),D155,AND(C15&gt;=40,C15&lt;50),E155,AND(C15&gt;=50,C15&lt;60),F155,AND(C15&gt;=60,C15&lt;70),G155,AND(C15&gt;=70,C15&lt;80),H155,AND(C15&gt;=80,C15&lt;90),I155,C15=90,J155)</f>
        <v>13348</v>
      </c>
      <c r="B155" s="24" t="s">
        <v>125</v>
      </c>
      <c r="C155" s="26">
        <v>1039</v>
      </c>
      <c r="D155" s="27">
        <v>3586</v>
      </c>
      <c r="E155" s="27">
        <v>5999</v>
      </c>
      <c r="F155" s="27">
        <v>7747</v>
      </c>
      <c r="G155" s="27">
        <v>9292</v>
      </c>
      <c r="H155" s="27">
        <v>10846</v>
      </c>
      <c r="I155" s="27">
        <v>12410</v>
      </c>
      <c r="J155" s="26">
        <v>13348</v>
      </c>
      <c r="M155" s="7" t="s">
        <v>270</v>
      </c>
      <c r="N155" s="67"/>
      <c r="O155" s="67"/>
      <c r="P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4"/>
    </row>
    <row r="156" spans="1:34" x14ac:dyDescent="0.15">
      <c r="A156" cm="1">
        <f t="array" ref="A156">_xlfn.IFS(AND(C15&gt;=1,C15&lt;20),C156,AND(C15&gt;=20,C15&lt;40),D156,AND(C15&gt;=40,C15&lt;50),E156,AND(C15&gt;=50,C15&lt;60),F156,AND(C15&gt;=60,C15&lt;70),G156,AND(C15&gt;=70,C15&lt;80),H156,AND(C15&gt;=80,C15&lt;90),I156,C15=90,J156)</f>
        <v>500</v>
      </c>
      <c r="B156" s="24" t="s">
        <v>128</v>
      </c>
      <c r="C156" s="25">
        <v>39</v>
      </c>
      <c r="D156" s="28">
        <v>134</v>
      </c>
      <c r="E156" s="28">
        <v>225</v>
      </c>
      <c r="F156" s="28">
        <v>290</v>
      </c>
      <c r="G156" s="28">
        <v>348</v>
      </c>
      <c r="H156" s="28">
        <v>406</v>
      </c>
      <c r="I156" s="28">
        <v>464</v>
      </c>
      <c r="J156" s="25">
        <v>500</v>
      </c>
      <c r="M156" s="7" t="s">
        <v>271</v>
      </c>
      <c r="N156" s="67"/>
      <c r="O156" s="67"/>
      <c r="P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4"/>
    </row>
    <row r="157" spans="1:34" x14ac:dyDescent="0.15">
      <c r="A157" cm="1">
        <f t="array" ref="A157">_xlfn.IFS(AND(C15&gt;=1,C15&lt;20),C157,AND(C15&gt;=20,C15&lt;40),D157,AND(C15&gt;=40,C15&lt;50),E157,AND(C15&gt;=50,C15&lt;60),F157,AND(C15&gt;=60,C15&lt;70),G157,AND(C15&gt;=70,C15&lt;80),H157,AND(C15&gt;=80,C15&lt;90),I157,C15=90,J157)</f>
        <v>192</v>
      </c>
      <c r="B157" s="24" t="s">
        <v>130</v>
      </c>
      <c r="C157" s="25">
        <v>15</v>
      </c>
      <c r="D157" s="28">
        <v>51</v>
      </c>
      <c r="E157" s="28">
        <v>86</v>
      </c>
      <c r="F157" s="28">
        <v>111</v>
      </c>
      <c r="G157" s="28">
        <v>134</v>
      </c>
      <c r="H157" s="28">
        <v>156</v>
      </c>
      <c r="I157" s="28">
        <v>179</v>
      </c>
      <c r="J157" s="25">
        <v>192</v>
      </c>
      <c r="M157" s="7" t="s">
        <v>272</v>
      </c>
      <c r="N157" s="67"/>
      <c r="O157" s="67"/>
      <c r="P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4"/>
    </row>
    <row r="158" spans="1:34" x14ac:dyDescent="0.2">
      <c r="A158" cm="1">
        <f t="array" ref="A158">_xlfn.IFS(AND(C15&gt;=1,C15&lt;20),C158,AND(C15&gt;=20,C15&lt;40),D158,AND(C15&gt;=40,C15&lt;50),E158,AND(C15&gt;=50,C15&lt;60),F158,AND(C15&gt;=60,C15&lt;70),G158,AND(C15&gt;=70,C15&lt;80),H158,AND(C15&gt;=80,C15&lt;90),I158,C15=90,J158)</f>
        <v>0.28799999999999998</v>
      </c>
      <c r="B158" s="24" t="s">
        <v>159</v>
      </c>
      <c r="C158" s="29" t="s">
        <v>132</v>
      </c>
      <c r="D158" s="30" t="s">
        <v>132</v>
      </c>
      <c r="E158" s="31">
        <v>7.1999999999999995E-2</v>
      </c>
      <c r="F158" s="31">
        <v>0.14399999999999999</v>
      </c>
      <c r="G158" s="31">
        <v>0.14399999999999999</v>
      </c>
      <c r="H158" s="31">
        <v>0.216</v>
      </c>
      <c r="I158" s="31">
        <v>0.28799999999999998</v>
      </c>
      <c r="J158" s="32">
        <v>0.28799999999999998</v>
      </c>
      <c r="M158" s="7" t="s">
        <v>273</v>
      </c>
      <c r="N158" s="67"/>
      <c r="O158" s="67"/>
      <c r="P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4"/>
    </row>
    <row r="159" spans="1:34" x14ac:dyDescent="0.2">
      <c r="B159" t="s">
        <v>26</v>
      </c>
      <c r="M159" s="7" t="s">
        <v>274</v>
      </c>
      <c r="N159" s="67"/>
      <c r="O159" s="67"/>
      <c r="P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4"/>
    </row>
    <row r="160" spans="1:34" x14ac:dyDescent="0.15">
      <c r="A160" cm="1">
        <f t="array" ref="A160">_xlfn.IFS(AND(C15&gt;=1,C15&lt;20),C160,AND(C15&gt;=20,C15&lt;40),D160,AND(C15&gt;=40,C15&lt;50),E160,AND(C15&gt;=50,C15&lt;60),F160,AND(C15&gt;=60,C15&lt;70),G160,AND(C15&gt;=70,C15&lt;80),H160,AND(C15&gt;=80,C15&lt;90),I160,C15=90,J160)</f>
        <v>15307</v>
      </c>
      <c r="B160" s="24" t="s">
        <v>125</v>
      </c>
      <c r="C160" s="26">
        <v>1192</v>
      </c>
      <c r="D160" s="27">
        <v>4113</v>
      </c>
      <c r="E160" s="27">
        <v>6880</v>
      </c>
      <c r="F160" s="27">
        <v>8884</v>
      </c>
      <c r="G160" s="27">
        <v>10656</v>
      </c>
      <c r="H160" s="27">
        <v>12438</v>
      </c>
      <c r="I160" s="27">
        <v>14234</v>
      </c>
      <c r="J160" s="26">
        <v>15307</v>
      </c>
      <c r="M160" s="7" t="s">
        <v>275</v>
      </c>
      <c r="N160" s="67"/>
      <c r="O160" s="67"/>
      <c r="P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4"/>
    </row>
    <row r="161" spans="1:34" x14ac:dyDescent="0.15">
      <c r="A161" cm="1">
        <f t="array" ref="A161">_xlfn.IFS(AND(C15&gt;=1,C15&lt;20),C161,AND(C15&gt;=20,C15&lt;40),D161,AND(C15&gt;=40,C15&lt;50),E161,AND(C15&gt;=50,C15&lt;60),F161,AND(C15&gt;=60,C15&lt;70),G161,AND(C15&gt;=70,C15&lt;80),H161,AND(C15&gt;=80,C15&lt;90),I161,C15=90,J161)</f>
        <v>696</v>
      </c>
      <c r="B161" s="24" t="s">
        <v>128</v>
      </c>
      <c r="C161" s="25">
        <v>54</v>
      </c>
      <c r="D161" s="28">
        <v>187</v>
      </c>
      <c r="E161" s="28">
        <v>343</v>
      </c>
      <c r="F161" s="28">
        <v>404</v>
      </c>
      <c r="G161" s="28">
        <v>484</v>
      </c>
      <c r="H161" s="28">
        <v>565</v>
      </c>
      <c r="I161" s="28">
        <v>647</v>
      </c>
      <c r="J161" s="25">
        <v>696</v>
      </c>
      <c r="M161" s="7" t="s">
        <v>276</v>
      </c>
      <c r="N161" s="67"/>
      <c r="O161" s="67" cm="1">
        <f t="array" ref="O161">IF(AND(OR(C14="シロネン",D14="シロネン",E14="シロネン",F14="シロネン"),(COUNTIF(C16:F16,"水")+COUNTIF(C16:F16,"炎")+COUNTIF(C16:F16,"氷")+COUNTIF(C16:F16,"雷"))&gt;=2,C16&lt;&gt;"風",C16&lt;&gt;"草"),_xlfn.IFS(INDEX(A33:F33,MATCH("シロネン",C14:F14,0))=1,-9,INDEX(A33:F33,MATCH("シロネン",C14:F14,0))=2,-12,INDEX(A33:F33,MATCH("シロネン",C14:F14,0))=3,-15,INDEX(A33:F33,MATCH("シロネン",C14:F14,0))=4,-18,INDEX(A33:F33,MATCH("シロネン",C14:F14,0))=5,-21,INDEX(A33:F33,MATCH("シロネン",C14:F14,0))=6,-24,INDEX(A33:F33,MATCH("シロネン",C14:F14,0))=7,-27,INDEX(A33:F33,MATCH("シロネン",C14:F14,0))=8,-30,INDEX(A33:F33,MATCH("シロネン",C14:F14,0))=9,-33,INDEX(A33:F33,MATCH("シロネン",C14:F14,0))=10,-36,INDEX(A33:F33,MATCH("シロネン",C14:F14,0))=11,-39,INDEX(A33:F33,MATCH("シロネン",C14:F14,0))=12,-42,INDEX(A33:F33,MATCH("シロネン",C14:F14,0))=13,-45),0)</f>
        <v>0</v>
      </c>
      <c r="P161" s="67"/>
      <c r="R161" s="67"/>
      <c r="S161" s="67"/>
      <c r="T161" s="67"/>
      <c r="U161" s="67"/>
      <c r="V161" s="67"/>
      <c r="W161" s="67"/>
      <c r="X161" s="67"/>
      <c r="Y161" s="67"/>
      <c r="Z161" s="67">
        <f>IFERROR(IF(AND(OR(C14="シロネン",D14="シロネン",E14="シロネン",F14="シロネン"),INDEX(A27:F27,MATCH("シロネン",C14:F14,0))&gt;=2,(COUNTIF(C16:F16,"水")+COUNTIF(C16:F16,"炎")+COUNTIF(C16:F16,"氷")+COUNTIF(C16:F16,"雷"))&gt;=2,C16="炎"),45,0),0)</f>
        <v>0</v>
      </c>
      <c r="AA161" s="67">
        <f>IFERROR(IF(AND(OR(C14="シロネン",D14="シロネン",E14="シロネン",F14="シロネン"),INDEX(A27:F27,MATCH("シロネン",C14:F14,0))&gt;=2,(COUNTIF(C16:F16,"水")+COUNTIF(C16:F16,"炎")+COUNTIF(C16:F16,"氷")+COUNTIF(C16:F16,"雷"))&gt;=2,C16="岩"),50,0),0)</f>
        <v>0</v>
      </c>
      <c r="AB161" s="67">
        <f>IFERROR(IF(AND(OR(C14="シロネン",D14="シロネン",E14="シロネン",F14="シロネン"),INDEX(A27:F27,MATCH("シロネン",C14:F14,0))&gt;=2,(COUNTIF(C16:F16,"水")+COUNTIF(C16:F16,"炎")+COUNTIF(C16:F16,"氷")+COUNTIF(C16:F16,"雷"))&gt;=2,C16="水"),45,0),0)</f>
        <v>0</v>
      </c>
      <c r="AC161" s="67">
        <f>IFERROR(IF(AND(OR(C14="シロネン",D14="シロネン",E14="シロネン",F14="シロネン"),INDEX(A27:F27,MATCH("シロネン",C14:F14,0))&gt;=2,(COUNTIF(C16:F16,"水")+COUNTIF(C16:F16,"炎")+COUNTIF(C16:F16,"氷")+COUNTIF(C16:F16,"雷"))&gt;=2,C16="氷"),60,0),0)</f>
        <v>0</v>
      </c>
      <c r="AD161" s="67"/>
      <c r="AE161" s="67">
        <f>IFERROR(IF(AND(OR(C14="シロネン",D14="シロネン",E14="シロネン",F14="シロネン"),INDEX(A27:F27,MATCH("シロネン",C14:F14,0))&gt;=4,OR(C17="通常攻撃",C17="重撃",C17="落下攻撃")),INDEX(A20:F20,MATCH("シロネン",C14:F14,0))*0.65,0),0)</f>
        <v>0</v>
      </c>
      <c r="AF161" s="67"/>
      <c r="AG161" s="67">
        <f>IF(AND(C14="シロネン",OR(C17="通常攻撃",C17="落下攻撃"),C27&gt;=6,G17&lt;&gt;"物理"),C20*3,0)</f>
        <v>0</v>
      </c>
      <c r="AH161" s="4"/>
    </row>
    <row r="162" spans="1:34" x14ac:dyDescent="0.15">
      <c r="A162" cm="1">
        <f t="array" ref="A162">_xlfn.IFS(AND(C15&gt;=1,C15&lt;20),C162,AND(C15&gt;=20,C15&lt;40),D162,AND(C15&gt;=40,C15&lt;50),E162,AND(C15&gt;=50,C15&lt;60),F162,AND(C15&gt;=60,C15&lt;70),G162,AND(C15&gt;=70,C15&lt;80),H162,AND(C15&gt;=80,C15&lt;90),I162,C15=90,J162)</f>
        <v>244</v>
      </c>
      <c r="B162" s="24" t="s">
        <v>130</v>
      </c>
      <c r="C162" s="25">
        <v>19</v>
      </c>
      <c r="D162" s="28">
        <v>65</v>
      </c>
      <c r="E162" s="28">
        <v>109</v>
      </c>
      <c r="F162" s="28">
        <v>141</v>
      </c>
      <c r="G162" s="28">
        <v>170</v>
      </c>
      <c r="H162" s="28">
        <v>198</v>
      </c>
      <c r="I162" s="28">
        <v>226</v>
      </c>
      <c r="J162" s="25">
        <v>244</v>
      </c>
      <c r="M162" s="7" t="s">
        <v>277</v>
      </c>
      <c r="N162" s="67"/>
      <c r="O162" s="67"/>
      <c r="P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4"/>
    </row>
    <row r="163" spans="1:34" x14ac:dyDescent="0.15">
      <c r="A163" cm="1">
        <f t="array" ref="A163">_xlfn.IFS(AND(C15&gt;=1,C15&lt;20),C163,AND(C15&gt;=20,C15&lt;40),D163,AND(C15&gt;=40,C15&lt;50),E163,AND(C15&gt;=50,C15&lt;60),F163,AND(C15&gt;=60,C15&lt;70),G163,AND(C15&gt;=70,C15&lt;80),H163,AND(C15&gt;=80,C15&lt;90),I163,C15=90,J163)</f>
        <v>0.192</v>
      </c>
      <c r="B163" s="24" t="s">
        <v>37</v>
      </c>
      <c r="C163" s="29" t="s">
        <v>132</v>
      </c>
      <c r="D163" s="30" t="s">
        <v>132</v>
      </c>
      <c r="E163" s="31">
        <v>4.8000000000000001E-2</v>
      </c>
      <c r="F163" s="31">
        <v>9.6000000000000002E-2</v>
      </c>
      <c r="G163" s="31">
        <v>9.6000000000000002E-2</v>
      </c>
      <c r="H163" s="31">
        <v>0.14399999999999999</v>
      </c>
      <c r="I163" s="31">
        <v>0.192</v>
      </c>
      <c r="J163" s="32">
        <v>0.192</v>
      </c>
      <c r="M163" s="7" t="s">
        <v>278</v>
      </c>
      <c r="N163" s="67"/>
      <c r="O163" s="67"/>
      <c r="P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4"/>
    </row>
    <row r="164" spans="1:34" x14ac:dyDescent="0.2">
      <c r="B164" t="s">
        <v>212</v>
      </c>
      <c r="M164" s="7" t="s">
        <v>279</v>
      </c>
      <c r="N164" s="67"/>
      <c r="O164" s="67"/>
      <c r="P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4"/>
    </row>
    <row r="165" spans="1:34" x14ac:dyDescent="0.15">
      <c r="A165" cm="1">
        <f t="array" ref="A165">_xlfn.IFS(AND(C15&gt;=1,C15&lt;20),C165,AND(C15&gt;=20,C15&lt;40),D165,AND(C15&gt;=40,C15&lt;50),E165,AND(C15&gt;=50,C15&lt;60),F165,AND(C15&gt;=60,C15&lt;70),G165,AND(C15&gt;=70,C15&lt;80),H165,AND(C15&gt;=80,C15&lt;90),I165,C15=90,J165)</f>
        <v>14695</v>
      </c>
      <c r="B165" s="24" t="s">
        <v>125</v>
      </c>
      <c r="C165" s="26">
        <v>1144</v>
      </c>
      <c r="D165" s="27">
        <v>3948</v>
      </c>
      <c r="E165" s="27">
        <v>6605</v>
      </c>
      <c r="F165" s="27">
        <v>8528</v>
      </c>
      <c r="G165" s="27">
        <v>10230</v>
      </c>
      <c r="H165" s="27">
        <v>11940</v>
      </c>
      <c r="I165" s="27">
        <v>13462</v>
      </c>
      <c r="J165" s="26">
        <v>14695</v>
      </c>
      <c r="M165" s="7" t="s">
        <v>280</v>
      </c>
      <c r="N165" s="67"/>
      <c r="O165" s="67"/>
      <c r="P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4"/>
    </row>
    <row r="166" spans="1:34" x14ac:dyDescent="0.15">
      <c r="A166" cm="1">
        <f t="array" ref="A166">_xlfn.IFS(AND(C15&gt;=1,C15&lt;20),C166,AND(C15&gt;=20,C15&lt;40),D166,AND(C15&gt;=40,C15&lt;50),E166,AND(C15&gt;=50,C15&lt;60),F166,AND(C15&gt;=60,C15&lt;70),G166,AND(C15&gt;=70,C15&lt;80),H166,AND(C15&gt;=80,C15&lt;90),I166,C15=90,J166)</f>
        <v>576</v>
      </c>
      <c r="B166" s="24" t="s">
        <v>128</v>
      </c>
      <c r="C166" s="25">
        <v>45</v>
      </c>
      <c r="D166" s="28">
        <v>155</v>
      </c>
      <c r="E166" s="28">
        <v>259</v>
      </c>
      <c r="F166" s="28">
        <v>335</v>
      </c>
      <c r="G166" s="28">
        <v>401</v>
      </c>
      <c r="H166" s="28">
        <v>468</v>
      </c>
      <c r="I166" s="28">
        <v>534</v>
      </c>
      <c r="J166" s="25">
        <v>576</v>
      </c>
      <c r="M166" s="7" t="s">
        <v>281</v>
      </c>
      <c r="N166" s="67"/>
      <c r="O166" s="67"/>
      <c r="P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4"/>
    </row>
    <row r="167" spans="1:34" x14ac:dyDescent="0.15">
      <c r="A167" cm="1">
        <f t="array" ref="A167">_xlfn.IFS(AND(C15&gt;=1,C15&lt;20),C167,AND(C15&gt;=20,C15&lt;40),D167,AND(C15&gt;=40,C15&lt;50),E167,AND(C15&gt;=50,C15&lt;60),F167,AND(C15&gt;=60,C15&lt;70),G167,AND(C15&gt;=70,C15&lt;80),H167,AND(C15&gt;=80,C15&lt;90),I167,C15=90,J167)</f>
        <v>232</v>
      </c>
      <c r="B167" s="24" t="s">
        <v>130</v>
      </c>
      <c r="C167" s="25">
        <v>16</v>
      </c>
      <c r="D167" s="28">
        <v>56</v>
      </c>
      <c r="E167" s="28">
        <v>93</v>
      </c>
      <c r="F167" s="28">
        <v>121</v>
      </c>
      <c r="G167" s="28">
        <v>145</v>
      </c>
      <c r="H167" s="28">
        <v>169</v>
      </c>
      <c r="I167" s="28">
        <v>217</v>
      </c>
      <c r="J167" s="25">
        <v>232</v>
      </c>
      <c r="M167" s="7" t="s">
        <v>282</v>
      </c>
      <c r="N167" s="67"/>
      <c r="O167" s="67"/>
      <c r="P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4"/>
    </row>
    <row r="168" spans="1:34" x14ac:dyDescent="0.15">
      <c r="A168" cm="1">
        <f t="array" ref="A168">_xlfn.IFS(AND(C15&gt;=1,C15&lt;20),C168,AND(C15&gt;=20,C15&lt;40),D168,AND(C15&gt;=40,C15&lt;50),E168,AND(C15&gt;=50,C15&lt;60),F168,AND(C15&gt;=60,C15&lt;70),G168,AND(C15&gt;=70,C15&lt;80),H168,AND(C15&gt;=80,C15&lt;90),I168,C15=90,J168)</f>
        <v>0.38400000000000001</v>
      </c>
      <c r="B168" s="24" t="s">
        <v>38</v>
      </c>
      <c r="C168" s="29" t="s">
        <v>132</v>
      </c>
      <c r="D168" s="30" t="s">
        <v>132</v>
      </c>
      <c r="E168" s="31">
        <v>9.6000000000000002E-2</v>
      </c>
      <c r="F168" s="31">
        <v>0.192</v>
      </c>
      <c r="G168" s="31">
        <v>0.192</v>
      </c>
      <c r="H168" s="31">
        <v>0.28799999999999998</v>
      </c>
      <c r="I168" s="31">
        <v>0.38400000000000001</v>
      </c>
      <c r="J168" s="32">
        <v>0.38400000000000001</v>
      </c>
      <c r="M168" s="7" t="s">
        <v>283</v>
      </c>
      <c r="N168" s="67"/>
      <c r="O168" s="67"/>
      <c r="P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4"/>
    </row>
    <row r="169" spans="1:34" x14ac:dyDescent="0.2">
      <c r="B169" t="s">
        <v>214</v>
      </c>
      <c r="M169" s="7" t="s">
        <v>284</v>
      </c>
      <c r="N169" s="67"/>
      <c r="O169" s="67"/>
      <c r="P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4"/>
    </row>
    <row r="170" spans="1:34" x14ac:dyDescent="0.15">
      <c r="A170" cm="1">
        <f t="array" ref="A170">_xlfn.IFS(AND(C15&gt;=1,C15&lt;20),C170,AND(C15&gt;=20,C15&lt;40),D170,AND(C15&gt;=40,C15&lt;50),E170,AND(C15&gt;=50,C15&lt;60),F170,AND(C15&gt;=60,C15&lt;70),G170,AND(C15&gt;=70,C15&lt;80),H170,AND(C15&gt;=80,C15&lt;90),I170,C15=90,J170)</f>
        <v>15185</v>
      </c>
      <c r="B170" s="24" t="s">
        <v>125</v>
      </c>
      <c r="C170" s="26">
        <v>1182</v>
      </c>
      <c r="D170" s="27">
        <v>4080</v>
      </c>
      <c r="E170" s="27">
        <v>6825</v>
      </c>
      <c r="F170" s="27">
        <v>8813</v>
      </c>
      <c r="G170" s="27">
        <v>10571</v>
      </c>
      <c r="H170" s="27">
        <v>12338</v>
      </c>
      <c r="I170" s="27">
        <v>14117</v>
      </c>
      <c r="J170" s="26">
        <v>15185</v>
      </c>
      <c r="M170" s="7" t="s">
        <v>285</v>
      </c>
      <c r="N170" s="67"/>
      <c r="O170" s="67"/>
      <c r="P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4"/>
    </row>
    <row r="171" spans="1:34" x14ac:dyDescent="0.15">
      <c r="A171" cm="1">
        <f t="array" ref="A171">_xlfn.IFS(AND(C15&gt;=1,C15&lt;20),C171,AND(C15&gt;=20,C15&lt;40),D171,AND(C15&gt;=40,C15&lt;50),E171,AND(C15&gt;=50,C15&lt;60),F171,AND(C15&gt;=60,C15&lt;70),G171,AND(C15&gt;=70,C15&lt;80),H171,AND(C15&gt;=80,C15&lt;90),I171,C15=90,J171)</f>
        <v>729</v>
      </c>
      <c r="B171" s="24" t="s">
        <v>128</v>
      </c>
      <c r="C171" s="25">
        <v>57</v>
      </c>
      <c r="D171" s="28">
        <v>196</v>
      </c>
      <c r="E171" s="28">
        <v>327</v>
      </c>
      <c r="F171" s="28">
        <v>423</v>
      </c>
      <c r="G171" s="28">
        <v>507</v>
      </c>
      <c r="H171" s="28">
        <v>592</v>
      </c>
      <c r="I171" s="28">
        <v>677</v>
      </c>
      <c r="J171" s="25">
        <v>729</v>
      </c>
      <c r="M171" s="7" t="s">
        <v>286</v>
      </c>
      <c r="N171" s="67"/>
      <c r="O171" s="67"/>
      <c r="P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4"/>
    </row>
    <row r="172" spans="1:34" x14ac:dyDescent="0.15">
      <c r="A172" cm="1">
        <f t="array" ref="A172">_xlfn.IFS(AND(C15&gt;=1,C15&lt;20),C172,AND(C15&gt;=20,C15&lt;40),D172,AND(C15&gt;=40,C15&lt;50),E172,AND(C15&gt;=50,C15&lt;60),F172,AND(C15&gt;=60,C15&lt;70),G172,AND(C15&gt;=70,C15&lt;80),H172,AND(C15&gt;=80,C15&lt;90),I172,C15=90,J172)</f>
        <v>229</v>
      </c>
      <c r="B172" s="24" t="s">
        <v>130</v>
      </c>
      <c r="C172" s="25">
        <v>18</v>
      </c>
      <c r="D172" s="28">
        <v>61</v>
      </c>
      <c r="E172" s="28">
        <v>103</v>
      </c>
      <c r="F172" s="28">
        <v>133</v>
      </c>
      <c r="G172" s="28">
        <v>160</v>
      </c>
      <c r="H172" s="28">
        <v>186</v>
      </c>
      <c r="I172" s="28">
        <v>213</v>
      </c>
      <c r="J172" s="25">
        <v>229</v>
      </c>
      <c r="M172" s="7" t="s">
        <v>287</v>
      </c>
      <c r="N172" s="67"/>
      <c r="O172" s="67"/>
      <c r="P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4"/>
    </row>
    <row r="173" spans="1:34" x14ac:dyDescent="0.2">
      <c r="A173" cm="1">
        <f t="array" ref="A173">_xlfn.IFS(AND(C15&gt;=1,C15&lt;20),C173,AND(C15&gt;=20,C15&lt;40),D173,AND(C15&gt;=40,C15&lt;50),E173,AND(C15&gt;=50,C15&lt;60),F173,AND(C15&gt;=60,C15&lt;70),G173,AND(C15&gt;=70,C15&lt;80),H173,AND(C15&gt;=80,C15&lt;90),I173,C15=90,J173)</f>
        <v>0.28799999999999998</v>
      </c>
      <c r="B173" s="24" t="s">
        <v>159</v>
      </c>
      <c r="C173" s="29" t="s">
        <v>132</v>
      </c>
      <c r="D173" s="30" t="s">
        <v>132</v>
      </c>
      <c r="E173" s="31">
        <v>7.1999999999999995E-2</v>
      </c>
      <c r="F173" s="31">
        <v>0.14399999999999999</v>
      </c>
      <c r="G173" s="31">
        <v>0.14399999999999999</v>
      </c>
      <c r="H173" s="31">
        <v>0.216</v>
      </c>
      <c r="I173" s="31">
        <v>0.28799999999999998</v>
      </c>
      <c r="J173" s="32">
        <v>0.28799999999999998</v>
      </c>
      <c r="M173" s="7" t="s">
        <v>288</v>
      </c>
      <c r="N173" s="67"/>
      <c r="O173" s="67"/>
      <c r="P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4"/>
    </row>
    <row r="174" spans="1:34" x14ac:dyDescent="0.2">
      <c r="B174" t="s">
        <v>216</v>
      </c>
      <c r="M174" s="7" t="s">
        <v>289</v>
      </c>
      <c r="N174" s="67"/>
      <c r="O174" s="67"/>
      <c r="P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4"/>
    </row>
    <row r="175" spans="1:34" x14ac:dyDescent="0.15">
      <c r="A175" cm="1">
        <f t="array" ref="A175">_xlfn.IFS(AND(C15&gt;=1,C15&lt;20),C175,AND(C15&gt;=20,C15&lt;40),D175,AND(C15&gt;=40,C15&lt;50),E175,AND(C15&gt;=50,C15&lt;60),F175,AND(C15&gt;=60,C15&lt;70),G175,AND(C15&gt;=70,C15&lt;80),H175,AND(C15&gt;=80,C15&lt;90),I175,C15=90,J175)</f>
        <v>14450</v>
      </c>
      <c r="B175" s="24" t="s">
        <v>125</v>
      </c>
      <c r="C175" s="26">
        <v>1125</v>
      </c>
      <c r="D175" s="27">
        <v>3883</v>
      </c>
      <c r="E175" s="27">
        <v>6495</v>
      </c>
      <c r="F175" s="27">
        <v>8386</v>
      </c>
      <c r="G175" s="27">
        <v>10059</v>
      </c>
      <c r="H175" s="27">
        <v>11741</v>
      </c>
      <c r="I175" s="27">
        <v>13434</v>
      </c>
      <c r="J175" s="26">
        <v>14450</v>
      </c>
      <c r="M175" s="7" t="s">
        <v>290</v>
      </c>
      <c r="N175" s="67"/>
      <c r="O175" s="67"/>
      <c r="P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4"/>
    </row>
    <row r="176" spans="1:34" x14ac:dyDescent="0.15">
      <c r="A176" cm="1">
        <f t="array" ref="A176">_xlfn.IFS(AND(C15&gt;=1,C15&lt;20),C176,AND(C15&gt;=20,C15&lt;40),D176,AND(C15&gt;=40,C15&lt;50),E176,AND(C15&gt;=50,C15&lt;60),F176,AND(C15&gt;=60,C15&lt;70),G176,AND(C15&gt;=70,C15&lt;80),H176,AND(C15&gt;=80,C15&lt;90),I176,C15=90,J176)</f>
        <v>548</v>
      </c>
      <c r="B176" s="24" t="s">
        <v>128</v>
      </c>
      <c r="C176" s="25">
        <v>43</v>
      </c>
      <c r="D176" s="28">
        <v>147</v>
      </c>
      <c r="E176" s="28">
        <v>246</v>
      </c>
      <c r="F176" s="28">
        <v>348</v>
      </c>
      <c r="G176" s="28">
        <v>381</v>
      </c>
      <c r="H176" s="28">
        <v>445</v>
      </c>
      <c r="I176" s="28">
        <v>509</v>
      </c>
      <c r="J176" s="25">
        <v>548</v>
      </c>
      <c r="M176" s="7" t="s">
        <v>291</v>
      </c>
      <c r="N176" s="67"/>
      <c r="O176" s="67"/>
      <c r="P176" s="67"/>
      <c r="R176" s="67"/>
      <c r="S176" s="67"/>
      <c r="T176" s="67"/>
      <c r="U176" s="67"/>
      <c r="V176" s="67"/>
      <c r="W176" s="67"/>
      <c r="X176" s="67"/>
      <c r="Y176" s="67"/>
      <c r="Z176" s="67">
        <f>IFERROR(IF(AND(OR(C14="ナヒーダ",D14="ナヒーダ",E14="ナヒーダ",F14="ナヒーダ"),INDEX(C27:F27,MATCH("ナヒーダ",C14:F14,0))&gt;=2),30,0),0)</f>
        <v>0</v>
      </c>
      <c r="AA176" s="67"/>
      <c r="AB176" s="67"/>
      <c r="AC176" s="67"/>
      <c r="AD176" s="67"/>
      <c r="AE176" s="67"/>
      <c r="AF176" s="67"/>
      <c r="AG176" s="67"/>
      <c r="AH176" s="4"/>
    </row>
    <row r="177" spans="1:34" x14ac:dyDescent="0.15">
      <c r="A177" cm="1">
        <f t="array" ref="A177">_xlfn.IFS(AND(C15&gt;=1,C15&lt;20),C177,AND(C15&gt;=20,C15&lt;40),D177,AND(C15&gt;=40,C15&lt;50),E177,AND(C15&gt;=50,C15&lt;60),F177,AND(C15&gt;=60,C15&lt;70),G177,AND(C15&gt;=70,C15&lt;80),H177,AND(C15&gt;=80,C15&lt;90),I177,C15=90,J177)</f>
        <v>244</v>
      </c>
      <c r="B177" s="24" t="s">
        <v>130</v>
      </c>
      <c r="C177" s="25">
        <v>19</v>
      </c>
      <c r="D177" s="28">
        <v>65</v>
      </c>
      <c r="E177" s="28">
        <v>109</v>
      </c>
      <c r="F177" s="28">
        <v>141</v>
      </c>
      <c r="G177" s="28">
        <v>170</v>
      </c>
      <c r="H177" s="28">
        <v>198</v>
      </c>
      <c r="I177" s="28">
        <v>227</v>
      </c>
      <c r="J177" s="25">
        <v>244</v>
      </c>
      <c r="M177" s="7" t="s">
        <v>292</v>
      </c>
      <c r="N177" s="67"/>
      <c r="O177" s="67"/>
      <c r="P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4"/>
    </row>
    <row r="178" spans="1:34" x14ac:dyDescent="0.15">
      <c r="A178" cm="1">
        <f t="array" ref="A178">_xlfn.IFS(AND(C15&gt;=1,C15&lt;20),C178,AND(C15&gt;=20,C15&lt;40),D178,AND(C15&gt;=40,C15&lt;50),E178,AND(C15&gt;=50,C15&lt;60),F178,AND(C15&gt;=60,C15&lt;70),G178,AND(C15&gt;=70,C15&lt;80),H178,AND(C15&gt;=80,C15&lt;90),I178,C15=90,J178)</f>
        <v>0.192</v>
      </c>
      <c r="B178" s="24" t="s">
        <v>37</v>
      </c>
      <c r="C178" s="29" t="s">
        <v>132</v>
      </c>
      <c r="D178" s="30" t="s">
        <v>132</v>
      </c>
      <c r="E178" s="31">
        <v>4.8000000000000001E-2</v>
      </c>
      <c r="F178" s="31">
        <v>9.6000000000000002E-2</v>
      </c>
      <c r="G178" s="31">
        <v>9.6000000000000002E-2</v>
      </c>
      <c r="H178" s="31">
        <v>0.14399999999999999</v>
      </c>
      <c r="I178" s="31">
        <v>0.192</v>
      </c>
      <c r="J178" s="32">
        <v>0.192</v>
      </c>
      <c r="M178" s="7" t="s">
        <v>293</v>
      </c>
      <c r="N178" s="67"/>
      <c r="O178" s="67"/>
      <c r="P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4"/>
    </row>
    <row r="179" spans="1:34" x14ac:dyDescent="0.2">
      <c r="B179" t="s">
        <v>226</v>
      </c>
      <c r="M179" s="7" t="s">
        <v>294</v>
      </c>
      <c r="N179" s="67"/>
      <c r="O179" s="67"/>
      <c r="P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4"/>
    </row>
    <row r="180" spans="1:34" ht="15" x14ac:dyDescent="0.2">
      <c r="A180" cm="1">
        <f t="array" ref="A180">_xlfn.IFS(AND(C15&gt;=1,C15&lt;20),C180,AND(C15&gt;=20,C15&lt;40),D180,AND(C15&gt;=40,C15&lt;50),E180,AND(C15&gt;=50,C15&lt;60),F180,AND(C15&gt;=60,C15&lt;70),G180,AND(C15&gt;=70,C15&lt;80),H180,AND(C15&gt;=80,C15&lt;90),I180,C15=90,J180)</f>
        <v>13715</v>
      </c>
      <c r="B180" s="15" t="s">
        <v>125</v>
      </c>
      <c r="C180" s="16">
        <v>1068</v>
      </c>
      <c r="D180" s="35">
        <v>3485</v>
      </c>
      <c r="E180" s="17">
        <v>6165</v>
      </c>
      <c r="F180" s="35">
        <v>7960</v>
      </c>
      <c r="G180" s="35">
        <v>9548</v>
      </c>
      <c r="H180" s="35">
        <v>11144</v>
      </c>
      <c r="I180" s="17">
        <v>12751</v>
      </c>
      <c r="J180" s="16">
        <v>13715</v>
      </c>
      <c r="M180" s="7" t="s">
        <v>295</v>
      </c>
      <c r="N180" s="67"/>
      <c r="O180" s="67"/>
      <c r="P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4"/>
    </row>
    <row r="181" spans="1:34" ht="15" x14ac:dyDescent="0.2">
      <c r="A181" cm="1">
        <f t="array" ref="A181">_xlfn.IFS(AND(C15&gt;=1,C15&lt;20),C181,AND(C15&gt;=20,C15&lt;40),D181,AND(C15&gt;=40,C15&lt;50),E181,AND(C15&gt;=50,C15&lt;60),F181,AND(C15&gt;=60,C15&lt;70),G181,AND(C15&gt;=70,C15&lt;80),H181,AND(C15&gt;=80,C15&lt;90),I181,C15=90,J181)</f>
        <v>769</v>
      </c>
      <c r="B181" s="15" t="s">
        <v>128</v>
      </c>
      <c r="C181" s="19">
        <v>60</v>
      </c>
      <c r="D181" s="36">
        <v>206</v>
      </c>
      <c r="E181" s="18">
        <v>345</v>
      </c>
      <c r="F181" s="36">
        <v>446</v>
      </c>
      <c r="G181" s="36">
        <v>535</v>
      </c>
      <c r="H181" s="36">
        <v>624</v>
      </c>
      <c r="I181" s="18">
        <v>715</v>
      </c>
      <c r="J181" s="19">
        <v>769</v>
      </c>
      <c r="M181" s="8" t="s">
        <v>296</v>
      </c>
      <c r="N181" s="2"/>
      <c r="O181" s="2"/>
      <c r="P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5"/>
    </row>
    <row r="182" spans="1:34" ht="15" x14ac:dyDescent="0.2">
      <c r="A182" cm="1">
        <f t="array" ref="A182">_xlfn.IFS(AND(C15&gt;=1,C15&lt;20),C182,AND(C15&gt;=20,C15&lt;40),D182,AND(C15&gt;=40,C15&lt;50),E182,AND(C15&gt;=50,C15&lt;60),F182,AND(C15&gt;=60,C15&lt;70),G182,AND(C15&gt;=70,C15&lt;80),H182,AND(C15&gt;=80,C15&lt;90),I182,C15=90,J182)</f>
        <v>299</v>
      </c>
      <c r="B182" s="15" t="s">
        <v>130</v>
      </c>
      <c r="C182" s="19">
        <v>23</v>
      </c>
      <c r="D182" s="36">
        <v>80</v>
      </c>
      <c r="E182" s="18">
        <v>134</v>
      </c>
      <c r="F182" s="36">
        <v>174</v>
      </c>
      <c r="G182" s="36">
        <v>208</v>
      </c>
      <c r="H182" s="36">
        <v>243</v>
      </c>
      <c r="I182" s="18">
        <v>278</v>
      </c>
      <c r="J182" s="19">
        <v>299</v>
      </c>
    </row>
    <row r="183" spans="1:34" ht="15" x14ac:dyDescent="0.2">
      <c r="A183" cm="1">
        <f t="array" ref="A183">_xlfn.IFS(AND(C15&gt;=1,C15&lt;20),C183,AND(C15&gt;=20,C15&lt;40),D183,AND(C15&gt;=40,C15&lt;50),E183,AND(C15&gt;=50,C15&lt;60),F183,AND(C15&gt;=60,C15&lt;70),G183,AND(C15&gt;=70,C15&lt;80),H183,AND(C15&gt;=80,C15&lt;90),I183,C15=90,J183)</f>
        <v>0.38400000000000001</v>
      </c>
      <c r="B183" s="15" t="s">
        <v>38</v>
      </c>
      <c r="C183" s="20" t="s">
        <v>132</v>
      </c>
      <c r="D183" s="21" t="s">
        <v>132</v>
      </c>
      <c r="E183" s="22">
        <v>9.6000000000000002E-2</v>
      </c>
      <c r="F183" s="22">
        <v>0.192</v>
      </c>
      <c r="G183" s="22">
        <v>0.192</v>
      </c>
      <c r="H183" s="22">
        <v>0.28799999999999998</v>
      </c>
      <c r="I183" s="22">
        <v>0.38400000000000001</v>
      </c>
      <c r="J183" s="23">
        <v>0.38400000000000001</v>
      </c>
    </row>
    <row r="184" spans="1:34" x14ac:dyDescent="0.2">
      <c r="B184" t="s">
        <v>220</v>
      </c>
    </row>
    <row r="185" spans="1:34" x14ac:dyDescent="0.15">
      <c r="A185" cm="1">
        <f t="array" ref="A185">_xlfn.IFS(AND(C15&gt;=1,C15&lt;20),C185,AND(C15&gt;=20,C15&lt;40),D185,AND(C15&gt;=40,C15&lt;50),E185,AND(C15&gt;=50,C15&lt;60),F185,AND(C15&gt;=60,C15&lt;70),G185,AND(C15&gt;=70,C15&lt;80),H185,AND(C15&gt;=80,C15&lt;90),I185,C15=90,J185)</f>
        <v>13471</v>
      </c>
      <c r="B185" s="24" t="s">
        <v>125</v>
      </c>
      <c r="C185" s="26">
        <v>1049</v>
      </c>
      <c r="D185" s="27">
        <v>3419</v>
      </c>
      <c r="E185" s="27">
        <v>6055</v>
      </c>
      <c r="F185" s="27">
        <v>7818</v>
      </c>
      <c r="G185" s="27">
        <v>9377</v>
      </c>
      <c r="H185" s="27">
        <v>10945</v>
      </c>
      <c r="I185" s="27">
        <v>12524</v>
      </c>
      <c r="J185" s="26">
        <v>13471</v>
      </c>
    </row>
    <row r="186" spans="1:34" x14ac:dyDescent="0.15">
      <c r="A186" cm="1">
        <f t="array" ref="A186">_xlfn.IFS(AND(C15&gt;=1,C15&lt;20),C186,AND(C15&gt;=20,C15&lt;40),D186,AND(C15&gt;=40,C15&lt;50),E186,AND(C15&gt;=50,C15&lt;60),F186,AND(C15&gt;=60,C15&lt;70),G186,AND(C15&gt;=70,C15&lt;80),H186,AND(C15&gt;=80,C15&lt;90),I186,C15=90,J186)</f>
        <v>657</v>
      </c>
      <c r="B186" s="24" t="s">
        <v>128</v>
      </c>
      <c r="C186" s="25">
        <v>51</v>
      </c>
      <c r="D186" s="28">
        <v>177</v>
      </c>
      <c r="E186" s="28">
        <v>295</v>
      </c>
      <c r="F186" s="28">
        <v>381</v>
      </c>
      <c r="G186" s="28">
        <v>457</v>
      </c>
      <c r="H186" s="28">
        <v>534</v>
      </c>
      <c r="I186" s="28">
        <v>611</v>
      </c>
      <c r="J186" s="25">
        <v>657</v>
      </c>
    </row>
    <row r="187" spans="1:34" x14ac:dyDescent="0.15">
      <c r="A187" cm="1">
        <f t="array" ref="A187">_xlfn.IFS(AND(C15&gt;=1,C15&lt;20),C187,AND(C15&gt;=20,C15&lt;40),D187,AND(C15&gt;=40,C15&lt;50),E187,AND(C15&gt;=50,C15&lt;60),F187,AND(C15&gt;=60,C15&lt;70),G187,AND(C15&gt;=70,C15&lt;80),H187,AND(C15&gt;=80,C15&lt;90),I187,C15=90,J187)</f>
        <v>234</v>
      </c>
      <c r="B187" s="24" t="s">
        <v>130</v>
      </c>
      <c r="C187" s="25">
        <v>18</v>
      </c>
      <c r="D187" s="28">
        <v>63</v>
      </c>
      <c r="E187" s="28">
        <v>106</v>
      </c>
      <c r="F187" s="28">
        <v>134</v>
      </c>
      <c r="G187" s="28">
        <v>163</v>
      </c>
      <c r="H187" s="28">
        <v>191</v>
      </c>
      <c r="I187" s="28">
        <v>218</v>
      </c>
      <c r="J187" s="25">
        <v>234</v>
      </c>
    </row>
    <row r="188" spans="1:34" x14ac:dyDescent="0.15">
      <c r="A188" cm="1">
        <f t="array" ref="A188">_xlfn.IFS(AND(C15&gt;=1,C15&lt;20),C188,AND(C15&gt;=20,C15&lt;40),D188,AND(C15&gt;=40,C15&lt;50),E188,AND(C15&gt;=50,C15&lt;60),F188,AND(C15&gt;=60,C15&lt;70),G188,AND(C15&gt;=70,C15&lt;80),H188,AND(C15&gt;=80,C15&lt;90),I188,C15=90,J188)</f>
        <v>0.28799999999999998</v>
      </c>
      <c r="B188" s="24" t="s">
        <v>297</v>
      </c>
      <c r="C188" s="29" t="s">
        <v>132</v>
      </c>
      <c r="D188" s="30" t="s">
        <v>132</v>
      </c>
      <c r="E188" s="31">
        <v>7.1999999999999995E-2</v>
      </c>
      <c r="F188" s="31">
        <v>0.14399999999999999</v>
      </c>
      <c r="G188" s="31">
        <v>0.14399999999999999</v>
      </c>
      <c r="H188" s="31">
        <v>0.216</v>
      </c>
      <c r="I188" s="31">
        <v>0.28799999999999998</v>
      </c>
      <c r="J188" s="32">
        <v>0.28799999999999998</v>
      </c>
    </row>
    <row r="189" spans="1:34" x14ac:dyDescent="0.2">
      <c r="B189" t="s">
        <v>222</v>
      </c>
    </row>
    <row r="190" spans="1:34" x14ac:dyDescent="0.15">
      <c r="A190" cm="1">
        <f t="array" ref="A190">_xlfn.IFS(AND(C15&gt;=1,C15&lt;20),C190,AND(C15&gt;=20,C15&lt;40),D190,AND(C15&gt;=40,C15&lt;50),E190,AND(C15&gt;=50,C15&lt;60),F190,AND(C15&gt;=60,C15&lt;70),G190,AND(C15&gt;=70,C15&lt;80),H190,AND(C15&gt;=80,C15&lt;90),I190,C15=90,J190)</f>
        <v>13403</v>
      </c>
      <c r="B190" s="24" t="s">
        <v>125</v>
      </c>
      <c r="C190" s="26">
        <v>1020</v>
      </c>
      <c r="D190" s="27">
        <v>3521</v>
      </c>
      <c r="E190" s="27">
        <v>5889</v>
      </c>
      <c r="F190" s="27">
        <v>7604</v>
      </c>
      <c r="G190" s="27">
        <v>9121</v>
      </c>
      <c r="H190" s="27">
        <v>10647</v>
      </c>
      <c r="I190" s="27">
        <v>12182</v>
      </c>
      <c r="J190" s="26">
        <v>13403</v>
      </c>
    </row>
    <row r="191" spans="1:34" x14ac:dyDescent="0.15">
      <c r="A191" cm="1">
        <f t="array" ref="A191">_xlfn.IFS(AND(C15&gt;=1,C15&lt;20),C191,AND(C15&gt;=20,C15&lt;40),D191,AND(C15&gt;=40,C15&lt;50),E191,AND(C15&gt;=50,C15&lt;60),F191,AND(C15&gt;=60,C15&lt;70),G191,AND(C15&gt;=70,C15&lt;80),H191,AND(C15&gt;=80,C15&lt;90),I191,C15=90,J191)</f>
        <v>815</v>
      </c>
      <c r="B191" s="24" t="s">
        <v>128</v>
      </c>
      <c r="C191" s="25">
        <v>63</v>
      </c>
      <c r="D191" s="28">
        <v>219</v>
      </c>
      <c r="E191" s="28">
        <v>346</v>
      </c>
      <c r="F191" s="28">
        <v>473</v>
      </c>
      <c r="G191" s="28">
        <v>567</v>
      </c>
      <c r="H191" s="28">
        <v>662</v>
      </c>
      <c r="I191" s="28">
        <v>757</v>
      </c>
      <c r="J191" s="25">
        <v>815</v>
      </c>
      <c r="AB191" s="7" t="s">
        <v>189</v>
      </c>
    </row>
    <row r="192" spans="1:34" x14ac:dyDescent="0.15">
      <c r="A192" cm="1">
        <f t="array" ref="A192">_xlfn.IFS(AND(C15&gt;=1,C15&lt;20),C192,AND(C15&gt;=20,C15&lt;40),D192,AND(C15&gt;=40,C15&lt;50),E192,AND(C15&gt;=50,C15&lt;60),F192,AND(C15&gt;=60,C15&lt;70),G192,AND(C15&gt;=70,C15&lt;80),H192,AND(C15&gt;=80,C15&lt;90),I192,C15=90,J192)</f>
        <v>301</v>
      </c>
      <c r="B192" s="24" t="s">
        <v>130</v>
      </c>
      <c r="C192" s="25">
        <v>23</v>
      </c>
      <c r="D192" s="28">
        <v>81</v>
      </c>
      <c r="E192" s="28">
        <v>134</v>
      </c>
      <c r="F192" s="28">
        <v>175</v>
      </c>
      <c r="G192" s="28">
        <v>210</v>
      </c>
      <c r="H192" s="28">
        <v>245</v>
      </c>
      <c r="I192" s="28">
        <v>280</v>
      </c>
      <c r="J192" s="25">
        <v>301</v>
      </c>
      <c r="AB192" s="7" t="s">
        <v>205</v>
      </c>
    </row>
    <row r="193" spans="1:28" x14ac:dyDescent="0.15">
      <c r="A193" cm="1">
        <f t="array" ref="A193">_xlfn.IFS(AND(C15&gt;=1,C15&lt;20),C193,AND(C15&gt;=20,C15&lt;40),D193,AND(C15&gt;=40,C15&lt;50),E193,AND(C15&gt;=50,C15&lt;60),F193,AND(C15&gt;=60,C15&lt;70),G193,AND(C15&gt;=70,C15&lt;80),H193,AND(C15&gt;=80,C15&lt;90),I193,C15=90,J193)</f>
        <v>0.28799999999999998</v>
      </c>
      <c r="B193" s="24" t="s">
        <v>297</v>
      </c>
      <c r="C193" s="29" t="s">
        <v>132</v>
      </c>
      <c r="D193" s="30" t="s">
        <v>132</v>
      </c>
      <c r="E193" s="31">
        <v>7.1999999999999995E-2</v>
      </c>
      <c r="F193" s="31">
        <v>0.14399999999999999</v>
      </c>
      <c r="G193" s="31">
        <v>0.14399999999999999</v>
      </c>
      <c r="H193" s="31">
        <v>0.216</v>
      </c>
      <c r="I193" s="31">
        <v>0.28799999999999998</v>
      </c>
      <c r="J193" s="32">
        <v>0.28799999999999998</v>
      </c>
      <c r="AB193" s="7" t="s">
        <v>248</v>
      </c>
    </row>
    <row r="194" spans="1:28" x14ac:dyDescent="0.2">
      <c r="B194" t="s">
        <v>224</v>
      </c>
      <c r="AB194" s="7" t="s">
        <v>251</v>
      </c>
    </row>
    <row r="195" spans="1:28" ht="15" x14ac:dyDescent="0.2">
      <c r="A195" cm="1">
        <f t="array" ref="A195">_xlfn.IFS(AND(C15&gt;=1,C15&lt;20),C195,AND(C15&gt;=20,C15&lt;40),D195,AND(C15&gt;=40,C15&lt;50),E195,AND(C15&gt;=50,C15&lt;60),F195,AND(C15&gt;=60,C15&lt;70),G195,AND(C15&gt;=70,C15&lt;80),H195,AND(C15&gt;=80,C15&lt;90),I195,C15=90,J195)</f>
        <v>10409</v>
      </c>
      <c r="B195" s="15" t="s">
        <v>125</v>
      </c>
      <c r="C195" s="19">
        <v>810</v>
      </c>
      <c r="D195" s="17">
        <v>2797</v>
      </c>
      <c r="E195" s="17">
        <v>4678</v>
      </c>
      <c r="F195" s="17">
        <v>6041</v>
      </c>
      <c r="G195" s="17">
        <v>7246</v>
      </c>
      <c r="H195" s="17">
        <v>8458</v>
      </c>
      <c r="I195" s="17">
        <v>9677</v>
      </c>
      <c r="J195" s="16">
        <v>10409</v>
      </c>
      <c r="AB195" s="7" t="s">
        <v>257</v>
      </c>
    </row>
    <row r="196" spans="1:28" ht="15" x14ac:dyDescent="0.2">
      <c r="A196" cm="1">
        <f t="array" ref="A196">_xlfn.IFS(AND(C15&gt;=1,C15&lt;20),C196,AND(C15&gt;=20,C15&lt;40),D196,AND(C15&gt;=40,C15&lt;50),E196,AND(C15&gt;=50,C15&lt;60),F196,AND(C15&gt;=60,C15&lt;70),G196,AND(C15&gt;=70,C15&lt;80),H196,AND(C15&gt;=80,C15&lt;90),I196,C15=90,J196)</f>
        <v>653</v>
      </c>
      <c r="B196" s="15" t="s">
        <v>128</v>
      </c>
      <c r="C196" s="19">
        <v>51</v>
      </c>
      <c r="D196" s="18">
        <v>176</v>
      </c>
      <c r="E196" s="18">
        <v>294</v>
      </c>
      <c r="F196" s="18">
        <v>379</v>
      </c>
      <c r="G196" s="18">
        <v>455</v>
      </c>
      <c r="H196" s="18">
        <v>534</v>
      </c>
      <c r="I196" s="18">
        <v>607</v>
      </c>
      <c r="J196" s="19">
        <v>653</v>
      </c>
      <c r="AB196" s="7" t="s">
        <v>273</v>
      </c>
    </row>
    <row r="197" spans="1:28" ht="15" x14ac:dyDescent="0.2">
      <c r="A197" cm="1">
        <f t="array" ref="A197">_xlfn.IFS(AND(C15&gt;=1,C15&lt;20),C197,AND(C15&gt;=20,C15&lt;40),D197,AND(C15&gt;=40,C15&lt;50),E197,AND(C15&gt;=50,C15&lt;60),F197,AND(C15&gt;=60,C15&lt;70),G197,AND(C15&gt;=70,C15&lt;80),H197,AND(C15&gt;=80,C15&lt;90),I197,C15=90,J197)</f>
        <v>287</v>
      </c>
      <c r="B197" s="15" t="s">
        <v>130</v>
      </c>
      <c r="C197" s="19">
        <v>22</v>
      </c>
      <c r="D197" s="18">
        <v>77</v>
      </c>
      <c r="E197" s="18">
        <v>129</v>
      </c>
      <c r="F197" s="18">
        <v>166</v>
      </c>
      <c r="G197" s="18">
        <v>199</v>
      </c>
      <c r="H197" s="18">
        <v>233</v>
      </c>
      <c r="I197" s="18">
        <v>267</v>
      </c>
      <c r="J197" s="19">
        <v>287</v>
      </c>
      <c r="AB197" s="7" t="s">
        <v>282</v>
      </c>
    </row>
    <row r="198" spans="1:28" ht="29.25" x14ac:dyDescent="0.2">
      <c r="A198" cm="1">
        <f t="array" ref="A198">_xlfn.IFS(AND(C15&gt;=1,C15&lt;20),C198,AND(C15&gt;=20,C15&lt;40),D198,AND(C15&gt;=40,C15&lt;50),E198,AND(C15&gt;=50,C15&lt;60),F198,AND(C15&gt;=60,C15&lt;70),G198,AND(C15&gt;=70,C15&lt;80),H198,AND(C15&gt;=80,C15&lt;90),I198,C15=90,J198)</f>
        <v>0.32</v>
      </c>
      <c r="B198" s="15" t="s">
        <v>39</v>
      </c>
      <c r="C198" s="20" t="s">
        <v>132</v>
      </c>
      <c r="D198" s="21" t="s">
        <v>132</v>
      </c>
      <c r="E198" s="22">
        <v>0.08</v>
      </c>
      <c r="F198" s="22">
        <v>0.16</v>
      </c>
      <c r="G198" s="22">
        <v>0.16</v>
      </c>
      <c r="H198" s="22">
        <v>0.24</v>
      </c>
      <c r="I198" s="22">
        <v>0.32</v>
      </c>
      <c r="J198" s="23">
        <v>0.32</v>
      </c>
      <c r="AB198" s="7" t="s">
        <v>277</v>
      </c>
    </row>
    <row r="199" spans="1:28" x14ac:dyDescent="0.2">
      <c r="B199" t="s">
        <v>218</v>
      </c>
      <c r="AB199" s="7" t="s">
        <v>286</v>
      </c>
    </row>
    <row r="200" spans="1:28" x14ac:dyDescent="0.15">
      <c r="A200" cm="1">
        <f t="array" ref="A200">_xlfn.IFS(AND(C15&gt;=1,C15&lt;20),C200,AND(C15&gt;=20,C15&lt;40),D200,AND(C15&gt;=40,C15&lt;50),E200,AND(C15&gt;=50,C15&lt;60),F200,AND(C15&gt;=60,C15&lt;70),G200,AND(C15&gt;=70,C15&lt;80),H200,AND(C15&gt;=80,C15&lt;90),I200,C15=90,J200)</f>
        <v>10875</v>
      </c>
      <c r="B200" s="24" t="s">
        <v>125</v>
      </c>
      <c r="C200" s="25">
        <v>912</v>
      </c>
      <c r="D200" s="27">
        <v>3024</v>
      </c>
      <c r="E200" s="27">
        <v>5013</v>
      </c>
      <c r="F200" s="27">
        <v>6411</v>
      </c>
      <c r="G200" s="27">
        <v>7648</v>
      </c>
      <c r="H200" s="27">
        <v>8885</v>
      </c>
      <c r="I200" s="27">
        <v>10122</v>
      </c>
      <c r="J200" s="26">
        <v>10875</v>
      </c>
      <c r="AB200" s="7" t="s">
        <v>292</v>
      </c>
    </row>
    <row r="201" spans="1:28" x14ac:dyDescent="0.15">
      <c r="A201" cm="1">
        <f t="array" ref="A201">_xlfn.IFS(AND(C15&gt;=1,C15&lt;20),C201,AND(C15&gt;=20,C15&lt;40),D201,AND(C15&gt;=40,C15&lt;50),E201,AND(C15&gt;=50,C15&lt;60),F201,AND(C15&gt;=60,C15&lt;70),G201,AND(C15&gt;=70,C15&lt;80),H201,AND(C15&gt;=80,C15&lt;90),I201,C15=90,J201)</f>
        <v>683</v>
      </c>
      <c r="B201" s="24" t="s">
        <v>128</v>
      </c>
      <c r="C201" s="25">
        <v>57</v>
      </c>
      <c r="D201" s="28">
        <v>190</v>
      </c>
      <c r="E201" s="28">
        <v>345</v>
      </c>
      <c r="F201" s="28">
        <v>402</v>
      </c>
      <c r="G201" s="28">
        <v>480</v>
      </c>
      <c r="H201" s="28">
        <v>558</v>
      </c>
      <c r="I201" s="28">
        <v>635</v>
      </c>
      <c r="J201" s="25">
        <v>683</v>
      </c>
      <c r="M201" t="s">
        <v>298</v>
      </c>
      <c r="O201" t="s">
        <v>67</v>
      </c>
      <c r="P201" t="s">
        <v>67</v>
      </c>
      <c r="Q201" t="s">
        <v>67</v>
      </c>
    </row>
    <row r="202" spans="1:28" x14ac:dyDescent="0.15">
      <c r="A202" cm="1">
        <f t="array" ref="A202">_xlfn.IFS(AND(C15&gt;=1,C15&lt;20),C202,AND(C15&gt;=20,C15&lt;40),D202,AND(C15&gt;=40,C15&lt;50),E202,AND(C15&gt;=50,C15&lt;60),F202,AND(C15&gt;=60,C15&lt;70),G202,AND(C15&gt;=70,C15&lt;80),H202,AND(C15&gt;=80,C15&lt;90),I202,C15=90,J202)</f>
        <v>213</v>
      </c>
      <c r="B202" s="24" t="s">
        <v>130</v>
      </c>
      <c r="C202" s="25">
        <v>18</v>
      </c>
      <c r="D202" s="28">
        <v>59</v>
      </c>
      <c r="E202" s="28">
        <v>97</v>
      </c>
      <c r="F202" s="28">
        <v>125</v>
      </c>
      <c r="G202" s="28">
        <v>149</v>
      </c>
      <c r="H202" s="28">
        <v>174</v>
      </c>
      <c r="I202" s="28">
        <v>198</v>
      </c>
      <c r="J202" s="25">
        <v>213</v>
      </c>
      <c r="M202" t="s">
        <v>299</v>
      </c>
      <c r="O202" t="s">
        <v>65</v>
      </c>
      <c r="P202" t="s">
        <v>65</v>
      </c>
      <c r="Q202" t="s">
        <v>65</v>
      </c>
      <c r="AB202" s="7" t="s">
        <v>279</v>
      </c>
    </row>
    <row r="203" spans="1:28" x14ac:dyDescent="0.2">
      <c r="A203" cm="1">
        <f t="array" ref="A203">_xlfn.IFS(AND(C15&gt;=1,C15&lt;20),C203,AND(C15&gt;=20,C15&lt;40),D203,AND(C15&gt;=40,C15&lt;50),E203,AND(C15&gt;=50,C15&lt;60),F203,AND(C15&gt;=60,C15&lt;70),G203,AND(C15&gt;=70,C15&lt;80),H203,AND(C15&gt;=80,C15&lt;90),I203,C15=90,J203)</f>
        <v>0.24</v>
      </c>
      <c r="B203" s="24" t="s">
        <v>159</v>
      </c>
      <c r="C203" s="29" t="s">
        <v>132</v>
      </c>
      <c r="D203" s="30" t="s">
        <v>132</v>
      </c>
      <c r="E203" s="31">
        <v>0.06</v>
      </c>
      <c r="F203" s="31">
        <v>0.12</v>
      </c>
      <c r="G203" s="31">
        <v>0.12</v>
      </c>
      <c r="H203" s="31">
        <v>0.18</v>
      </c>
      <c r="I203" s="31">
        <v>0.24</v>
      </c>
      <c r="J203" s="32">
        <v>0.24</v>
      </c>
      <c r="M203" t="s">
        <v>300</v>
      </c>
      <c r="O203" t="s">
        <v>71</v>
      </c>
      <c r="P203" t="s">
        <v>71</v>
      </c>
      <c r="Q203" t="s">
        <v>71</v>
      </c>
      <c r="AB203" s="7" t="s">
        <v>288</v>
      </c>
    </row>
    <row r="204" spans="1:28" x14ac:dyDescent="0.2">
      <c r="B204" t="s">
        <v>228</v>
      </c>
      <c r="M204" t="s">
        <v>301</v>
      </c>
      <c r="O204" t="s">
        <v>39</v>
      </c>
      <c r="P204" t="s">
        <v>74</v>
      </c>
      <c r="Q204" t="s">
        <v>74</v>
      </c>
      <c r="AB204" s="7" t="s">
        <v>291</v>
      </c>
    </row>
    <row r="205" spans="1:28" x14ac:dyDescent="0.15">
      <c r="A205" cm="1">
        <f t="array" ref="A205">_xlfn.IFS(AND(C15&gt;=1,C15&lt;20),C205,AND(C15&gt;=20,C15&lt;40),D205,AND(C15&gt;=40,C15&lt;50),E205,AND(C15&gt;=50,C15&lt;60),F205,AND(C15&gt;=60,C15&lt;70),G205,AND(C15&gt;=70,C15&lt;80),H205,AND(C15&gt;=80,C15&lt;90),I205,C15=90,J205)</f>
        <v>10222</v>
      </c>
      <c r="B205" s="24" t="s">
        <v>125</v>
      </c>
      <c r="C205" s="25">
        <v>857</v>
      </c>
      <c r="D205" s="33">
        <v>2842</v>
      </c>
      <c r="E205" s="27">
        <v>4712</v>
      </c>
      <c r="F205" s="27">
        <v>6027</v>
      </c>
      <c r="G205" s="33">
        <v>7190</v>
      </c>
      <c r="H205" s="27">
        <v>8352</v>
      </c>
      <c r="I205" s="27">
        <v>9514</v>
      </c>
      <c r="J205" s="26">
        <v>10222</v>
      </c>
      <c r="M205" t="s">
        <v>46</v>
      </c>
      <c r="O205" t="s">
        <v>74</v>
      </c>
      <c r="P205" t="s">
        <v>66</v>
      </c>
      <c r="Q205" t="s">
        <v>37</v>
      </c>
    </row>
    <row r="206" spans="1:28" x14ac:dyDescent="0.15">
      <c r="A206" cm="1">
        <f t="array" ref="A206">_xlfn.IFS(AND(C15&gt;=1,C15&lt;20),C206,AND(C15&gt;=20,C15&lt;40),D206,AND(C15&gt;=40,C15&lt;50),E206,AND(C15&gt;=50,C15&lt;60),F206,AND(C15&gt;=60,C15&lt;70),G206,AND(C15&gt;=70,C15&lt;80),H206,AND(C15&gt;=80,C15&lt;90),I206,C15=90,J206)</f>
        <v>758</v>
      </c>
      <c r="B206" s="24" t="s">
        <v>128</v>
      </c>
      <c r="C206" s="25">
        <v>64</v>
      </c>
      <c r="D206" s="34">
        <v>211</v>
      </c>
      <c r="E206" s="28">
        <v>349</v>
      </c>
      <c r="F206" s="28">
        <v>447</v>
      </c>
      <c r="G206" s="34">
        <v>533</v>
      </c>
      <c r="H206" s="28">
        <v>619</v>
      </c>
      <c r="I206" s="28">
        <v>705</v>
      </c>
      <c r="J206" s="25">
        <v>758</v>
      </c>
      <c r="M206" t="s">
        <v>44</v>
      </c>
      <c r="P206" t="s">
        <v>92</v>
      </c>
      <c r="Q206" t="s">
        <v>38</v>
      </c>
      <c r="AB206" s="7" t="s">
        <v>191</v>
      </c>
    </row>
    <row r="207" spans="1:28" x14ac:dyDescent="0.15">
      <c r="A207" cm="1">
        <f t="array" ref="A207">_xlfn.IFS(AND(C15&gt;=1,C15&lt;20),C207,AND(C15&gt;=20,C15&lt;40),D207,AND(C15&gt;=40,C15&lt;50),E207,AND(C15&gt;=50,C15&lt;60),F207,AND(C15&gt;=60,C15&lt;70),G207,AND(C15&gt;=70,C15&lt;80),H207,AND(C15&gt;=80,C15&lt;90),I207,C15=90,J207)</f>
        <v>201</v>
      </c>
      <c r="B207" s="24" t="s">
        <v>130</v>
      </c>
      <c r="C207" s="25">
        <v>17</v>
      </c>
      <c r="D207" s="34">
        <v>56</v>
      </c>
      <c r="E207" s="28">
        <v>93</v>
      </c>
      <c r="F207" s="34">
        <v>119</v>
      </c>
      <c r="G207" s="34">
        <v>142</v>
      </c>
      <c r="H207" s="28">
        <v>165</v>
      </c>
      <c r="I207" s="28">
        <v>188</v>
      </c>
      <c r="J207" s="25">
        <v>201</v>
      </c>
      <c r="M207" t="s">
        <v>302</v>
      </c>
      <c r="P207" t="s">
        <v>303</v>
      </c>
      <c r="AB207" s="7" t="s">
        <v>193</v>
      </c>
    </row>
    <row r="208" spans="1:28" x14ac:dyDescent="0.15">
      <c r="A208" cm="1">
        <f t="array" ref="A208">_xlfn.IFS(AND(C15&gt;=1,C15&lt;20),C208,AND(C15&gt;=20,C15&lt;40),D208,AND(C15&gt;=40,C15&lt;50),E208,AND(C15&gt;=50,C15&lt;60),F208,AND(C15&gt;=60,C15&lt;70),G208,AND(C15&gt;=70,C15&lt;80),H208,AND(C15&gt;=80,C15&lt;90),I208,C15=90,J208)</f>
        <v>0.24</v>
      </c>
      <c r="B208" s="24" t="s">
        <v>36</v>
      </c>
      <c r="C208" s="29" t="s">
        <v>132</v>
      </c>
      <c r="D208" s="30" t="s">
        <v>132</v>
      </c>
      <c r="E208" s="31">
        <v>0.06</v>
      </c>
      <c r="F208" s="31">
        <v>0.12</v>
      </c>
      <c r="G208" s="31">
        <v>0.12</v>
      </c>
      <c r="H208" s="31">
        <v>0.18</v>
      </c>
      <c r="I208" s="31">
        <v>0.24</v>
      </c>
      <c r="J208" s="32">
        <v>0.24</v>
      </c>
      <c r="M208" t="s">
        <v>45</v>
      </c>
      <c r="P208" t="s">
        <v>304</v>
      </c>
      <c r="Q208" t="s">
        <v>479</v>
      </c>
      <c r="AB208" s="7" t="s">
        <v>24</v>
      </c>
    </row>
    <row r="209" spans="1:29" x14ac:dyDescent="0.2">
      <c r="B209" t="s">
        <v>230</v>
      </c>
      <c r="M209" t="s">
        <v>305</v>
      </c>
      <c r="P209" t="s">
        <v>306</v>
      </c>
      <c r="Q209" t="s">
        <v>480</v>
      </c>
      <c r="AB209" s="7" t="s">
        <v>134</v>
      </c>
    </row>
    <row r="210" spans="1:29" x14ac:dyDescent="0.15">
      <c r="A210" cm="1">
        <f t="array" ref="A210">_xlfn.IFS(AND(C15&gt;=1,C15&lt;20),C210,AND(C15&gt;=20,C15&lt;40),D210,AND(C15&gt;=40,C15&lt;50),E210,AND(C15&gt;=50,C15&lt;60),F210,AND(C15&gt;=60,C15&lt;70),G210,AND(C15&gt;=70,C15&lt;80),H210,AND(C15&gt;=80,C15&lt;90),I210,C15=90,J210)</f>
        <v>9787</v>
      </c>
      <c r="B210" s="24" t="s">
        <v>125</v>
      </c>
      <c r="C210" s="25">
        <v>821</v>
      </c>
      <c r="D210" s="27">
        <v>2721</v>
      </c>
      <c r="E210" s="28">
        <v>4512</v>
      </c>
      <c r="F210" s="27">
        <v>5770</v>
      </c>
      <c r="G210" s="33">
        <v>6884</v>
      </c>
      <c r="H210" s="27">
        <v>7996</v>
      </c>
      <c r="I210" s="27">
        <v>9110</v>
      </c>
      <c r="J210" s="26">
        <v>9787</v>
      </c>
      <c r="M210" t="s">
        <v>43</v>
      </c>
      <c r="O210" t="s">
        <v>32</v>
      </c>
      <c r="P210" t="s">
        <v>98</v>
      </c>
      <c r="AB210" s="7" t="s">
        <v>218</v>
      </c>
    </row>
    <row r="211" spans="1:29" x14ac:dyDescent="0.15">
      <c r="A211" cm="1">
        <f t="array" ref="A211">_xlfn.IFS(AND(C15&gt;=1,C15&lt;20),C211,AND(C15&gt;=20,C15&lt;40),D211,AND(C15&gt;=40,C15&lt;50),E211,AND(C15&gt;=50,C15&lt;60),F211,AND(C15&gt;=60,C15&lt;70),G211,AND(C15&gt;=70,C15&lt;80),H211,AND(C15&gt;=80,C15&lt;90),I211,C15=90,J211)</f>
        <v>669</v>
      </c>
      <c r="B211" s="24" t="s">
        <v>128</v>
      </c>
      <c r="C211" s="25">
        <v>56</v>
      </c>
      <c r="D211" s="28">
        <v>186</v>
      </c>
      <c r="E211" s="28">
        <v>308</v>
      </c>
      <c r="F211" s="28">
        <v>394</v>
      </c>
      <c r="G211" s="34">
        <v>470</v>
      </c>
      <c r="H211" s="28">
        <v>546</v>
      </c>
      <c r="I211" s="28">
        <v>623</v>
      </c>
      <c r="J211" s="25">
        <v>669</v>
      </c>
      <c r="M211" t="s">
        <v>307</v>
      </c>
      <c r="O211" t="s">
        <v>308</v>
      </c>
      <c r="P211" t="s">
        <v>94</v>
      </c>
      <c r="AB211" s="7" t="s">
        <v>162</v>
      </c>
    </row>
    <row r="212" spans="1:29" x14ac:dyDescent="0.15">
      <c r="A212" cm="1">
        <f t="array" ref="A212">_xlfn.IFS(AND(C15&gt;=1,C15&lt;20),C212,AND(C15&gt;=20,C15&lt;40),D212,AND(C15&gt;=40,C15&lt;50),E212,AND(C15&gt;=50,C15&lt;60),F212,AND(C15&gt;=60,C15&lt;70),G212,AND(C15&gt;=70,C15&lt;80),H212,AND(C15&gt;=80,C15&lt;90),I212,C15=90,J212)</f>
        <v>159</v>
      </c>
      <c r="B212" s="24" t="s">
        <v>130</v>
      </c>
      <c r="C212" s="25">
        <v>14</v>
      </c>
      <c r="D212" s="28">
        <v>44</v>
      </c>
      <c r="E212" s="28">
        <v>73</v>
      </c>
      <c r="F212" s="28">
        <v>94</v>
      </c>
      <c r="G212" s="34">
        <v>112</v>
      </c>
      <c r="H212" s="28">
        <v>130</v>
      </c>
      <c r="I212" s="28">
        <v>148</v>
      </c>
      <c r="J212" s="25">
        <v>159</v>
      </c>
      <c r="M212" t="s">
        <v>309</v>
      </c>
      <c r="O212" t="s">
        <v>310</v>
      </c>
      <c r="AB212" s="7" t="s">
        <v>181</v>
      </c>
    </row>
    <row r="213" spans="1:29" x14ac:dyDescent="0.2">
      <c r="A213" cm="1">
        <f t="array" ref="A213">_xlfn.IFS(AND(C15&gt;=1,C15&lt;20),C213,AND(C15&gt;=20,C15&lt;40),D213,AND(C15&gt;=40,C15&lt;50),E213,AND(C15&gt;=50,C15&lt;60),F213,AND(C15&gt;=60,C15&lt;70),G213,AND(C15&gt;=70,C15&lt;80),H213,AND(C15&gt;=80,C15&lt;90),I213,C15=90,J213)</f>
        <v>0.24</v>
      </c>
      <c r="B213" s="24" t="s">
        <v>159</v>
      </c>
      <c r="C213" s="29" t="s">
        <v>132</v>
      </c>
      <c r="D213" s="30" t="s">
        <v>132</v>
      </c>
      <c r="E213" s="31">
        <v>0.06</v>
      </c>
      <c r="F213" s="31">
        <v>0.12</v>
      </c>
      <c r="G213" s="31">
        <v>0.12</v>
      </c>
      <c r="H213" s="31">
        <v>0.18</v>
      </c>
      <c r="I213" s="31">
        <v>0.24</v>
      </c>
      <c r="J213" s="32">
        <v>0.24</v>
      </c>
      <c r="M213" t="s">
        <v>311</v>
      </c>
      <c r="O213" t="s">
        <v>168</v>
      </c>
      <c r="AB213" s="7" t="s">
        <v>187</v>
      </c>
    </row>
    <row r="214" spans="1:29" x14ac:dyDescent="0.2">
      <c r="B214" t="s">
        <v>232</v>
      </c>
      <c r="M214" t="s">
        <v>312</v>
      </c>
      <c r="O214" t="s">
        <v>169</v>
      </c>
      <c r="AB214" s="7" t="s">
        <v>200</v>
      </c>
    </row>
    <row r="215" spans="1:29" x14ac:dyDescent="0.15">
      <c r="A215" cm="1">
        <f t="array" ref="A215">_xlfn.IFS(AND(C15&gt;=1,C15&lt;20),C215,AND(C15&gt;=20,C15&lt;40),D215,AND(C15&gt;=40,C15&lt;50),E215,AND(C15&gt;=50,C15&lt;60),F215,AND(C15&gt;=60,C15&lt;70),G215,AND(C15&gt;=70,C15&lt;80),H215,AND(C15&gt;=80,C15&lt;90),I215,C15=90,J215)</f>
        <v>13593</v>
      </c>
      <c r="B215" s="24" t="s">
        <v>125</v>
      </c>
      <c r="C215" s="26">
        <v>1058</v>
      </c>
      <c r="D215" s="27">
        <v>3452</v>
      </c>
      <c r="E215" s="27">
        <v>6110</v>
      </c>
      <c r="F215" s="27">
        <v>7889</v>
      </c>
      <c r="G215" s="27">
        <v>9462</v>
      </c>
      <c r="H215" s="27">
        <v>11045</v>
      </c>
      <c r="I215" s="27">
        <v>12637</v>
      </c>
      <c r="J215" s="26">
        <v>13593</v>
      </c>
      <c r="M215" t="s">
        <v>313</v>
      </c>
      <c r="O215" t="s">
        <v>314</v>
      </c>
      <c r="AB215" s="7" t="s">
        <v>25</v>
      </c>
    </row>
    <row r="216" spans="1:29" x14ac:dyDescent="0.15">
      <c r="A216" cm="1">
        <f t="array" ref="A216">_xlfn.IFS(AND(C15&gt;=1,C15&lt;20),C216,AND(C15&gt;=20,C15&lt;40),D216,AND(C15&gt;=40,C15&lt;50),E216,AND(C15&gt;=50,C15&lt;60),F216,AND(C15&gt;=60,C15&lt;70),G216,AND(C15&gt;=70,C15&lt;80),H216,AND(C15&gt;=80,C15&lt;90),I216,C15=90,J216)</f>
        <v>763</v>
      </c>
      <c r="B216" s="24" t="s">
        <v>128</v>
      </c>
      <c r="C216" s="25">
        <v>59</v>
      </c>
      <c r="D216" s="28">
        <v>205</v>
      </c>
      <c r="E216" s="28">
        <v>343</v>
      </c>
      <c r="F216" s="28">
        <v>443</v>
      </c>
      <c r="G216" s="28">
        <v>534</v>
      </c>
      <c r="H216" s="28">
        <v>620</v>
      </c>
      <c r="I216" s="28">
        <v>710</v>
      </c>
      <c r="J216" s="25">
        <v>763</v>
      </c>
      <c r="M216" t="s">
        <v>315</v>
      </c>
      <c r="AB216" s="7" t="s">
        <v>207</v>
      </c>
    </row>
    <row r="217" spans="1:29" x14ac:dyDescent="0.15">
      <c r="A217" cm="1">
        <f t="array" ref="A217">_xlfn.IFS(AND(C15&gt;=1,C15&lt;20),C217,AND(C15&gt;=20,C15&lt;40),D217,AND(C15&gt;=40,C15&lt;50),E217,AND(C15&gt;=50,C15&lt;60),F217,AND(C15&gt;=60,C15&lt;70),G217,AND(C15&gt;=70,C15&lt;80),H217,AND(C15&gt;=80,C15&lt;90),I217,C15=90,J217)</f>
        <v>341</v>
      </c>
      <c r="B217" s="24" t="s">
        <v>130</v>
      </c>
      <c r="C217" s="25">
        <v>24</v>
      </c>
      <c r="D217" s="28">
        <v>83</v>
      </c>
      <c r="E217" s="28">
        <v>139</v>
      </c>
      <c r="F217" s="28">
        <v>180</v>
      </c>
      <c r="G217" s="28">
        <v>216</v>
      </c>
      <c r="H217" s="28">
        <v>252</v>
      </c>
      <c r="I217" s="28">
        <v>289</v>
      </c>
      <c r="J217" s="25">
        <v>341</v>
      </c>
      <c r="M217" t="s">
        <v>316</v>
      </c>
      <c r="P217" t="s">
        <v>86</v>
      </c>
      <c r="Q217" t="s">
        <v>470</v>
      </c>
      <c r="R217" t="s">
        <v>6</v>
      </c>
      <c r="S217" t="s">
        <v>96</v>
      </c>
      <c r="T217" t="s">
        <v>35</v>
      </c>
      <c r="U217" t="s">
        <v>471</v>
      </c>
      <c r="V217" t="s">
        <v>63</v>
      </c>
      <c r="W217" t="s">
        <v>476</v>
      </c>
      <c r="X217" t="s">
        <v>477</v>
      </c>
      <c r="Y217" t="s">
        <v>76</v>
      </c>
      <c r="AB217" s="7" t="s">
        <v>222</v>
      </c>
    </row>
    <row r="218" spans="1:29" ht="15" x14ac:dyDescent="0.2">
      <c r="A218" cm="1">
        <f t="array" ref="A218">_xlfn.IFS(AND(C15&gt;=1,C15&lt;20),C218,AND(C15&gt;=20,C15&lt;40),D218,AND(C15&gt;=40,C15&lt;50),E218,AND(C15&gt;=50,C15&lt;60),F218,AND(C15&gt;=60,C15&lt;70),G218,AND(C15&gt;=70,C15&lt;80),H218,AND(C15&gt;=80,C15&lt;90),I218,C15=90,J218)</f>
        <v>0.38400000000000001</v>
      </c>
      <c r="B218" s="24" t="s">
        <v>38</v>
      </c>
      <c r="C218" s="29" t="s">
        <v>132</v>
      </c>
      <c r="D218" s="30" t="s">
        <v>132</v>
      </c>
      <c r="E218" s="31">
        <v>9.6000000000000002E-2</v>
      </c>
      <c r="F218" s="31">
        <v>0.192</v>
      </c>
      <c r="G218" s="31">
        <v>0.192</v>
      </c>
      <c r="H218" s="31">
        <v>0.28799999999999998</v>
      </c>
      <c r="I218" s="31">
        <v>0.38400000000000001</v>
      </c>
      <c r="J218" s="32">
        <v>0.38400000000000001</v>
      </c>
      <c r="M218" s="60" t="s">
        <v>317</v>
      </c>
      <c r="O218">
        <v>1</v>
      </c>
      <c r="P218">
        <v>2.7</v>
      </c>
      <c r="Q218">
        <f>P218*2</f>
        <v>5.4</v>
      </c>
      <c r="R218" s="62">
        <v>16</v>
      </c>
      <c r="S218" s="62">
        <v>4.5</v>
      </c>
      <c r="T218">
        <v>5.0999999999999996</v>
      </c>
      <c r="U218">
        <v>14</v>
      </c>
      <c r="V218">
        <v>209</v>
      </c>
      <c r="W218" s="63">
        <v>4.0999999999999996</v>
      </c>
      <c r="X218">
        <v>16</v>
      </c>
      <c r="Y218" t="s">
        <v>79</v>
      </c>
      <c r="AB218" s="7" t="s">
        <v>26</v>
      </c>
    </row>
    <row r="219" spans="1:29" x14ac:dyDescent="0.2">
      <c r="B219" t="s">
        <v>27</v>
      </c>
      <c r="M219" t="s">
        <v>318</v>
      </c>
      <c r="O219">
        <v>2</v>
      </c>
      <c r="P219">
        <v>3.1</v>
      </c>
      <c r="Q219">
        <f t="shared" ref="Q219:Q282" si="0">P219*2</f>
        <v>6.2</v>
      </c>
      <c r="R219" s="62">
        <v>19</v>
      </c>
      <c r="S219" s="62">
        <v>5.2</v>
      </c>
      <c r="T219">
        <v>5.8</v>
      </c>
      <c r="U219">
        <v>16</v>
      </c>
      <c r="V219">
        <v>239</v>
      </c>
      <c r="W219">
        <v>4.7</v>
      </c>
      <c r="X219">
        <v>19</v>
      </c>
      <c r="Y219" t="s">
        <v>83</v>
      </c>
      <c r="AB219" s="7" t="s">
        <v>224</v>
      </c>
    </row>
    <row r="220" spans="1:29" x14ac:dyDescent="0.15">
      <c r="A220" cm="1">
        <f t="array" ref="A220">_xlfn.IFS(AND(C15&gt;=1,C15&lt;20),C220,AND(C15&gt;=20,C15&lt;40),D220,AND(C15&gt;=40,C15&lt;50),E220,AND(C15&gt;=50,C15&lt;60),F220,AND(C15&gt;=60,C15&lt;70),G220,AND(C15&gt;=70,C15&lt;80),H220,AND(C15&gt;=80,C15&lt;90),I220,C15=90,J220)</f>
        <v>12993</v>
      </c>
      <c r="B220" s="24" t="s">
        <v>125</v>
      </c>
      <c r="C220" s="26">
        <v>1011</v>
      </c>
      <c r="D220" s="27">
        <v>3491</v>
      </c>
      <c r="E220" s="27">
        <v>5840</v>
      </c>
      <c r="F220" s="27">
        <v>7540</v>
      </c>
      <c r="G220" s="27">
        <v>9045</v>
      </c>
      <c r="H220" s="27">
        <v>10557</v>
      </c>
      <c r="I220" s="27">
        <v>12080</v>
      </c>
      <c r="J220" s="26">
        <v>12993</v>
      </c>
      <c r="M220" t="s">
        <v>319</v>
      </c>
      <c r="O220">
        <v>3</v>
      </c>
      <c r="P220">
        <v>3.5</v>
      </c>
      <c r="Q220">
        <f t="shared" si="0"/>
        <v>7</v>
      </c>
      <c r="R220" s="62">
        <v>21</v>
      </c>
      <c r="S220" s="62">
        <v>5.8</v>
      </c>
      <c r="T220">
        <v>6.6</v>
      </c>
      <c r="U220">
        <v>18</v>
      </c>
      <c r="V220">
        <v>269</v>
      </c>
      <c r="W220">
        <v>5.3</v>
      </c>
      <c r="X220">
        <v>21</v>
      </c>
      <c r="Y220" t="s">
        <v>84</v>
      </c>
      <c r="AB220" s="7" t="s">
        <v>232</v>
      </c>
    </row>
    <row r="221" spans="1:29" x14ac:dyDescent="0.15">
      <c r="A221" cm="1">
        <f t="array" ref="A221">_xlfn.IFS(AND(C15&gt;=1,C15&lt;20),C221,AND(C15&gt;=20,C15&lt;40),D221,AND(C15&gt;=40,C15&lt;50),E221,AND(C15&gt;=50,C15&lt;60),F221,AND(C15&gt;=60,C15&lt;70),G221,AND(C15&gt;=70,C15&lt;80),H221,AND(C15&gt;=80,C15&lt;90),I221,C15=90,J221)</f>
        <v>830</v>
      </c>
      <c r="B221" s="24" t="s">
        <v>128</v>
      </c>
      <c r="C221" s="25">
        <v>65</v>
      </c>
      <c r="D221" s="28">
        <v>223</v>
      </c>
      <c r="E221" s="28">
        <v>373</v>
      </c>
      <c r="F221" s="28">
        <v>482</v>
      </c>
      <c r="G221" s="28">
        <v>578</v>
      </c>
      <c r="H221" s="28">
        <v>674</v>
      </c>
      <c r="I221" s="28">
        <v>772</v>
      </c>
      <c r="J221" s="25">
        <v>830</v>
      </c>
      <c r="M221" t="s">
        <v>320</v>
      </c>
      <c r="O221">
        <v>4</v>
      </c>
      <c r="P221">
        <v>3.9</v>
      </c>
      <c r="Q221">
        <f t="shared" si="0"/>
        <v>7.8</v>
      </c>
      <c r="R221" s="62">
        <v>23</v>
      </c>
      <c r="S221" s="62">
        <v>6.5</v>
      </c>
      <c r="T221">
        <v>7.3</v>
      </c>
      <c r="U221">
        <v>19</v>
      </c>
      <c r="V221">
        <v>299</v>
      </c>
      <c r="W221">
        <v>5.8</v>
      </c>
      <c r="X221">
        <v>23</v>
      </c>
      <c r="Y221" t="s">
        <v>85</v>
      </c>
      <c r="AB221" s="7" t="s">
        <v>235</v>
      </c>
    </row>
    <row r="222" spans="1:29" x14ac:dyDescent="0.15">
      <c r="A222" cm="1">
        <f t="array" ref="A222">_xlfn.IFS(AND(C15&gt;=1,C15&lt;20),C222,AND(C15&gt;=20,C15&lt;40),D222,AND(C15&gt;=40,C15&lt;50),E222,AND(C15&gt;=50,C15&lt;60),F222,AND(C15&gt;=60,C15&lt;70),G222,AND(C15&gt;=70,C15&lt;80),H222,AND(C15&gt;=80,C15&lt;90),I222,C15=90,J222)</f>
        <v>304</v>
      </c>
      <c r="B222" s="24" t="s">
        <v>130</v>
      </c>
      <c r="C222" s="25">
        <v>23</v>
      </c>
      <c r="D222" s="28">
        <v>82</v>
      </c>
      <c r="E222" s="28">
        <v>137</v>
      </c>
      <c r="F222" s="28">
        <v>176</v>
      </c>
      <c r="G222" s="28">
        <v>211</v>
      </c>
      <c r="H222" s="28">
        <v>247</v>
      </c>
      <c r="I222" s="28">
        <v>283</v>
      </c>
      <c r="J222" s="25">
        <v>304</v>
      </c>
      <c r="M222" t="s">
        <v>321</v>
      </c>
      <c r="O222">
        <v>5</v>
      </c>
      <c r="P222">
        <v>5.4</v>
      </c>
      <c r="Q222">
        <f t="shared" si="0"/>
        <v>10.8</v>
      </c>
      <c r="R222" s="62">
        <v>32</v>
      </c>
      <c r="S222" s="62">
        <v>9</v>
      </c>
      <c r="T222">
        <v>10.199999999999999</v>
      </c>
      <c r="U222">
        <v>28</v>
      </c>
      <c r="V222">
        <v>418</v>
      </c>
      <c r="W222">
        <v>8.1999999999999993</v>
      </c>
      <c r="X222">
        <v>32</v>
      </c>
      <c r="Y222" t="s">
        <v>87</v>
      </c>
      <c r="AB222" s="7" t="s">
        <v>240</v>
      </c>
    </row>
    <row r="223" spans="1:29" ht="17.25" x14ac:dyDescent="0.15">
      <c r="A223" cm="1">
        <f t="array" ref="A223">_xlfn.IFS(AND(C15&gt;=1,C15&lt;20),C223,AND(C15&gt;=20,C15&lt;40),D223,AND(C15&gt;=40,C15&lt;50),E223,AND(C15&gt;=50,C15&lt;60),F223,AND(C15&gt;=60,C15&lt;70),G223,AND(C15&gt;=70,C15&lt;80),H223,AND(C15&gt;=80,C15&lt;90),I223,C15=90,J223)</f>
        <v>0.28799999999999998</v>
      </c>
      <c r="B223" s="24" t="s">
        <v>36</v>
      </c>
      <c r="C223" s="29" t="s">
        <v>132</v>
      </c>
      <c r="D223" s="30" t="s">
        <v>132</v>
      </c>
      <c r="E223" s="31">
        <v>7.1999999999999995E-2</v>
      </c>
      <c r="F223" s="31">
        <v>0.14399999999999999</v>
      </c>
      <c r="G223" s="31">
        <v>0.14399999999999999</v>
      </c>
      <c r="H223" s="31">
        <v>0.216</v>
      </c>
      <c r="I223" s="31">
        <v>0.28799999999999998</v>
      </c>
      <c r="J223" s="32">
        <v>0.28799999999999998</v>
      </c>
      <c r="M223" t="s">
        <v>322</v>
      </c>
      <c r="O223">
        <v>6</v>
      </c>
      <c r="P223">
        <v>5.8</v>
      </c>
      <c r="Q223">
        <f t="shared" si="0"/>
        <v>11.6</v>
      </c>
      <c r="R223" s="62">
        <v>35</v>
      </c>
      <c r="S223" s="62">
        <v>9.6999999999999993</v>
      </c>
      <c r="T223">
        <v>10.9</v>
      </c>
      <c r="U223">
        <v>30</v>
      </c>
      <c r="V223">
        <v>448</v>
      </c>
      <c r="W223">
        <v>8.8000000000000007</v>
      </c>
      <c r="X223">
        <v>35</v>
      </c>
      <c r="Y223" t="s">
        <v>88</v>
      </c>
      <c r="AB223" s="7" t="s">
        <v>252</v>
      </c>
      <c r="AC223" s="66"/>
    </row>
    <row r="224" spans="1:29" ht="17.25" x14ac:dyDescent="0.2">
      <c r="B224" t="s">
        <v>235</v>
      </c>
      <c r="M224" t="s">
        <v>323</v>
      </c>
      <c r="O224">
        <v>7</v>
      </c>
      <c r="P224">
        <v>6.2</v>
      </c>
      <c r="Q224">
        <f t="shared" si="0"/>
        <v>12.4</v>
      </c>
      <c r="R224" s="62">
        <v>37</v>
      </c>
      <c r="S224" s="62">
        <v>10.3</v>
      </c>
      <c r="T224">
        <v>11.6</v>
      </c>
      <c r="U224">
        <v>32</v>
      </c>
      <c r="V224">
        <v>478</v>
      </c>
      <c r="W224">
        <v>9.4</v>
      </c>
      <c r="X224">
        <v>37</v>
      </c>
      <c r="Y224" t="s">
        <v>89</v>
      </c>
      <c r="AB224" s="7" t="s">
        <v>253</v>
      </c>
      <c r="AC224" s="66"/>
    </row>
    <row r="225" spans="1:29" ht="17.25" x14ac:dyDescent="0.15">
      <c r="A225" cm="1">
        <f t="array" ref="A225">_xlfn.IFS(AND(C15&gt;=1,C15&lt;20),C225,AND(C15&gt;=20,C15&lt;40),D225,AND(C15&gt;=40,C15&lt;50),E225,AND(C15&gt;=50,C15&lt;60),F225,AND(C15&gt;=60,C15&lt;70),G225,AND(C15&gt;=70,C15&lt;80),H225,AND(C15&gt;=80,C15&lt;90),I225,C15=90,J225)</f>
        <v>10899</v>
      </c>
      <c r="B225" s="24" t="s">
        <v>125</v>
      </c>
      <c r="C225" s="25">
        <v>848</v>
      </c>
      <c r="D225" s="33">
        <v>2928</v>
      </c>
      <c r="E225" s="33">
        <v>4899</v>
      </c>
      <c r="F225" s="27">
        <v>6325</v>
      </c>
      <c r="G225" s="27">
        <v>7587</v>
      </c>
      <c r="H225" s="27">
        <v>8856</v>
      </c>
      <c r="I225" s="27">
        <v>10133</v>
      </c>
      <c r="J225" s="26">
        <v>10899</v>
      </c>
      <c r="M225" t="s">
        <v>324</v>
      </c>
      <c r="O225">
        <v>8</v>
      </c>
      <c r="P225">
        <v>6.6</v>
      </c>
      <c r="Q225">
        <f t="shared" si="0"/>
        <v>13.2</v>
      </c>
      <c r="R225" s="62">
        <v>38</v>
      </c>
      <c r="S225" s="62">
        <v>10.4</v>
      </c>
      <c r="T225">
        <v>11.7</v>
      </c>
      <c r="U225">
        <v>33</v>
      </c>
      <c r="V225">
        <v>508</v>
      </c>
      <c r="W225">
        <v>9.9</v>
      </c>
      <c r="X225">
        <v>38</v>
      </c>
      <c r="Y225" t="s">
        <v>91</v>
      </c>
      <c r="AB225" s="7" t="s">
        <v>246</v>
      </c>
      <c r="AC225" s="66"/>
    </row>
    <row r="226" spans="1:29" ht="17.25" x14ac:dyDescent="0.15">
      <c r="A226" cm="1">
        <f t="array" ref="A226">_xlfn.IFS(AND(C15&gt;=1,C15&lt;20),C226,AND(C15&gt;=20,C15&lt;40),D226,AND(C15&gt;=40,C15&lt;50),E226,AND(C15&gt;=50,C15&lt;60),F226,AND(C15&gt;=60,C15&lt;70),G226,AND(C15&gt;=70,C15&lt;80),H226,AND(C15&gt;=80,C15&lt;90),I226,C15=90,J226)</f>
        <v>676</v>
      </c>
      <c r="B226" s="24" t="s">
        <v>128</v>
      </c>
      <c r="C226" s="25">
        <v>53</v>
      </c>
      <c r="D226" s="34">
        <v>182</v>
      </c>
      <c r="E226" s="34">
        <v>304</v>
      </c>
      <c r="F226" s="28">
        <v>393</v>
      </c>
      <c r="G226" s="28">
        <v>471</v>
      </c>
      <c r="H226" s="28">
        <v>550</v>
      </c>
      <c r="I226" s="28">
        <v>629</v>
      </c>
      <c r="J226" s="25">
        <v>676</v>
      </c>
      <c r="M226" t="s">
        <v>325</v>
      </c>
      <c r="O226">
        <v>9</v>
      </c>
      <c r="P226">
        <v>7</v>
      </c>
      <c r="Q226">
        <f t="shared" si="0"/>
        <v>14</v>
      </c>
      <c r="R226" s="62">
        <v>39</v>
      </c>
      <c r="S226" s="62">
        <v>11</v>
      </c>
      <c r="T226">
        <v>12.4</v>
      </c>
      <c r="U226">
        <v>34</v>
      </c>
      <c r="V226">
        <v>538</v>
      </c>
      <c r="W226">
        <v>10</v>
      </c>
      <c r="X226">
        <v>39</v>
      </c>
      <c r="Y226" t="s">
        <v>93</v>
      </c>
      <c r="AB226" s="7" t="s">
        <v>249</v>
      </c>
      <c r="AC226" s="66"/>
    </row>
    <row r="227" spans="1:29" ht="17.25" x14ac:dyDescent="0.15">
      <c r="A227" cm="1">
        <f t="array" ref="A227">_xlfn.IFS(AND(C15&gt;=1,C15&lt;20),C227,AND(C15&gt;=20,C15&lt;40),D227,AND(C15&gt;=40,C15&lt;50),E227,AND(C15&gt;=50,C15&lt;60),F227,AND(C15&gt;=60,C15&lt;70),G227,AND(C15&gt;=70,C15&lt;80),H227,AND(C15&gt;=80,C15&lt;90),I227,C15=90,J227)</f>
        <v>234</v>
      </c>
      <c r="B227" s="24" t="s">
        <v>130</v>
      </c>
      <c r="C227" s="25">
        <v>18</v>
      </c>
      <c r="D227" s="34">
        <v>63</v>
      </c>
      <c r="E227" s="34">
        <v>105</v>
      </c>
      <c r="F227" s="28">
        <v>135</v>
      </c>
      <c r="G227" s="28">
        <v>162</v>
      </c>
      <c r="H227" s="28">
        <v>190</v>
      </c>
      <c r="I227" s="28">
        <v>217</v>
      </c>
      <c r="J227" s="25">
        <v>234</v>
      </c>
      <c r="M227" t="s">
        <v>326</v>
      </c>
      <c r="O227">
        <v>10</v>
      </c>
      <c r="P227">
        <v>7.4</v>
      </c>
      <c r="Q227">
        <f t="shared" si="0"/>
        <v>14.8</v>
      </c>
      <c r="R227" s="62">
        <v>40</v>
      </c>
      <c r="S227" s="62">
        <v>11.6</v>
      </c>
      <c r="T227">
        <v>13.1</v>
      </c>
      <c r="U227">
        <v>35</v>
      </c>
      <c r="V227">
        <v>568</v>
      </c>
      <c r="W227">
        <v>10.5</v>
      </c>
      <c r="X227">
        <v>40</v>
      </c>
      <c r="Y227" t="s">
        <v>95</v>
      </c>
      <c r="AB227" s="7" t="s">
        <v>258</v>
      </c>
      <c r="AC227" s="66"/>
    </row>
    <row r="228" spans="1:29" x14ac:dyDescent="0.15">
      <c r="A228" cm="1">
        <f t="array" ref="A228">_xlfn.IFS(AND(C15&gt;=1,C15&lt;20),C228,AND(C15&gt;=20,C15&lt;40),D228,AND(C15&gt;=40,C15&lt;50),E228,AND(C15&gt;=50,C15&lt;60),F228,AND(C15&gt;=60,C15&lt;70),G228,AND(C15&gt;=70,C15&lt;80),H228,AND(C15&gt;=80,C15&lt;90),I228,C15=90,J228)</f>
        <v>0.28799999999999998</v>
      </c>
      <c r="B228" s="24" t="s">
        <v>327</v>
      </c>
      <c r="C228" s="29" t="s">
        <v>132</v>
      </c>
      <c r="D228" s="30" t="s">
        <v>132</v>
      </c>
      <c r="E228" s="31">
        <v>7.1999999999999995E-2</v>
      </c>
      <c r="F228" s="31">
        <v>0.14399999999999999</v>
      </c>
      <c r="G228" s="31">
        <v>0.14399999999999999</v>
      </c>
      <c r="H228" s="31">
        <v>0.216</v>
      </c>
      <c r="I228" s="31">
        <v>0.28799999999999998</v>
      </c>
      <c r="J228" s="32">
        <v>0.28799999999999998</v>
      </c>
      <c r="M228" t="s">
        <v>328</v>
      </c>
      <c r="O228">
        <v>11</v>
      </c>
      <c r="P228">
        <v>7.8</v>
      </c>
      <c r="Q228">
        <f t="shared" si="0"/>
        <v>15.6</v>
      </c>
      <c r="R228" s="62">
        <v>42</v>
      </c>
      <c r="S228" s="62">
        <v>11.7</v>
      </c>
      <c r="T228">
        <v>13.2</v>
      </c>
      <c r="U228">
        <v>36</v>
      </c>
      <c r="V228">
        <v>598</v>
      </c>
      <c r="W228">
        <v>10.6</v>
      </c>
      <c r="X228">
        <v>42</v>
      </c>
      <c r="Y228" t="s">
        <v>99</v>
      </c>
      <c r="AB228" s="7" t="s">
        <v>269</v>
      </c>
      <c r="AC228" s="61"/>
    </row>
    <row r="229" spans="1:29" ht="16.5" x14ac:dyDescent="0.2">
      <c r="B229" t="s">
        <v>237</v>
      </c>
      <c r="M229" t="s">
        <v>144</v>
      </c>
      <c r="O229">
        <v>12</v>
      </c>
      <c r="P229">
        <v>8.1</v>
      </c>
      <c r="Q229">
        <f t="shared" si="0"/>
        <v>16.2</v>
      </c>
      <c r="R229" s="62">
        <v>44</v>
      </c>
      <c r="S229" s="62">
        <v>12.3</v>
      </c>
      <c r="T229">
        <v>13.9</v>
      </c>
      <c r="U229">
        <v>37</v>
      </c>
      <c r="V229">
        <v>627</v>
      </c>
      <c r="W229">
        <v>11.1</v>
      </c>
      <c r="X229">
        <v>44</v>
      </c>
      <c r="Y229" t="s">
        <v>100</v>
      </c>
      <c r="AB229" s="7" t="s">
        <v>260</v>
      </c>
      <c r="AC229" s="64"/>
    </row>
    <row r="230" spans="1:29" ht="15" x14ac:dyDescent="0.2">
      <c r="A230" cm="1">
        <f t="array" ref="A230">_xlfn.IFS(AND(C15&gt;=1,C15&lt;20),C230,AND(C15&gt;=20,C15&lt;40),D230,AND(C15&gt;=40,C15&lt;50),E230,AND(C15&gt;=50,C15&lt;60),F230,AND(C15&gt;=60,C15&lt;70),G230,AND(C15&gt;=70,C15&lt;80),H230,AND(C15&gt;=80,C15&lt;90),I230,C15=90,J230)</f>
        <v>12858</v>
      </c>
      <c r="B230" s="15" t="s">
        <v>125</v>
      </c>
      <c r="C230" s="16">
        <v>1001</v>
      </c>
      <c r="D230" s="17">
        <v>3455</v>
      </c>
      <c r="E230" s="17">
        <v>5779</v>
      </c>
      <c r="F230" s="17">
        <v>7462</v>
      </c>
      <c r="G230" s="17">
        <v>8951</v>
      </c>
      <c r="H230" s="17">
        <v>10448</v>
      </c>
      <c r="I230" s="17">
        <v>11954</v>
      </c>
      <c r="J230" s="16">
        <v>12858</v>
      </c>
      <c r="M230" t="s">
        <v>329</v>
      </c>
      <c r="O230">
        <v>13</v>
      </c>
      <c r="P230">
        <v>8.5</v>
      </c>
      <c r="Q230">
        <f t="shared" si="0"/>
        <v>17</v>
      </c>
      <c r="R230" s="62">
        <v>46</v>
      </c>
      <c r="S230" s="62">
        <v>13</v>
      </c>
      <c r="T230">
        <v>14.6</v>
      </c>
      <c r="U230">
        <v>38</v>
      </c>
      <c r="V230">
        <v>657</v>
      </c>
      <c r="W230">
        <v>11.6</v>
      </c>
      <c r="X230">
        <v>45</v>
      </c>
      <c r="Y230" t="s">
        <v>103</v>
      </c>
      <c r="AB230" s="7" t="s">
        <v>266</v>
      </c>
      <c r="AC230" s="61"/>
    </row>
    <row r="231" spans="1:29" ht="16.5" x14ac:dyDescent="0.2">
      <c r="A231" cm="1">
        <f t="array" ref="A231">_xlfn.IFS(AND(C15&gt;=1,C15&lt;20),C234,AND(C15&gt;=20,C15&lt;40),D234,AND(C15&gt;=40,C15&lt;50),E234,AND(C15&gt;=50,C15&lt;60),F234,AND(C15&gt;=60,C15&lt;70),G234,AND(C15&gt;=70,C15&lt;80),H234,AND(C15&gt;=80,C15&lt;90),I234,C15=90,J234)</f>
        <v>0</v>
      </c>
      <c r="B231" s="15" t="s">
        <v>128</v>
      </c>
      <c r="C231" s="19">
        <v>61</v>
      </c>
      <c r="D231" s="18">
        <v>211</v>
      </c>
      <c r="E231" s="18">
        <v>352</v>
      </c>
      <c r="F231" s="18">
        <v>455</v>
      </c>
      <c r="G231" s="18">
        <v>546</v>
      </c>
      <c r="H231" s="18">
        <v>637</v>
      </c>
      <c r="I231" s="18">
        <v>729</v>
      </c>
      <c r="J231" s="19">
        <v>784</v>
      </c>
      <c r="M231" t="s">
        <v>330</v>
      </c>
      <c r="O231" t="s">
        <v>76</v>
      </c>
      <c r="P231">
        <v>8.9</v>
      </c>
      <c r="Q231">
        <f t="shared" si="0"/>
        <v>17.8</v>
      </c>
      <c r="R231" s="62">
        <v>48</v>
      </c>
      <c r="S231" s="62">
        <v>13.5</v>
      </c>
      <c r="T231">
        <v>15.3</v>
      </c>
      <c r="U231">
        <v>42</v>
      </c>
      <c r="V231">
        <v>687</v>
      </c>
      <c r="W231" s="61">
        <v>12.3</v>
      </c>
      <c r="X231">
        <v>46</v>
      </c>
      <c r="Y231" t="s">
        <v>52</v>
      </c>
      <c r="AB231" s="7" t="s">
        <v>267</v>
      </c>
      <c r="AC231" s="64"/>
    </row>
    <row r="232" spans="1:29" ht="16.5" x14ac:dyDescent="0.2">
      <c r="A232" cm="1">
        <f t="array" ref="A232">_xlfn.IFS(AND(C15&gt;=1,C15&lt;20),C232,AND(C15&gt;=20,C15&lt;40),D232,AND(C15&gt;=40,C15&lt;50),E232,AND(C15&gt;=50,C15&lt;60),F232,AND(C15&gt;=60,C15&lt;70),G232,AND(C15&gt;=70,C15&lt;80),H232,AND(C15&gt;=80,C15&lt;90),I232,C15=90,J232)</f>
        <v>342</v>
      </c>
      <c r="B232" s="15" t="s">
        <v>130</v>
      </c>
      <c r="C232" s="19">
        <v>27</v>
      </c>
      <c r="D232" s="18">
        <v>91</v>
      </c>
      <c r="E232" s="18">
        <v>153</v>
      </c>
      <c r="F232" s="18">
        <v>198</v>
      </c>
      <c r="G232" s="18">
        <v>238</v>
      </c>
      <c r="H232" s="18">
        <v>277</v>
      </c>
      <c r="I232" s="18">
        <v>348</v>
      </c>
      <c r="J232" s="19">
        <v>342</v>
      </c>
      <c r="M232" t="s">
        <v>331</v>
      </c>
      <c r="O232" t="s">
        <v>472</v>
      </c>
      <c r="P232">
        <v>9.3000000000000007</v>
      </c>
      <c r="Q232">
        <f t="shared" si="0"/>
        <v>18.600000000000001</v>
      </c>
      <c r="R232" s="62">
        <v>51</v>
      </c>
      <c r="S232" s="62">
        <v>14.2</v>
      </c>
      <c r="T232">
        <v>16</v>
      </c>
      <c r="U232">
        <v>44</v>
      </c>
      <c r="V232">
        <v>717</v>
      </c>
      <c r="W232" s="61">
        <v>12.9</v>
      </c>
      <c r="X232">
        <v>48</v>
      </c>
      <c r="Y232" t="s">
        <v>108</v>
      </c>
      <c r="AB232" s="7" t="s">
        <v>261</v>
      </c>
      <c r="AC232" s="64"/>
    </row>
    <row r="233" spans="1:29" ht="15" x14ac:dyDescent="0.2">
      <c r="A233" cm="1">
        <f t="array" ref="A233">_xlfn.IFS(AND(C15&gt;=1,C15&lt;20),C233,AND(C15&gt;=20,C15&lt;40),D233,AND(C15&gt;=40,C15&lt;50),E233,AND(C15&gt;=50,C15&lt;60),F233,AND(C15&gt;=60,C15&lt;70),G233,AND(C15&gt;=70,C15&lt;80),H233,AND(C15&gt;=80,C15&lt;90),I233,C15=90,J233)</f>
        <v>0.38400000000000001</v>
      </c>
      <c r="B233" s="15" t="s">
        <v>38</v>
      </c>
      <c r="C233" s="20" t="s">
        <v>132</v>
      </c>
      <c r="D233" s="21" t="s">
        <v>132</v>
      </c>
      <c r="E233" s="22">
        <v>9.6000000000000002E-2</v>
      </c>
      <c r="F233" s="22">
        <v>0.192</v>
      </c>
      <c r="G233" s="22">
        <v>0.192</v>
      </c>
      <c r="H233" s="22">
        <v>0.28799999999999998</v>
      </c>
      <c r="I233" s="22">
        <v>0.38400000000000001</v>
      </c>
      <c r="J233" s="23">
        <v>0.38400000000000001</v>
      </c>
      <c r="M233" t="s">
        <v>332</v>
      </c>
      <c r="O233" t="s">
        <v>473</v>
      </c>
      <c r="P233">
        <v>9.6999999999999993</v>
      </c>
      <c r="Q233">
        <f t="shared" si="0"/>
        <v>19.399999999999999</v>
      </c>
      <c r="R233" s="62">
        <v>53</v>
      </c>
      <c r="S233" s="62">
        <v>14.8</v>
      </c>
      <c r="T233">
        <v>16.7</v>
      </c>
      <c r="U233">
        <v>46</v>
      </c>
      <c r="V233">
        <v>747</v>
      </c>
      <c r="W233" s="61">
        <v>13.5</v>
      </c>
      <c r="X233">
        <v>51</v>
      </c>
      <c r="Y233" t="s">
        <v>120</v>
      </c>
      <c r="AB233" s="7" t="s">
        <v>280</v>
      </c>
      <c r="AC233" s="65"/>
    </row>
    <row r="234" spans="1:29" x14ac:dyDescent="0.2">
      <c r="B234" t="s">
        <v>238</v>
      </c>
      <c r="M234" t="s">
        <v>333</v>
      </c>
      <c r="P234">
        <v>10.1</v>
      </c>
      <c r="Q234">
        <f t="shared" si="0"/>
        <v>20.2</v>
      </c>
      <c r="R234" s="62">
        <v>54</v>
      </c>
      <c r="S234" s="62">
        <v>14.9</v>
      </c>
      <c r="T234">
        <v>17.399999999999999</v>
      </c>
      <c r="U234">
        <v>47</v>
      </c>
      <c r="V234">
        <v>777</v>
      </c>
      <c r="W234" s="61">
        <v>14</v>
      </c>
      <c r="X234">
        <v>53</v>
      </c>
      <c r="Y234" t="s">
        <v>124</v>
      </c>
      <c r="AB234" s="7" t="s">
        <v>276</v>
      </c>
      <c r="AC234" s="61"/>
    </row>
    <row r="235" spans="1:29" x14ac:dyDescent="0.15">
      <c r="A235" cm="1">
        <f t="array" ref="A235">_xlfn.IFS(AND(C15&gt;=1,C15&lt;20),C235,AND(C15&gt;=20,C15&lt;40),D235,AND(C15&gt;=40,C15&lt;50),E235,AND(C15&gt;=50,C15&lt;60),F235,AND(C15&gt;=60,C15&lt;70),G235,AND(C15&gt;=70,C15&lt;80),H235,AND(C15&gt;=80,C15&lt;90),I235,C15=90,J235)</f>
        <v>13226</v>
      </c>
      <c r="B235" s="24" t="s">
        <v>125</v>
      </c>
      <c r="C235" s="26">
        <v>1030</v>
      </c>
      <c r="D235" s="27">
        <v>3554</v>
      </c>
      <c r="E235" s="27">
        <v>5944</v>
      </c>
      <c r="F235" s="27">
        <v>7675</v>
      </c>
      <c r="G235" s="27">
        <v>9207</v>
      </c>
      <c r="H235" s="27">
        <v>10746</v>
      </c>
      <c r="I235" s="27">
        <v>12296</v>
      </c>
      <c r="J235" s="26">
        <v>13226</v>
      </c>
      <c r="M235" t="s">
        <v>334</v>
      </c>
      <c r="O235" t="s">
        <v>76</v>
      </c>
      <c r="P235">
        <v>10.5</v>
      </c>
      <c r="Q235">
        <f t="shared" si="0"/>
        <v>21</v>
      </c>
      <c r="R235" s="62">
        <v>55</v>
      </c>
      <c r="S235" s="62">
        <v>15.5</v>
      </c>
      <c r="T235">
        <v>18.2</v>
      </c>
      <c r="U235">
        <v>48</v>
      </c>
      <c r="V235">
        <v>807</v>
      </c>
      <c r="W235" s="61">
        <v>14.1</v>
      </c>
      <c r="X235">
        <v>54</v>
      </c>
      <c r="Y235" t="s">
        <v>127</v>
      </c>
      <c r="AB235" s="7" t="s">
        <v>293</v>
      </c>
      <c r="AC235" s="61"/>
    </row>
    <row r="236" spans="1:29" x14ac:dyDescent="0.15">
      <c r="A236" cm="1">
        <f t="array" ref="A236">_xlfn.IFS(AND(C15&gt;=1,C15&lt;20),C234,AND(C15&gt;=20,C15&lt;40),D234,AND(C15&gt;=40,C15&lt;50),E234,AND(C15&gt;=50,C15&lt;60),F234,AND(C15&gt;=60,C15&lt;70),G234,AND(C15&gt;=70,C15&lt;80),H234,AND(C15&gt;=80,C15&lt;90),I234,C15=90,J234)</f>
        <v>0</v>
      </c>
      <c r="B236" s="24" t="s">
        <v>128</v>
      </c>
      <c r="C236" s="25">
        <v>58</v>
      </c>
      <c r="D236" s="28">
        <v>202</v>
      </c>
      <c r="E236" s="28">
        <v>337</v>
      </c>
      <c r="F236" s="28">
        <v>434</v>
      </c>
      <c r="G236" s="28">
        <v>523</v>
      </c>
      <c r="H236" s="28">
        <v>610</v>
      </c>
      <c r="I236" s="28">
        <v>698</v>
      </c>
      <c r="J236" s="25">
        <v>751</v>
      </c>
      <c r="M236" t="s">
        <v>335</v>
      </c>
      <c r="O236" t="s">
        <v>474</v>
      </c>
      <c r="P236">
        <v>10.8</v>
      </c>
      <c r="Q236">
        <f t="shared" si="0"/>
        <v>21.6</v>
      </c>
      <c r="R236" s="62">
        <v>56</v>
      </c>
      <c r="S236" s="62">
        <v>15.6</v>
      </c>
      <c r="T236">
        <v>18.899999999999999</v>
      </c>
      <c r="U236">
        <v>49</v>
      </c>
      <c r="V236">
        <v>836</v>
      </c>
      <c r="W236" s="61">
        <v>14.6</v>
      </c>
      <c r="X236">
        <v>55</v>
      </c>
      <c r="Y236" t="s">
        <v>129</v>
      </c>
      <c r="AB236" s="8" t="s">
        <v>296</v>
      </c>
      <c r="AC236" s="61"/>
    </row>
    <row r="237" spans="1:29" x14ac:dyDescent="0.15">
      <c r="A237" cm="1">
        <f t="array" ref="A237">_xlfn.IFS(AND(C15&gt;=1,C15&lt;20),C237,AND(C15&gt;=20,C15&lt;40),D237,AND(C15&gt;=40,C15&lt;50),E237,AND(C15&gt;=50,C15&lt;60),F237,AND(C15&gt;=60,C15&lt;70),G237,AND(C15&gt;=70,C15&lt;80),H237,AND(C15&gt;=80,C15&lt;90),I237,C15=90,J237)</f>
        <v>342</v>
      </c>
      <c r="B237" s="24" t="s">
        <v>130</v>
      </c>
      <c r="C237" s="25">
        <v>26</v>
      </c>
      <c r="D237" s="28">
        <v>91</v>
      </c>
      <c r="E237" s="28">
        <v>153</v>
      </c>
      <c r="F237" s="28">
        <v>198</v>
      </c>
      <c r="G237" s="28">
        <v>238</v>
      </c>
      <c r="H237" s="28">
        <v>277</v>
      </c>
      <c r="I237" s="28">
        <v>347</v>
      </c>
      <c r="J237" s="25">
        <v>342</v>
      </c>
      <c r="M237" t="s">
        <v>336</v>
      </c>
      <c r="O237" t="s">
        <v>475</v>
      </c>
      <c r="P237">
        <v>10.9</v>
      </c>
      <c r="Q237">
        <f t="shared" si="0"/>
        <v>21.8</v>
      </c>
      <c r="R237" s="62">
        <v>57</v>
      </c>
      <c r="S237" s="62">
        <v>16.100000000000001</v>
      </c>
      <c r="T237">
        <v>19.7</v>
      </c>
      <c r="U237">
        <v>50</v>
      </c>
      <c r="V237">
        <v>837</v>
      </c>
      <c r="W237" s="61">
        <v>14.7</v>
      </c>
      <c r="X237">
        <v>56</v>
      </c>
      <c r="Y237" t="s">
        <v>50</v>
      </c>
      <c r="AC237" s="61"/>
    </row>
    <row r="238" spans="1:29" x14ac:dyDescent="0.15">
      <c r="A238" cm="1">
        <f t="array" ref="A238">_xlfn.IFS(AND(C15&gt;=1,C15&lt;20),C238,AND(C15&gt;=20,C15&lt;40),D238,AND(C15&gt;=40,C15&lt;50),E238,AND(C15&gt;=50,C15&lt;60),F238,AND(C15&gt;=60,C15&lt;70),G238,AND(C15&gt;=70,C15&lt;80),H238,AND(C15&gt;=80,C15&lt;90),I238,C15=90,J238)</f>
        <v>0.38400000000000001</v>
      </c>
      <c r="B238" s="24" t="s">
        <v>38</v>
      </c>
      <c r="C238" s="29" t="s">
        <v>132</v>
      </c>
      <c r="D238" s="30" t="s">
        <v>132</v>
      </c>
      <c r="E238" s="31">
        <v>9.6000000000000002E-2</v>
      </c>
      <c r="F238" s="31">
        <v>0.192</v>
      </c>
      <c r="G238" s="31">
        <v>0.192</v>
      </c>
      <c r="H238" s="31">
        <v>0.28799999999999998</v>
      </c>
      <c r="I238" s="31">
        <v>0.38400000000000001</v>
      </c>
      <c r="J238" s="32">
        <v>0.38400000000000001</v>
      </c>
      <c r="M238" t="s">
        <v>337</v>
      </c>
      <c r="P238">
        <v>11.2</v>
      </c>
      <c r="Q238">
        <f t="shared" si="0"/>
        <v>22.4</v>
      </c>
      <c r="R238" s="62">
        <v>58</v>
      </c>
      <c r="S238" s="62">
        <v>16.2</v>
      </c>
      <c r="T238">
        <v>20.399999999999999</v>
      </c>
      <c r="U238">
        <v>51</v>
      </c>
      <c r="V238">
        <v>866</v>
      </c>
      <c r="W238" s="61">
        <v>15.2</v>
      </c>
      <c r="X238">
        <v>57</v>
      </c>
      <c r="Y238" t="s">
        <v>133</v>
      </c>
    </row>
    <row r="239" spans="1:29" x14ac:dyDescent="0.2">
      <c r="B239" t="s">
        <v>240</v>
      </c>
      <c r="M239" t="s">
        <v>338</v>
      </c>
      <c r="P239">
        <v>11.3</v>
      </c>
      <c r="Q239">
        <f t="shared" si="0"/>
        <v>22.6</v>
      </c>
      <c r="R239" s="62">
        <v>59</v>
      </c>
      <c r="S239" s="62">
        <v>16.8</v>
      </c>
      <c r="T239">
        <v>21.1</v>
      </c>
      <c r="U239">
        <v>52</v>
      </c>
      <c r="V239">
        <v>867</v>
      </c>
      <c r="W239" s="61">
        <v>15.3</v>
      </c>
      <c r="X239">
        <v>58</v>
      </c>
      <c r="Y239" t="s">
        <v>135</v>
      </c>
      <c r="AB239" s="7" t="s">
        <v>212</v>
      </c>
    </row>
    <row r="240" spans="1:29" ht="15" x14ac:dyDescent="0.2">
      <c r="A240" cm="1">
        <f t="array" ref="A240">_xlfn.IFS(AND(C15&gt;=1,C15&lt;20),C240,AND(C15&gt;=20,C15&lt;40),D240,AND(C15&gt;=40,C15&lt;50),E240,AND(C15&gt;=50,C15&lt;60),F240,AND(C15&gt;=60,C15&lt;70),G240,AND(C15&gt;=70,C15&lt;80),H240,AND(C15&gt;=80,C15&lt;90),I240,C15=90,J240)</f>
        <v>9797</v>
      </c>
      <c r="B240" s="15" t="s">
        <v>125</v>
      </c>
      <c r="C240" s="19">
        <v>763</v>
      </c>
      <c r="D240" s="17">
        <v>2632</v>
      </c>
      <c r="E240" s="17">
        <v>4403</v>
      </c>
      <c r="F240" s="17">
        <v>5686</v>
      </c>
      <c r="G240" s="17">
        <v>6820</v>
      </c>
      <c r="H240" s="17">
        <v>7960</v>
      </c>
      <c r="I240" s="17">
        <v>9108</v>
      </c>
      <c r="J240" s="16">
        <v>9797</v>
      </c>
      <c r="M240" t="s">
        <v>339</v>
      </c>
      <c r="P240">
        <v>11.6</v>
      </c>
      <c r="Q240">
        <f t="shared" si="0"/>
        <v>23.2</v>
      </c>
      <c r="R240" s="62">
        <v>60</v>
      </c>
      <c r="S240" s="62">
        <v>16.899999999999999</v>
      </c>
      <c r="T240">
        <v>21.8</v>
      </c>
      <c r="U240">
        <v>53</v>
      </c>
      <c r="V240">
        <v>896</v>
      </c>
      <c r="W240" s="61">
        <v>15.7</v>
      </c>
      <c r="X240">
        <v>59</v>
      </c>
      <c r="Y240" t="s">
        <v>137</v>
      </c>
      <c r="AB240" s="7" t="s">
        <v>216</v>
      </c>
    </row>
    <row r="241" spans="1:28" ht="15" x14ac:dyDescent="0.2">
      <c r="A241" cm="1">
        <f t="array" ref="A241">_xlfn.IFS(AND(C15&gt;=1,C15&lt;20),C241,AND(C15&gt;=20,C15&lt;40),D241,AND(C15&gt;=40,C15&lt;50),E241,AND(C15&gt;=50,C15&lt;60),F241,AND(C15&gt;=60,C15&lt;70),G241,AND(C15&gt;=70,C15&lt;80),H241,AND(C15&gt;=80,C15&lt;90),I241,C15=90,J241)</f>
        <v>630</v>
      </c>
      <c r="B241" s="15" t="s">
        <v>128</v>
      </c>
      <c r="C241" s="19">
        <v>49</v>
      </c>
      <c r="D241" s="18">
        <v>169</v>
      </c>
      <c r="E241" s="18">
        <v>283</v>
      </c>
      <c r="F241" s="18">
        <v>346</v>
      </c>
      <c r="G241" s="18">
        <v>439</v>
      </c>
      <c r="H241" s="18">
        <v>512</v>
      </c>
      <c r="I241" s="18">
        <v>586</v>
      </c>
      <c r="J241" s="19">
        <v>630</v>
      </c>
      <c r="M241" t="s">
        <v>340</v>
      </c>
      <c r="P241">
        <v>11.7</v>
      </c>
      <c r="Q241">
        <f t="shared" si="0"/>
        <v>23.4</v>
      </c>
      <c r="R241" s="62">
        <v>61</v>
      </c>
      <c r="S241" s="62">
        <v>17.399999999999999</v>
      </c>
      <c r="T241">
        <v>22.5</v>
      </c>
      <c r="U241">
        <v>54</v>
      </c>
      <c r="V241">
        <v>897</v>
      </c>
      <c r="W241" s="61">
        <v>15.8</v>
      </c>
      <c r="X241">
        <v>60</v>
      </c>
      <c r="Y241" t="s">
        <v>51</v>
      </c>
      <c r="AB241" s="7" t="s">
        <v>220</v>
      </c>
    </row>
    <row r="242" spans="1:28" ht="15" x14ac:dyDescent="0.2">
      <c r="A242" cm="1">
        <f t="array" ref="A242">_xlfn.IFS(AND(C15&gt;=1,C15&lt;20),C242,AND(C15&gt;=20,C15&lt;40),D242,AND(C15&gt;=40,C15&lt;50),E242,AND(C15&gt;=50,C15&lt;60),F242,AND(C15&gt;=60,C15&lt;70),G242,AND(C15&gt;=70,C15&lt;80),H242,AND(C15&gt;=80,C15&lt;90),I242,C15=90,J242)</f>
        <v>335</v>
      </c>
      <c r="B242" s="15" t="s">
        <v>130</v>
      </c>
      <c r="C242" s="19">
        <v>26</v>
      </c>
      <c r="D242" s="18">
        <v>90</v>
      </c>
      <c r="E242" s="18">
        <v>150</v>
      </c>
      <c r="F242" s="18">
        <v>194</v>
      </c>
      <c r="G242" s="18">
        <v>233</v>
      </c>
      <c r="H242" s="18">
        <v>272</v>
      </c>
      <c r="I242" s="18">
        <v>341</v>
      </c>
      <c r="J242" s="19">
        <v>335</v>
      </c>
      <c r="M242" t="s">
        <v>341</v>
      </c>
      <c r="P242">
        <v>12</v>
      </c>
      <c r="Q242">
        <f t="shared" si="0"/>
        <v>24</v>
      </c>
      <c r="R242" s="62">
        <v>62</v>
      </c>
      <c r="S242" s="62">
        <v>17.5</v>
      </c>
      <c r="T242">
        <v>23.2</v>
      </c>
      <c r="U242">
        <v>55</v>
      </c>
      <c r="V242">
        <v>926</v>
      </c>
      <c r="W242" s="61">
        <v>16.3</v>
      </c>
      <c r="X242">
        <v>61</v>
      </c>
      <c r="Y242" t="s">
        <v>142</v>
      </c>
      <c r="AB242" s="7" t="s">
        <v>147</v>
      </c>
    </row>
    <row r="243" spans="1:28" ht="15" x14ac:dyDescent="0.2">
      <c r="A243" cm="1">
        <f t="array" ref="A243">_xlfn.IFS(AND(C15&gt;=1,C15&lt;20),C243,AND(C15&gt;=20,C15&lt;40),D243,AND(C15&gt;=40,C15&lt;50),E243,AND(C15&gt;=50,C15&lt;60),F243,AND(C15&gt;=60,C15&lt;70),G243,AND(C15&gt;=70,C15&lt;80),H243,AND(C15&gt;=80,C15&lt;90),I243,C15=90,J243)</f>
        <v>0.38400000000000001</v>
      </c>
      <c r="B243" s="15" t="s">
        <v>38</v>
      </c>
      <c r="C243" s="20" t="s">
        <v>132</v>
      </c>
      <c r="D243" s="21" t="s">
        <v>132</v>
      </c>
      <c r="E243" s="22">
        <v>9.6000000000000002E-2</v>
      </c>
      <c r="F243" s="22">
        <v>0.192</v>
      </c>
      <c r="G243" s="22">
        <v>0.192</v>
      </c>
      <c r="H243" s="22">
        <v>0.28799999999999998</v>
      </c>
      <c r="I243" s="22">
        <v>0.38400000000000001</v>
      </c>
      <c r="J243" s="23">
        <v>0.38400000000000001</v>
      </c>
      <c r="M243" t="s">
        <v>342</v>
      </c>
      <c r="P243">
        <v>12.4</v>
      </c>
      <c r="Q243">
        <f t="shared" si="0"/>
        <v>24.8</v>
      </c>
      <c r="R243" s="62">
        <v>63</v>
      </c>
      <c r="S243" s="62">
        <v>18</v>
      </c>
      <c r="T243">
        <v>23.9</v>
      </c>
      <c r="U243">
        <v>56</v>
      </c>
      <c r="V243">
        <v>956</v>
      </c>
      <c r="W243" s="61">
        <v>16.399999999999999</v>
      </c>
      <c r="X243">
        <v>62</v>
      </c>
      <c r="Y243" t="s">
        <v>146</v>
      </c>
      <c r="AB243" s="7" t="s">
        <v>214</v>
      </c>
    </row>
    <row r="244" spans="1:28" x14ac:dyDescent="0.2">
      <c r="B244" t="s">
        <v>242</v>
      </c>
      <c r="M244" t="s">
        <v>343</v>
      </c>
      <c r="P244">
        <v>12.8</v>
      </c>
      <c r="Q244">
        <f t="shared" si="0"/>
        <v>25.6</v>
      </c>
      <c r="R244" s="62">
        <v>64</v>
      </c>
      <c r="S244" s="62">
        <v>18.100000000000001</v>
      </c>
      <c r="T244">
        <v>24.6</v>
      </c>
      <c r="U244">
        <v>57</v>
      </c>
      <c r="V244">
        <v>986</v>
      </c>
      <c r="W244" s="61">
        <v>16.899999999999999</v>
      </c>
      <c r="X244">
        <v>63</v>
      </c>
      <c r="Y244" t="s">
        <v>151</v>
      </c>
      <c r="AB244" s="7" t="s">
        <v>209</v>
      </c>
    </row>
    <row r="245" spans="1:28" x14ac:dyDescent="0.15">
      <c r="A245" cm="1">
        <f t="array" ref="A245">_xlfn.IFS(AND(C15&gt;=1,C15&lt;20),C245,AND(C15&gt;=20,C15&lt;40),D245,AND(C15&gt;=40,C15&lt;50),E245,AND(C15&gt;=50,C15&lt;60),F245,AND(C15&gt;=60,C15&lt;70),G245,AND(C15&gt;=70,C15&lt;80),H245,AND(C15&gt;=80,C15&lt;90),I245,C15=90,J245)</f>
        <v>12348</v>
      </c>
      <c r="B245" s="24" t="s">
        <v>125</v>
      </c>
      <c r="C245" s="25">
        <v>963</v>
      </c>
      <c r="D245" s="27">
        <v>3323</v>
      </c>
      <c r="E245" s="27">
        <v>5559</v>
      </c>
      <c r="F245" s="27">
        <v>7178</v>
      </c>
      <c r="G245" s="27">
        <v>8610</v>
      </c>
      <c r="H245" s="27">
        <v>10050</v>
      </c>
      <c r="I245" s="27">
        <v>11499</v>
      </c>
      <c r="J245" s="26">
        <v>12348</v>
      </c>
      <c r="M245" t="s">
        <v>344</v>
      </c>
      <c r="P245">
        <v>13.2</v>
      </c>
      <c r="Q245">
        <f t="shared" si="0"/>
        <v>26.4</v>
      </c>
      <c r="R245" s="62">
        <v>65</v>
      </c>
      <c r="S245" s="62">
        <v>18.2</v>
      </c>
      <c r="T245">
        <v>25.3</v>
      </c>
      <c r="U245">
        <v>58</v>
      </c>
      <c r="V245">
        <v>1016</v>
      </c>
      <c r="W245">
        <v>17</v>
      </c>
      <c r="X245">
        <v>65</v>
      </c>
      <c r="Y245" t="s">
        <v>154</v>
      </c>
      <c r="AB245" s="7" t="s">
        <v>247</v>
      </c>
    </row>
    <row r="246" spans="1:28" x14ac:dyDescent="0.15">
      <c r="A246" cm="1">
        <f t="array" ref="A246">_xlfn.IFS(AND(C15&gt;=1,C15&lt;20),C246,AND(C15&gt;=20,C15&lt;40),D246,AND(C15&gt;=40,C15&lt;50),E246,AND(C15&gt;=50,C15&lt;60),F246,AND(C15&gt;=60,C15&lt;70),G246,AND(C15&gt;=70,C15&lt;80),H246,AND(C15&gt;=80,C15&lt;90),I246,C15=90,J246)</f>
        <v>922</v>
      </c>
      <c r="B246" s="24" t="s">
        <v>128</v>
      </c>
      <c r="C246" s="25">
        <v>72</v>
      </c>
      <c r="D246" s="28">
        <v>248</v>
      </c>
      <c r="E246" s="28">
        <v>415</v>
      </c>
      <c r="F246" s="28">
        <v>535</v>
      </c>
      <c r="G246" s="28">
        <v>642</v>
      </c>
      <c r="H246" s="28">
        <v>749</v>
      </c>
      <c r="I246" s="28">
        <v>857</v>
      </c>
      <c r="J246" s="25">
        <v>922</v>
      </c>
      <c r="M246" t="s">
        <v>345</v>
      </c>
      <c r="P246">
        <v>13.5</v>
      </c>
      <c r="Q246">
        <f t="shared" si="0"/>
        <v>27</v>
      </c>
      <c r="R246" s="62">
        <v>67</v>
      </c>
      <c r="S246" s="62">
        <v>18.7</v>
      </c>
      <c r="T246">
        <v>26.2</v>
      </c>
      <c r="U246">
        <v>60</v>
      </c>
      <c r="V246">
        <v>1045</v>
      </c>
      <c r="W246" s="61">
        <v>17.399999999999999</v>
      </c>
      <c r="X246">
        <v>67</v>
      </c>
      <c r="Y246" t="s">
        <v>156</v>
      </c>
      <c r="AB246" s="7" t="s">
        <v>265</v>
      </c>
    </row>
    <row r="247" spans="1:28" x14ac:dyDescent="0.15">
      <c r="A247" cm="1">
        <f t="array" ref="A247">_xlfn.IFS(AND(C15&gt;=1,C15&lt;20),C247,AND(C15&gt;=20,C15&lt;40),D247,AND(C15&gt;=40,C15&lt;50),E247,AND(C15&gt;=50,C15&lt;60),F247,AND(C15&gt;=60,C15&lt;70),G247,AND(C15&gt;=70,C15&lt;80),H247,AND(C15&gt;=80,C15&lt;90),I247,C15=90,J247)</f>
        <v>287</v>
      </c>
      <c r="B247" s="24" t="s">
        <v>130</v>
      </c>
      <c r="C247" s="25">
        <v>22</v>
      </c>
      <c r="D247" s="28">
        <v>77</v>
      </c>
      <c r="E247" s="28">
        <v>129</v>
      </c>
      <c r="F247" s="28">
        <v>166</v>
      </c>
      <c r="G247" s="28">
        <v>199</v>
      </c>
      <c r="H247" s="28">
        <v>233</v>
      </c>
      <c r="I247" s="28">
        <v>266</v>
      </c>
      <c r="J247" s="25">
        <v>287</v>
      </c>
      <c r="M247" t="s">
        <v>346</v>
      </c>
      <c r="P247">
        <v>13.6</v>
      </c>
      <c r="Q247">
        <f t="shared" si="0"/>
        <v>27.2</v>
      </c>
      <c r="R247" s="62">
        <v>69</v>
      </c>
      <c r="S247" s="62">
        <v>18.8</v>
      </c>
      <c r="T247">
        <v>26.9</v>
      </c>
      <c r="U247">
        <v>61</v>
      </c>
      <c r="V247">
        <v>1046</v>
      </c>
      <c r="W247">
        <v>17.600000000000001</v>
      </c>
      <c r="X247">
        <v>69</v>
      </c>
      <c r="Y247" t="s">
        <v>158</v>
      </c>
      <c r="AB247" s="7" t="s">
        <v>268</v>
      </c>
    </row>
    <row r="248" spans="1:28" x14ac:dyDescent="0.15">
      <c r="A248" cm="1">
        <f t="array" ref="A248">_xlfn.IFS(AND(C15&gt;=1,C15&lt;20),C248,AND(C15&gt;=20,C15&lt;40),D248,AND(C15&gt;=40,C15&lt;50),E248,AND(C15&gt;=50,C15&lt;60),F248,AND(C15&gt;=60,C15&lt;70),G248,AND(C15&gt;=70,C15&lt;80),H248,AND(C15&gt;=80,C15&lt;90),I248,C15=90,J248)</f>
        <v>0.222</v>
      </c>
      <c r="B248" s="24" t="s">
        <v>347</v>
      </c>
      <c r="C248" s="29" t="s">
        <v>132</v>
      </c>
      <c r="D248" s="30" t="s">
        <v>132</v>
      </c>
      <c r="E248" s="31">
        <v>5.5E-2</v>
      </c>
      <c r="F248" s="31">
        <v>0.111</v>
      </c>
      <c r="G248" s="31">
        <v>0.111</v>
      </c>
      <c r="H248" s="31">
        <v>0.16600000000000001</v>
      </c>
      <c r="I248" s="31">
        <v>0.222</v>
      </c>
      <c r="J248" s="32">
        <v>0.222</v>
      </c>
      <c r="M248" t="s">
        <v>348</v>
      </c>
      <c r="P248">
        <v>13.9</v>
      </c>
      <c r="Q248">
        <f t="shared" si="0"/>
        <v>27.8</v>
      </c>
      <c r="R248" s="62">
        <v>70</v>
      </c>
      <c r="S248" s="62">
        <v>19.3</v>
      </c>
      <c r="T248">
        <v>27.6</v>
      </c>
      <c r="U248">
        <v>62</v>
      </c>
      <c r="V248">
        <v>1075</v>
      </c>
      <c r="W248">
        <v>18.100000000000001</v>
      </c>
      <c r="X248">
        <v>70</v>
      </c>
      <c r="Y248" t="s">
        <v>161</v>
      </c>
      <c r="AB248" s="7" t="s">
        <v>271</v>
      </c>
    </row>
    <row r="249" spans="1:28" x14ac:dyDescent="0.2">
      <c r="B249" t="s">
        <v>244</v>
      </c>
      <c r="M249" t="s">
        <v>349</v>
      </c>
      <c r="P249">
        <v>14</v>
      </c>
      <c r="Q249">
        <f t="shared" si="0"/>
        <v>28</v>
      </c>
      <c r="R249" s="62">
        <v>71</v>
      </c>
      <c r="S249" s="62">
        <v>19.399999999999999</v>
      </c>
      <c r="T249">
        <v>28.3</v>
      </c>
      <c r="U249">
        <v>63</v>
      </c>
      <c r="V249">
        <v>1076</v>
      </c>
      <c r="W249">
        <v>18.2</v>
      </c>
      <c r="X249">
        <v>71</v>
      </c>
      <c r="Y249" t="s">
        <v>163</v>
      </c>
      <c r="AB249" s="7" t="s">
        <v>278</v>
      </c>
    </row>
    <row r="250" spans="1:28" x14ac:dyDescent="0.15">
      <c r="A250" cm="1">
        <f t="array" ref="A250">_xlfn.IFS(AND(C15&gt;=1,C15&lt;20),C250,AND(C15&gt;=20,C15&lt;40),D250,AND(C15&gt;=40,C15&lt;50),E250,AND(C15&gt;=50,C15&lt;60),F250,AND(C15&gt;=60,C15&lt;70),G250,AND(C15&gt;=70,C15&lt;80),H250,AND(C15&gt;=80,C15&lt;90),I250,C15=90,J250)</f>
        <v>10766</v>
      </c>
      <c r="B250" s="24" t="s">
        <v>125</v>
      </c>
      <c r="C250" s="25">
        <v>903</v>
      </c>
      <c r="D250" s="28">
        <v>2993</v>
      </c>
      <c r="E250" s="28">
        <v>4963</v>
      </c>
      <c r="F250" s="28">
        <v>6347</v>
      </c>
      <c r="G250" s="28">
        <v>7572</v>
      </c>
      <c r="H250" s="28">
        <v>8796</v>
      </c>
      <c r="I250" s="27">
        <v>10021</v>
      </c>
      <c r="J250" s="26">
        <v>10766</v>
      </c>
      <c r="M250" t="s">
        <v>350</v>
      </c>
      <c r="P250">
        <v>14.3</v>
      </c>
      <c r="Q250">
        <f t="shared" si="0"/>
        <v>28.6</v>
      </c>
      <c r="R250" s="62">
        <v>72</v>
      </c>
      <c r="S250" s="62">
        <v>19.5</v>
      </c>
      <c r="T250">
        <v>29</v>
      </c>
      <c r="U250">
        <v>64</v>
      </c>
      <c r="V250">
        <v>1105</v>
      </c>
      <c r="W250">
        <v>18.7</v>
      </c>
      <c r="X250">
        <v>72</v>
      </c>
      <c r="Y250" t="s">
        <v>164</v>
      </c>
      <c r="AB250" s="7" t="s">
        <v>290</v>
      </c>
    </row>
    <row r="251" spans="1:28" x14ac:dyDescent="0.15">
      <c r="A251" cm="1">
        <f t="array" ref="A251">_xlfn.IFS(AND(C15&gt;=1,C15&lt;20),C251,AND(C15&gt;=20,C15&lt;40),D251,AND(C15&gt;=40,C15&lt;50),E251,AND(C15&gt;=50,C15&lt;60),F251,AND(C15&gt;=60,C15&lt;70),G251,AND(C15&gt;=70,C15&lt;80),H251,AND(C15&gt;=80,C15&lt;90),I251,C15=90,J251)</f>
        <v>546</v>
      </c>
      <c r="B251" s="24" t="s">
        <v>128</v>
      </c>
      <c r="C251" s="25">
        <v>46</v>
      </c>
      <c r="D251" s="28">
        <v>152</v>
      </c>
      <c r="E251" s="28">
        <v>252</v>
      </c>
      <c r="F251" s="28">
        <v>322</v>
      </c>
      <c r="G251" s="28">
        <v>384</v>
      </c>
      <c r="H251" s="28">
        <v>446</v>
      </c>
      <c r="I251" s="28">
        <v>508</v>
      </c>
      <c r="J251" s="25">
        <v>546</v>
      </c>
      <c r="M251" t="s">
        <v>351</v>
      </c>
      <c r="P251">
        <v>14.4</v>
      </c>
      <c r="Q251">
        <f t="shared" si="0"/>
        <v>28.8</v>
      </c>
      <c r="R251" s="62">
        <v>73</v>
      </c>
      <c r="S251" s="62">
        <v>20</v>
      </c>
      <c r="T251">
        <v>29.8</v>
      </c>
      <c r="U251">
        <v>65</v>
      </c>
      <c r="V251">
        <v>1106</v>
      </c>
      <c r="W251">
        <v>18.8</v>
      </c>
      <c r="X251">
        <v>73</v>
      </c>
      <c r="Y251" t="s">
        <v>165</v>
      </c>
      <c r="AB251" s="7" t="s">
        <v>287</v>
      </c>
    </row>
    <row r="252" spans="1:28" x14ac:dyDescent="0.15">
      <c r="A252" cm="1">
        <f t="array" ref="A252">_xlfn.IFS(AND(C15&gt;=1,C15&lt;20),C252,AND(C15&gt;=20,C15&lt;40),D252,AND(C15&gt;=40,C15&lt;50),E252,AND(C15&gt;=50,C15&lt;60),F252,AND(C15&gt;=60,C15&lt;70),G252,AND(C15&gt;=70,C15&lt;80),H252,AND(C15&gt;=80,C15&lt;90),I252,C15=90,J252)</f>
        <v>173</v>
      </c>
      <c r="B252" s="24" t="s">
        <v>130</v>
      </c>
      <c r="C252" s="25">
        <v>14</v>
      </c>
      <c r="D252" s="28">
        <v>48</v>
      </c>
      <c r="E252" s="28">
        <v>80</v>
      </c>
      <c r="F252" s="28">
        <v>102</v>
      </c>
      <c r="G252" s="28">
        <v>121</v>
      </c>
      <c r="H252" s="28">
        <v>141</v>
      </c>
      <c r="I252" s="28">
        <v>161</v>
      </c>
      <c r="J252" s="25">
        <v>173</v>
      </c>
      <c r="M252" t="s">
        <v>352</v>
      </c>
      <c r="P252">
        <v>14.7</v>
      </c>
      <c r="Q252">
        <f t="shared" si="0"/>
        <v>29.4</v>
      </c>
      <c r="R252" s="62">
        <v>74</v>
      </c>
      <c r="S252" s="62">
        <v>20.100000000000001</v>
      </c>
      <c r="T252">
        <v>30.5</v>
      </c>
      <c r="U252">
        <v>66</v>
      </c>
      <c r="V252">
        <v>1135</v>
      </c>
      <c r="W252">
        <v>19.3</v>
      </c>
      <c r="X252">
        <v>74</v>
      </c>
      <c r="Y252" t="s">
        <v>166</v>
      </c>
    </row>
    <row r="253" spans="1:28" x14ac:dyDescent="0.15">
      <c r="A253" cm="1">
        <f t="array" ref="A253">_xlfn.IFS(AND(C15&gt;=1,C15&lt;20),C253,AND(C15&gt;=20,C15&lt;40),D253,AND(C15&gt;=40,C15&lt;50),E253,AND(C15&gt;=50,C15&lt;60),F253,AND(C15&gt;=60,C15&lt;70),G253,AND(C15&gt;=70,C15&lt;80),H253,AND(C15&gt;=80,C15&lt;90),I253,C15=90,J253)</f>
        <v>0.24</v>
      </c>
      <c r="B253" s="24" t="s">
        <v>36</v>
      </c>
      <c r="C253" s="29" t="s">
        <v>132</v>
      </c>
      <c r="D253" s="30" t="s">
        <v>132</v>
      </c>
      <c r="E253" s="31">
        <v>0.06</v>
      </c>
      <c r="F253" s="31">
        <v>0.12</v>
      </c>
      <c r="G253" s="31">
        <v>0.12</v>
      </c>
      <c r="H253" s="31">
        <v>0.18</v>
      </c>
      <c r="I253" s="31">
        <v>0.24</v>
      </c>
      <c r="J253" s="32">
        <v>0.24</v>
      </c>
      <c r="M253" t="s">
        <v>353</v>
      </c>
      <c r="P253">
        <v>14.8</v>
      </c>
      <c r="Q253">
        <f t="shared" si="0"/>
        <v>29.6</v>
      </c>
      <c r="R253" s="62">
        <v>75</v>
      </c>
      <c r="S253" s="62">
        <v>20.6</v>
      </c>
      <c r="T253">
        <v>31.2</v>
      </c>
      <c r="U253">
        <v>67</v>
      </c>
      <c r="V253">
        <v>1136</v>
      </c>
      <c r="W253">
        <v>19.399999999999999</v>
      </c>
      <c r="X253">
        <v>75</v>
      </c>
      <c r="Y253" t="s">
        <v>180</v>
      </c>
      <c r="AB253" s="7" t="s">
        <v>198</v>
      </c>
    </row>
    <row r="254" spans="1:28" x14ac:dyDescent="0.2">
      <c r="B254" t="s">
        <v>246</v>
      </c>
      <c r="M254" t="s">
        <v>354</v>
      </c>
      <c r="P254">
        <v>15.1</v>
      </c>
      <c r="Q254">
        <f t="shared" si="0"/>
        <v>30.2</v>
      </c>
      <c r="R254" s="62">
        <v>76</v>
      </c>
      <c r="S254" s="62">
        <v>20.7</v>
      </c>
      <c r="T254">
        <v>32</v>
      </c>
      <c r="U254">
        <v>68</v>
      </c>
      <c r="V254">
        <v>1165</v>
      </c>
      <c r="W254">
        <v>19.8</v>
      </c>
      <c r="X254">
        <v>76</v>
      </c>
      <c r="Y254" t="s">
        <v>182</v>
      </c>
      <c r="AB254" s="7" t="s">
        <v>196</v>
      </c>
    </row>
    <row r="255" spans="1:28" x14ac:dyDescent="0.15">
      <c r="A255" cm="1">
        <f t="array" ref="A255">_xlfn.IFS(AND(C15&gt;=1,C15&lt;20),C255,AND(C15&gt;=20,C15&lt;40),D255,AND(C15&gt;=40,C15&lt;50),E255,AND(C15&gt;=50,C15&lt;60),F255,AND(C15&gt;=60,C15&lt;70),G255,AND(C15&gt;=70,C15&lt;80),H255,AND(C15&gt;=80,C15&lt;90),I255,C15=90,J255)</f>
        <v>12071</v>
      </c>
      <c r="B255" s="24" t="s">
        <v>125</v>
      </c>
      <c r="C255" s="26">
        <v>1012</v>
      </c>
      <c r="D255" s="27">
        <v>3356</v>
      </c>
      <c r="E255" s="27">
        <v>5564</v>
      </c>
      <c r="F255" s="27">
        <v>7117</v>
      </c>
      <c r="G255" s="27">
        <v>8490</v>
      </c>
      <c r="H255" s="27">
        <v>9862</v>
      </c>
      <c r="I255" s="27">
        <v>11235</v>
      </c>
      <c r="J255" s="26">
        <v>12071</v>
      </c>
      <c r="M255" t="s">
        <v>355</v>
      </c>
      <c r="P255">
        <v>15.2</v>
      </c>
      <c r="Q255">
        <f t="shared" si="0"/>
        <v>30.4</v>
      </c>
      <c r="R255" s="62">
        <v>77</v>
      </c>
      <c r="S255" s="62">
        <v>20.8</v>
      </c>
      <c r="T255">
        <v>32.700000000000003</v>
      </c>
      <c r="U255">
        <v>69</v>
      </c>
      <c r="V255">
        <v>1166</v>
      </c>
      <c r="W255">
        <v>19.899999999999999</v>
      </c>
      <c r="X255">
        <v>77</v>
      </c>
      <c r="Y255" t="s">
        <v>183</v>
      </c>
      <c r="AB255" s="7" t="s">
        <v>226</v>
      </c>
    </row>
    <row r="256" spans="1:28" x14ac:dyDescent="0.15">
      <c r="A256" cm="1">
        <f t="array" ref="A256">_xlfn.IFS(AND(C15&gt;=1,C15&lt;20),C256,AND(C15&gt;=20,C15&lt;40),D256,AND(C15&gt;=40,C15&lt;50),E256,AND(C15&gt;=50,C15&lt;60),F256,AND(C15&gt;=60,C15&lt;70),G256,AND(C15&gt;=70,C15&lt;80),H256,AND(C15&gt;=80,C15&lt;90),I256,C15=90,J256)</f>
        <v>708</v>
      </c>
      <c r="B256" s="24" t="s">
        <v>128</v>
      </c>
      <c r="C256" s="25">
        <v>59</v>
      </c>
      <c r="D256" s="28">
        <v>197</v>
      </c>
      <c r="E256" s="28">
        <v>327</v>
      </c>
      <c r="F256" s="28">
        <v>418</v>
      </c>
      <c r="G256" s="28">
        <v>498</v>
      </c>
      <c r="H256" s="28">
        <v>579</v>
      </c>
      <c r="I256" s="28">
        <v>659</v>
      </c>
      <c r="J256" s="25">
        <v>708</v>
      </c>
      <c r="M256" t="s">
        <v>356</v>
      </c>
      <c r="P256">
        <v>15.5</v>
      </c>
      <c r="Q256">
        <f t="shared" si="0"/>
        <v>31</v>
      </c>
      <c r="R256" s="62">
        <v>78</v>
      </c>
      <c r="S256" s="62">
        <v>21.3</v>
      </c>
      <c r="T256">
        <v>33.4</v>
      </c>
      <c r="U256">
        <v>70</v>
      </c>
      <c r="V256">
        <v>1195</v>
      </c>
      <c r="W256">
        <v>20</v>
      </c>
      <c r="X256">
        <v>78</v>
      </c>
      <c r="Y256" t="s">
        <v>184</v>
      </c>
      <c r="AB256" s="7" t="s">
        <v>228</v>
      </c>
    </row>
    <row r="257" spans="1:28" x14ac:dyDescent="0.15">
      <c r="A257" cm="1">
        <f t="array" ref="A257">_xlfn.IFS(AND(C15&gt;=1,C15&lt;20),C257,AND(C15&gt;=20,C15&lt;40),D257,AND(C15&gt;=40,C15&lt;50),E257,AND(C15&gt;=50,C15&lt;60),F257,AND(C15&gt;=60,C15&lt;70),G257,AND(C15&gt;=70,C15&lt;80),H257,AND(C15&gt;=80,C15&lt;90),I257,C15=90,J257)</f>
        <v>255</v>
      </c>
      <c r="B257" s="24" t="s">
        <v>130</v>
      </c>
      <c r="C257" s="25">
        <v>21</v>
      </c>
      <c r="D257" s="28">
        <v>71</v>
      </c>
      <c r="E257" s="28">
        <v>117</v>
      </c>
      <c r="F257" s="28">
        <v>150</v>
      </c>
      <c r="G257" s="28">
        <v>179</v>
      </c>
      <c r="H257" s="28">
        <v>208</v>
      </c>
      <c r="I257" s="28">
        <v>237</v>
      </c>
      <c r="J257" s="25">
        <v>255</v>
      </c>
      <c r="M257" t="s">
        <v>357</v>
      </c>
      <c r="P257">
        <v>15.6</v>
      </c>
      <c r="Q257">
        <f t="shared" si="0"/>
        <v>31.2</v>
      </c>
      <c r="R257" s="62">
        <v>79</v>
      </c>
      <c r="S257" s="62">
        <v>21.4</v>
      </c>
      <c r="T257">
        <v>34.1</v>
      </c>
      <c r="U257">
        <v>71</v>
      </c>
      <c r="V257">
        <v>1196</v>
      </c>
      <c r="W257">
        <v>20.399999999999999</v>
      </c>
      <c r="X257">
        <v>79</v>
      </c>
      <c r="Y257" t="s">
        <v>185</v>
      </c>
      <c r="AB257" s="7" t="s">
        <v>230</v>
      </c>
    </row>
    <row r="258" spans="1:28" x14ac:dyDescent="0.15">
      <c r="A258" cm="1">
        <f t="array" ref="A258">_xlfn.IFS(AND(C15&gt;=1,C15&lt;20),C258,AND(C15&gt;=20,C15&lt;40),D258,AND(C15&gt;=40,C15&lt;50),E258,AND(C15&gt;=50,C15&lt;60),F258,AND(C15&gt;=60,C15&lt;70),G258,AND(C15&gt;=70,C15&lt;80),H258,AND(C15&gt;=80,C15&lt;90),I258,C15=90,J258)</f>
        <v>0.24</v>
      </c>
      <c r="B258" s="24" t="s">
        <v>36</v>
      </c>
      <c r="C258" s="29" t="s">
        <v>132</v>
      </c>
      <c r="D258" s="30" t="s">
        <v>132</v>
      </c>
      <c r="E258" s="31">
        <v>0.06</v>
      </c>
      <c r="F258" s="31">
        <v>0.12</v>
      </c>
      <c r="G258" s="31">
        <v>0.12</v>
      </c>
      <c r="H258" s="31">
        <v>0.18</v>
      </c>
      <c r="I258" s="31">
        <v>0.24</v>
      </c>
      <c r="J258" s="32">
        <v>0.24</v>
      </c>
      <c r="M258" t="s">
        <v>358</v>
      </c>
      <c r="P258">
        <v>15.9</v>
      </c>
      <c r="Q258">
        <f t="shared" si="0"/>
        <v>31.8</v>
      </c>
      <c r="R258" s="62">
        <v>80</v>
      </c>
      <c r="S258" s="62">
        <v>21.9</v>
      </c>
      <c r="T258">
        <v>34.799999999999997</v>
      </c>
      <c r="U258">
        <v>72</v>
      </c>
      <c r="V258">
        <v>1225</v>
      </c>
      <c r="W258">
        <v>20.5</v>
      </c>
      <c r="X258">
        <v>80</v>
      </c>
      <c r="Y258" t="s">
        <v>186</v>
      </c>
      <c r="AB258" s="7" t="s">
        <v>203</v>
      </c>
    </row>
    <row r="259" spans="1:28" x14ac:dyDescent="0.2">
      <c r="B259" t="s">
        <v>247</v>
      </c>
      <c r="M259" t="s">
        <v>359</v>
      </c>
      <c r="P259">
        <v>16.2</v>
      </c>
      <c r="Q259">
        <f t="shared" si="0"/>
        <v>32.4</v>
      </c>
      <c r="R259" s="62">
        <v>81</v>
      </c>
      <c r="S259" s="62">
        <v>22</v>
      </c>
      <c r="T259">
        <v>35.6</v>
      </c>
      <c r="U259">
        <v>73</v>
      </c>
      <c r="V259">
        <v>1254</v>
      </c>
      <c r="W259">
        <v>20.6</v>
      </c>
      <c r="X259">
        <v>81</v>
      </c>
      <c r="Y259" t="s">
        <v>188</v>
      </c>
      <c r="AB259" s="7" t="s">
        <v>27</v>
      </c>
    </row>
    <row r="260" spans="1:28" ht="15" x14ac:dyDescent="0.2">
      <c r="A260" cm="1">
        <f t="array" ref="A260">_xlfn.IFS(AND(C15&gt;=1,C15&lt;20),C260,AND(C15&gt;=20,C15&lt;40),D260,AND(C15&gt;=40,C15&lt;50),E260,AND(C15&gt;=50,C15&lt;60),F260,AND(C15&gt;=60,C15&lt;70),G260,AND(C15&gt;=70,C15&lt;80),H260,AND(C15&gt;=80,C15&lt;90),I260,C15=90,J260)</f>
        <v>12506</v>
      </c>
      <c r="B260" s="15" t="s">
        <v>125</v>
      </c>
      <c r="C260" s="16">
        <v>1049</v>
      </c>
      <c r="D260" s="17">
        <v>3477</v>
      </c>
      <c r="E260" s="17">
        <v>5765</v>
      </c>
      <c r="F260" s="17">
        <v>7373</v>
      </c>
      <c r="G260" s="17">
        <v>8796</v>
      </c>
      <c r="H260" s="17">
        <v>10217</v>
      </c>
      <c r="I260" s="17">
        <v>11640</v>
      </c>
      <c r="J260" s="16">
        <v>12506</v>
      </c>
      <c r="M260" t="s">
        <v>360</v>
      </c>
      <c r="P260">
        <v>16.3</v>
      </c>
      <c r="Q260">
        <f t="shared" si="0"/>
        <v>32.6</v>
      </c>
      <c r="R260" s="62">
        <v>82</v>
      </c>
      <c r="S260" s="62">
        <v>22.1</v>
      </c>
      <c r="T260">
        <v>36.299999999999997</v>
      </c>
      <c r="U260">
        <v>74</v>
      </c>
      <c r="V260">
        <v>1255</v>
      </c>
      <c r="W260">
        <v>21</v>
      </c>
      <c r="X260">
        <v>82</v>
      </c>
      <c r="Y260" t="s">
        <v>190</v>
      </c>
      <c r="AB260" s="7" t="s">
        <v>254</v>
      </c>
    </row>
    <row r="261" spans="1:28" ht="15" x14ac:dyDescent="0.2">
      <c r="A261" cm="1">
        <f t="array" ref="A261">_xlfn.IFS(AND(C15&gt;=1,C15&lt;20),C261,AND(C15&gt;=20,C15&lt;40),D261,AND(C15&gt;=40,C15&lt;50),E261,AND(C15&gt;=50,C15&lt;60),F261,AND(C15&gt;=60,C15&lt;70),G261,AND(C15&gt;=70,C15&lt;80),H261,AND(C15&gt;=80,C15&lt;90),I261,C15=90,J261)</f>
        <v>713</v>
      </c>
      <c r="B261" s="15" t="s">
        <v>128</v>
      </c>
      <c r="C261" s="19">
        <v>60</v>
      </c>
      <c r="D261" s="18">
        <v>198</v>
      </c>
      <c r="E261" s="18">
        <v>329</v>
      </c>
      <c r="F261" s="18">
        <v>420</v>
      </c>
      <c r="G261" s="18">
        <v>502</v>
      </c>
      <c r="H261" s="18">
        <v>583</v>
      </c>
      <c r="I261" s="18">
        <v>664</v>
      </c>
      <c r="J261" s="19">
        <v>713</v>
      </c>
      <c r="M261" t="s">
        <v>361</v>
      </c>
      <c r="P261">
        <v>16.600000000000001</v>
      </c>
      <c r="Q261">
        <f t="shared" si="0"/>
        <v>33.200000000000003</v>
      </c>
      <c r="R261" s="62">
        <v>83</v>
      </c>
      <c r="S261" s="62">
        <v>22.5</v>
      </c>
      <c r="T261">
        <v>37</v>
      </c>
      <c r="U261">
        <v>75</v>
      </c>
      <c r="V261">
        <v>1284</v>
      </c>
      <c r="W261">
        <v>21.1</v>
      </c>
      <c r="X261">
        <v>83</v>
      </c>
      <c r="Y261" t="s">
        <v>192</v>
      </c>
      <c r="AB261" s="7" t="s">
        <v>237</v>
      </c>
    </row>
    <row r="262" spans="1:28" ht="15" x14ac:dyDescent="0.2">
      <c r="A262" cm="1">
        <f t="array" ref="A262">_xlfn.IFS(AND(C15&gt;=1,C15&lt;20),C262,AND(C15&gt;=20,C15&lt;40),D262,AND(C15&gt;=40,C15&lt;50),E262,AND(C15&gt;=50,C15&lt;60),F262,AND(C15&gt;=60,C15&lt;70),G262,AND(C15&gt;=70,C15&lt;80),H262,AND(C15&gt;=80,C15&lt;90),I262,C15=90,J262)</f>
        <v>223</v>
      </c>
      <c r="B262" s="15" t="s">
        <v>130</v>
      </c>
      <c r="C262" s="19">
        <v>18</v>
      </c>
      <c r="D262" s="18">
        <v>62</v>
      </c>
      <c r="E262" s="18">
        <v>102</v>
      </c>
      <c r="F262" s="18">
        <v>134</v>
      </c>
      <c r="G262" s="18">
        <v>156</v>
      </c>
      <c r="H262" s="18">
        <v>182</v>
      </c>
      <c r="I262" s="18">
        <v>207</v>
      </c>
      <c r="J262" s="19">
        <v>223</v>
      </c>
      <c r="M262" t="s">
        <v>362</v>
      </c>
      <c r="P262">
        <v>16.7</v>
      </c>
      <c r="Q262">
        <f t="shared" si="0"/>
        <v>33.4</v>
      </c>
      <c r="R262" s="62">
        <v>84</v>
      </c>
      <c r="S262" s="62">
        <v>22.6</v>
      </c>
      <c r="T262">
        <v>37.799999999999997</v>
      </c>
      <c r="U262">
        <v>76</v>
      </c>
      <c r="V262">
        <v>1285</v>
      </c>
      <c r="W262">
        <v>21.2</v>
      </c>
      <c r="X262">
        <v>84</v>
      </c>
      <c r="Y262" t="s">
        <v>194</v>
      </c>
      <c r="AB262" s="7" t="s">
        <v>238</v>
      </c>
    </row>
    <row r="263" spans="1:28" x14ac:dyDescent="0.2">
      <c r="A263" cm="1">
        <f t="array" ref="A263">_xlfn.IFS(AND(C15&gt;=1,C15&lt;20),C263,AND(C15&gt;=20,C15&lt;40),D263,AND(C15&gt;=40,C15&lt;50),E263,AND(C15&gt;=50,C15&lt;60),F263,AND(C15&gt;=60,C15&lt;70),G263,AND(C15&gt;=70,C15&lt;80),H263,AND(C15&gt;=80,C15&lt;90),I263,C15=90,J263)</f>
        <v>0.24</v>
      </c>
      <c r="B263" s="15" t="s">
        <v>159</v>
      </c>
      <c r="C263" s="20" t="s">
        <v>132</v>
      </c>
      <c r="D263" s="21" t="s">
        <v>132</v>
      </c>
      <c r="E263" s="22">
        <v>0.06</v>
      </c>
      <c r="F263" s="22">
        <v>0.12</v>
      </c>
      <c r="G263" s="22">
        <v>0.12</v>
      </c>
      <c r="H263" s="22">
        <v>0.18</v>
      </c>
      <c r="I263" s="22">
        <v>0.24</v>
      </c>
      <c r="J263" s="23">
        <v>0.24</v>
      </c>
      <c r="M263" t="s">
        <v>363</v>
      </c>
      <c r="P263">
        <v>17</v>
      </c>
      <c r="Q263">
        <f t="shared" si="0"/>
        <v>34</v>
      </c>
      <c r="R263" s="62">
        <v>85</v>
      </c>
      <c r="S263" s="62">
        <v>22.7</v>
      </c>
      <c r="T263">
        <v>38.5</v>
      </c>
      <c r="U263">
        <v>77</v>
      </c>
      <c r="V263">
        <v>1314</v>
      </c>
      <c r="W263">
        <v>21.5</v>
      </c>
      <c r="X263">
        <v>85</v>
      </c>
      <c r="Y263" t="s">
        <v>197</v>
      </c>
      <c r="AB263" s="7" t="s">
        <v>242</v>
      </c>
    </row>
    <row r="264" spans="1:28" x14ac:dyDescent="0.2">
      <c r="B264" t="s">
        <v>248</v>
      </c>
      <c r="M264" t="s">
        <v>364</v>
      </c>
      <c r="P264">
        <v>17.100000000000001</v>
      </c>
      <c r="Q264">
        <f t="shared" si="0"/>
        <v>34.200000000000003</v>
      </c>
      <c r="R264" s="62">
        <v>86</v>
      </c>
      <c r="S264" s="62">
        <v>23.2</v>
      </c>
      <c r="T264">
        <v>39.299999999999997</v>
      </c>
      <c r="U264">
        <v>78</v>
      </c>
      <c r="V264">
        <v>1315</v>
      </c>
      <c r="W264">
        <v>21.6</v>
      </c>
      <c r="X264">
        <v>86</v>
      </c>
      <c r="Y264" t="s">
        <v>199</v>
      </c>
      <c r="AB264" s="7" t="s">
        <v>244</v>
      </c>
    </row>
    <row r="265" spans="1:28" ht="15.75" x14ac:dyDescent="0.15">
      <c r="A265" cm="1">
        <f t="array" ref="A265">_xlfn.IFS(AND(C15&gt;=1,C15&lt;20),C265,AND(C15&gt;=20,C15&lt;40),D265,AND(C15&gt;=40,C15&lt;50),E265,AND(C15&gt;=50,C15&lt;60),F265,AND(C15&gt;=60,C15&lt;70),G265,AND(C15&gt;=70,C15&lt;80),H265,AND(C15&gt;=80,C15&lt;90),I265,C15=90,J265)</f>
        <v>11092</v>
      </c>
      <c r="B265" s="38" t="s">
        <v>125</v>
      </c>
      <c r="C265" s="39">
        <v>930</v>
      </c>
      <c r="D265" s="41">
        <v>3084</v>
      </c>
      <c r="E265" s="41">
        <v>5113</v>
      </c>
      <c r="F265" s="41">
        <v>6540</v>
      </c>
      <c r="G265" s="41">
        <v>7801</v>
      </c>
      <c r="H265" s="41">
        <v>9062</v>
      </c>
      <c r="I265" s="41">
        <v>10324</v>
      </c>
      <c r="J265" s="40">
        <v>11092</v>
      </c>
      <c r="M265" t="s">
        <v>365</v>
      </c>
      <c r="P265">
        <v>17.399999999999999</v>
      </c>
      <c r="Q265">
        <f t="shared" si="0"/>
        <v>34.799999999999997</v>
      </c>
      <c r="R265" s="62">
        <v>87</v>
      </c>
      <c r="S265" s="62">
        <v>23.3</v>
      </c>
      <c r="T265">
        <v>40</v>
      </c>
      <c r="U265">
        <v>79</v>
      </c>
      <c r="V265">
        <v>1344</v>
      </c>
      <c r="W265">
        <v>21.7</v>
      </c>
      <c r="X265">
        <v>87</v>
      </c>
      <c r="Y265" t="s">
        <v>201</v>
      </c>
      <c r="AB265" s="7" t="s">
        <v>250</v>
      </c>
    </row>
    <row r="266" spans="1:28" ht="15.75" x14ac:dyDescent="0.15">
      <c r="A266" cm="1">
        <f t="array" ref="A266">_xlfn.IFS(AND(C15&gt;=1,C15&lt;20),C266,AND(C15&gt;=20,C15&lt;40),D266,AND(C15&gt;=40,C15&lt;50),E266,AND(C15&gt;=50,C15&lt;60),F266,AND(C15&gt;=60,C15&lt;70),G266,AND(C15&gt;=70,C15&lt;80),H266,AND(C15&gt;=80,C15&lt;90),I266,C15=90,J266)</f>
        <v>655</v>
      </c>
      <c r="B266" s="38" t="s">
        <v>128</v>
      </c>
      <c r="C266" s="39">
        <v>55</v>
      </c>
      <c r="D266" s="42">
        <v>182</v>
      </c>
      <c r="E266" s="42">
        <v>302</v>
      </c>
      <c r="F266" s="42">
        <v>386</v>
      </c>
      <c r="G266" s="42">
        <v>461</v>
      </c>
      <c r="H266" s="42">
        <v>535</v>
      </c>
      <c r="I266" s="42">
        <v>610</v>
      </c>
      <c r="J266" s="39">
        <v>655</v>
      </c>
      <c r="M266" t="s">
        <v>366</v>
      </c>
      <c r="P266">
        <v>17.5</v>
      </c>
      <c r="Q266">
        <f t="shared" si="0"/>
        <v>35</v>
      </c>
      <c r="R266" s="62">
        <v>88</v>
      </c>
      <c r="S266" s="62">
        <v>23.4</v>
      </c>
      <c r="T266">
        <v>40.799999999999997</v>
      </c>
      <c r="U266">
        <v>80</v>
      </c>
      <c r="V266">
        <v>1345</v>
      </c>
      <c r="W266">
        <v>22.1</v>
      </c>
      <c r="X266">
        <v>88</v>
      </c>
      <c r="Y266" t="s">
        <v>202</v>
      </c>
      <c r="AB266" s="7" t="s">
        <v>259</v>
      </c>
    </row>
    <row r="267" spans="1:28" ht="15.75" x14ac:dyDescent="0.15">
      <c r="A267" cm="1">
        <f t="array" ref="A267">_xlfn.IFS(AND(C15&gt;=1,C15&lt;20),C267,AND(C15&gt;=20,C15&lt;40),D267,AND(C15&gt;=40,C15&lt;50),E267,AND(C15&gt;=50,C15&lt;60),F267,AND(C15&gt;=60,C15&lt;70),G267,AND(C15&gt;=70,C15&lt;80),H267,AND(C15&gt;=80,C15&lt;90),I267,C15=90,J267)</f>
        <v>216</v>
      </c>
      <c r="B267" s="38" t="s">
        <v>130</v>
      </c>
      <c r="C267" s="39">
        <v>18</v>
      </c>
      <c r="D267" s="42">
        <v>60</v>
      </c>
      <c r="E267" s="42">
        <v>100</v>
      </c>
      <c r="F267" s="42">
        <v>127</v>
      </c>
      <c r="G267" s="42">
        <v>152</v>
      </c>
      <c r="H267" s="42">
        <v>177</v>
      </c>
      <c r="I267" s="42">
        <v>202</v>
      </c>
      <c r="J267" s="39">
        <v>216</v>
      </c>
      <c r="M267" t="s">
        <v>367</v>
      </c>
      <c r="P267">
        <v>17.8</v>
      </c>
      <c r="Q267">
        <f t="shared" si="0"/>
        <v>35.6</v>
      </c>
      <c r="R267" s="62">
        <v>89</v>
      </c>
      <c r="S267" s="62">
        <v>23.8</v>
      </c>
      <c r="T267">
        <v>41.5</v>
      </c>
      <c r="U267">
        <v>81</v>
      </c>
      <c r="V267">
        <v>1374</v>
      </c>
      <c r="W267">
        <v>22.2</v>
      </c>
      <c r="X267">
        <v>89</v>
      </c>
      <c r="Y267" t="s">
        <v>204</v>
      </c>
      <c r="AB267" s="7" t="s">
        <v>483</v>
      </c>
    </row>
    <row r="268" spans="1:28" x14ac:dyDescent="0.2">
      <c r="A268" cm="1">
        <f t="array" ref="A268">_xlfn.IFS(AND(C15&gt;=1,C15&lt;20),C268,AND(C15&gt;=20,C15&lt;40),D268,AND(C15&gt;=40,C15&lt;50),E268,AND(C15&gt;=50,C15&lt;60),F268,AND(C15&gt;=60,C15&lt;70),G268,AND(C15&gt;=70,C15&lt;80),H268,AND(C15&gt;=80,C15&lt;90),I268,C15=90,J268)</f>
        <v>0.24</v>
      </c>
      <c r="B268" s="38" t="s">
        <v>159</v>
      </c>
      <c r="C268" s="43" t="s">
        <v>132</v>
      </c>
      <c r="D268" s="44" t="s">
        <v>132</v>
      </c>
      <c r="E268" s="45">
        <v>0.06</v>
      </c>
      <c r="F268" s="45">
        <v>0.12</v>
      </c>
      <c r="G268" s="45">
        <v>0.12</v>
      </c>
      <c r="H268" s="45">
        <v>0.18</v>
      </c>
      <c r="I268" s="45">
        <v>0.24</v>
      </c>
      <c r="J268" s="46">
        <v>0.24</v>
      </c>
      <c r="M268" t="s">
        <v>368</v>
      </c>
      <c r="P268">
        <v>17.899999999999999</v>
      </c>
      <c r="Q268">
        <f t="shared" si="0"/>
        <v>35.799999999999997</v>
      </c>
      <c r="R268" s="62">
        <v>90</v>
      </c>
      <c r="S268" s="62">
        <v>23.9</v>
      </c>
      <c r="T268">
        <v>42.3</v>
      </c>
      <c r="U268">
        <v>82</v>
      </c>
      <c r="V268">
        <v>1375</v>
      </c>
      <c r="W268">
        <v>22.7</v>
      </c>
      <c r="X268">
        <v>90</v>
      </c>
      <c r="Y268" t="s">
        <v>206</v>
      </c>
      <c r="AB268" s="7" t="s">
        <v>285</v>
      </c>
    </row>
    <row r="269" spans="1:28" x14ac:dyDescent="0.2">
      <c r="B269" t="s">
        <v>249</v>
      </c>
      <c r="M269" t="s">
        <v>369</v>
      </c>
      <c r="P269">
        <v>18.2</v>
      </c>
      <c r="Q269">
        <f t="shared" si="0"/>
        <v>36.4</v>
      </c>
      <c r="R269" s="62">
        <v>91</v>
      </c>
      <c r="S269" s="62">
        <v>24</v>
      </c>
      <c r="T269">
        <v>43.1</v>
      </c>
      <c r="U269">
        <v>83</v>
      </c>
      <c r="V269">
        <v>1404</v>
      </c>
      <c r="W269">
        <v>23.2</v>
      </c>
      <c r="X269">
        <v>91</v>
      </c>
      <c r="Y269" t="s">
        <v>208</v>
      </c>
      <c r="AB269" s="7" t="s">
        <v>262</v>
      </c>
    </row>
    <row r="270" spans="1:28" x14ac:dyDescent="0.15">
      <c r="A270" cm="1">
        <f t="array" ref="A270">_xlfn.IFS(AND(C15&gt;=1,C15&lt;20),C270,AND(C15&gt;=20,C15&lt;40),D270,AND(C15&gt;=40,C15&lt;50),E270,AND(C15&gt;=50,C15&lt;60),F270,AND(C15&gt;=60,C15&lt;70),G270,AND(C15&gt;=70,C15&lt;80),H270,AND(C15&gt;=80,C15&lt;90),I270,C15=90,J270)</f>
        <v>12289</v>
      </c>
      <c r="B270" s="24" t="s">
        <v>125</v>
      </c>
      <c r="C270" s="26">
        <v>1030</v>
      </c>
      <c r="D270" s="27">
        <v>3417</v>
      </c>
      <c r="E270" s="27">
        <v>5665</v>
      </c>
      <c r="F270" s="27">
        <v>7245</v>
      </c>
      <c r="G270" s="27">
        <v>8643</v>
      </c>
      <c r="H270" s="27">
        <v>10040</v>
      </c>
      <c r="I270" s="27">
        <v>11438</v>
      </c>
      <c r="J270" s="26">
        <v>12289</v>
      </c>
      <c r="M270" t="s">
        <v>370</v>
      </c>
      <c r="P270">
        <v>18.3</v>
      </c>
      <c r="Q270">
        <f t="shared" si="0"/>
        <v>36.6</v>
      </c>
      <c r="R270" s="62">
        <v>92</v>
      </c>
      <c r="S270" s="62">
        <v>24.5</v>
      </c>
      <c r="T270">
        <v>43.8</v>
      </c>
      <c r="U270">
        <v>84</v>
      </c>
      <c r="V270">
        <v>1405</v>
      </c>
      <c r="W270">
        <v>20.5</v>
      </c>
      <c r="X270">
        <v>92</v>
      </c>
      <c r="Y270" t="s">
        <v>210</v>
      </c>
      <c r="AB270" s="7" t="s">
        <v>263</v>
      </c>
    </row>
    <row r="271" spans="1:28" x14ac:dyDescent="0.15">
      <c r="A271" cm="1">
        <f t="array" ref="A271">_xlfn.IFS(AND(C15&gt;=1,C15&lt;20),C271,AND(C15&gt;=20,C15&lt;40),D271,AND(C15&gt;=40,C15&lt;50),E271,AND(C15&gt;=50,C15&lt;60),F271,AND(C15&gt;=60,C15&lt;70),G271,AND(C15&gt;=70,C15&lt;80),H271,AND(C15&gt;=80,C15&lt;90),I271,C15=90,J271)</f>
        <v>710</v>
      </c>
      <c r="B271" s="24" t="s">
        <v>128</v>
      </c>
      <c r="C271" s="25">
        <v>60</v>
      </c>
      <c r="D271" s="28">
        <v>197</v>
      </c>
      <c r="E271" s="28">
        <v>327</v>
      </c>
      <c r="F271" s="28">
        <v>418</v>
      </c>
      <c r="G271" s="28">
        <v>499</v>
      </c>
      <c r="H271" s="28">
        <v>580</v>
      </c>
      <c r="I271" s="28">
        <v>661</v>
      </c>
      <c r="J271" s="25">
        <v>710</v>
      </c>
      <c r="M271" t="s">
        <v>371</v>
      </c>
      <c r="P271">
        <v>18.600000000000001</v>
      </c>
      <c r="Q271">
        <f t="shared" si="0"/>
        <v>37.200000000000003</v>
      </c>
      <c r="R271" s="62">
        <v>93</v>
      </c>
      <c r="S271" s="62">
        <v>24.6</v>
      </c>
      <c r="U271">
        <v>85</v>
      </c>
      <c r="V271">
        <v>1434</v>
      </c>
      <c r="W271">
        <v>21.1</v>
      </c>
      <c r="X271">
        <v>93</v>
      </c>
      <c r="Y271" t="s">
        <v>211</v>
      </c>
      <c r="AB271" s="7" t="s">
        <v>264</v>
      </c>
    </row>
    <row r="272" spans="1:28" x14ac:dyDescent="0.15">
      <c r="A272" cm="1">
        <f t="array" ref="A272">_xlfn.IFS(AND(C15&gt;=1,C15&lt;20),C272,AND(C15&gt;=20,C15&lt;40),D272,AND(C15&gt;=40,C15&lt;50),E272,AND(C15&gt;=50,C15&lt;60),F272,AND(C15&gt;=60,C15&lt;70),G272,AND(C15&gt;=70,C15&lt;80),H272,AND(C15&gt;=80,C15&lt;90),I272,C15=90,J272)</f>
        <v>240</v>
      </c>
      <c r="B272" s="24" t="s">
        <v>130</v>
      </c>
      <c r="C272" s="25">
        <v>20</v>
      </c>
      <c r="D272" s="28">
        <v>66</v>
      </c>
      <c r="E272" s="28">
        <v>111</v>
      </c>
      <c r="F272" s="28">
        <v>142</v>
      </c>
      <c r="G272" s="28">
        <v>169</v>
      </c>
      <c r="H272" s="28">
        <v>196</v>
      </c>
      <c r="I272" s="28">
        <v>223</v>
      </c>
      <c r="J272" s="25">
        <v>240</v>
      </c>
      <c r="M272" t="s">
        <v>372</v>
      </c>
      <c r="P272">
        <v>18.7</v>
      </c>
      <c r="Q272">
        <f t="shared" si="0"/>
        <v>37.4</v>
      </c>
      <c r="R272" s="62">
        <v>94</v>
      </c>
      <c r="S272" s="62">
        <v>25.1</v>
      </c>
      <c r="U272">
        <v>86</v>
      </c>
      <c r="V272">
        <v>1435</v>
      </c>
      <c r="W272">
        <v>21.7</v>
      </c>
      <c r="X272">
        <v>94</v>
      </c>
      <c r="Y272" t="s">
        <v>213</v>
      </c>
      <c r="AB272" s="7" t="s">
        <v>270</v>
      </c>
    </row>
    <row r="273" spans="1:28" x14ac:dyDescent="0.15">
      <c r="A273" cm="1">
        <f t="array" ref="A273">_xlfn.IFS(AND(C15&gt;=1,C15&lt;20),C273,AND(C15&gt;=20,C15&lt;40),D273,AND(C15&gt;=40,C15&lt;50),E273,AND(C15&gt;=50,C15&lt;60),F273,AND(C15&gt;=60,C15&lt;70),G273,AND(C15&gt;=70,C15&lt;80),H273,AND(C15&gt;=80,C15&lt;90),I273,C15=90,J273)</f>
        <v>0.24</v>
      </c>
      <c r="B273" s="24" t="s">
        <v>36</v>
      </c>
      <c r="C273" s="29" t="s">
        <v>132</v>
      </c>
      <c r="D273" s="30" t="s">
        <v>132</v>
      </c>
      <c r="E273" s="31">
        <v>0.06</v>
      </c>
      <c r="F273" s="31">
        <v>0.12</v>
      </c>
      <c r="G273" s="31">
        <v>0.12</v>
      </c>
      <c r="H273" s="31">
        <v>0.18</v>
      </c>
      <c r="I273" s="31">
        <v>0.24</v>
      </c>
      <c r="J273" s="32">
        <v>0.24</v>
      </c>
      <c r="M273" t="s">
        <v>373</v>
      </c>
      <c r="P273">
        <v>19</v>
      </c>
      <c r="Q273">
        <f t="shared" si="0"/>
        <v>38</v>
      </c>
      <c r="R273" s="62">
        <v>95</v>
      </c>
      <c r="S273" s="62">
        <v>25.2</v>
      </c>
      <c r="U273">
        <v>87</v>
      </c>
      <c r="V273">
        <v>1464</v>
      </c>
      <c r="W273">
        <v>22.2</v>
      </c>
      <c r="X273">
        <v>95</v>
      </c>
      <c r="Y273" t="s">
        <v>215</v>
      </c>
      <c r="AB273" s="7" t="s">
        <v>289</v>
      </c>
    </row>
    <row r="274" spans="1:28" x14ac:dyDescent="0.2">
      <c r="B274" t="s">
        <v>250</v>
      </c>
      <c r="M274" t="s">
        <v>374</v>
      </c>
      <c r="P274">
        <v>19.100000000000001</v>
      </c>
      <c r="Q274">
        <f t="shared" si="0"/>
        <v>38.200000000000003</v>
      </c>
      <c r="R274" s="62">
        <v>96</v>
      </c>
      <c r="S274" s="62">
        <v>25.3</v>
      </c>
      <c r="U274">
        <v>88</v>
      </c>
      <c r="V274">
        <v>1465</v>
      </c>
      <c r="W274">
        <v>22.3</v>
      </c>
      <c r="X274">
        <v>96</v>
      </c>
      <c r="Y274" t="s">
        <v>217</v>
      </c>
      <c r="AB274" s="7" t="s">
        <v>272</v>
      </c>
    </row>
    <row r="275" spans="1:28" x14ac:dyDescent="0.15">
      <c r="A275" cm="1">
        <f t="array" ref="A275">_xlfn.IFS(AND(C15&gt;=1,C15&lt;20),C275,AND(C15&gt;=20,C15&lt;40),D275,AND(C15&gt;=40,C15&lt;50),E275,AND(C15&gt;=50,C15&lt;60),F275,AND(C15&gt;=60,C15&lt;70),G275,AND(C15&gt;=70,C15&lt;80),H275,AND(C15&gt;=80,C15&lt;90),I275,C15=90,J275)</f>
        <v>9570</v>
      </c>
      <c r="B275" s="24" t="s">
        <v>125</v>
      </c>
      <c r="C275" s="25">
        <v>802</v>
      </c>
      <c r="D275" s="27">
        <v>2661</v>
      </c>
      <c r="E275" s="27">
        <v>4411</v>
      </c>
      <c r="F275" s="33">
        <v>5642</v>
      </c>
      <c r="G275" s="33">
        <v>6734</v>
      </c>
      <c r="H275" s="33">
        <v>7818</v>
      </c>
      <c r="I275" s="27">
        <v>8907</v>
      </c>
      <c r="J275" s="26">
        <v>9570</v>
      </c>
      <c r="M275" t="s">
        <v>375</v>
      </c>
      <c r="P275">
        <v>19.399999999999999</v>
      </c>
      <c r="Q275">
        <f t="shared" si="0"/>
        <v>38.799999999999997</v>
      </c>
      <c r="R275" s="62">
        <v>97</v>
      </c>
      <c r="S275" s="62">
        <v>25.8</v>
      </c>
      <c r="U275">
        <v>89</v>
      </c>
      <c r="V275">
        <v>1494</v>
      </c>
      <c r="W275">
        <v>22.8</v>
      </c>
      <c r="X275">
        <v>97</v>
      </c>
      <c r="Y275" t="s">
        <v>219</v>
      </c>
      <c r="AB275" s="7" t="s">
        <v>274</v>
      </c>
    </row>
    <row r="276" spans="1:28" x14ac:dyDescent="0.15">
      <c r="A276" cm="1">
        <f t="array" ref="A276">_xlfn.IFS(AND(C15&gt;=1,C15&lt;20),C276,AND(C15&gt;=20,C15&lt;40),D276,AND(C15&gt;=40,C15&lt;50),E276,AND(C15&gt;=50,C15&lt;60),F276,AND(C15&gt;=60,C15&lt;70),G276,AND(C15&gt;=70,C15&lt;80),H276,AND(C15&gt;=80,C15&lt;90),I276,C15=90,J276)</f>
        <v>601</v>
      </c>
      <c r="B276" s="24" t="s">
        <v>128</v>
      </c>
      <c r="C276" s="25">
        <v>50</v>
      </c>
      <c r="D276" s="28">
        <v>167</v>
      </c>
      <c r="E276" s="28">
        <v>277</v>
      </c>
      <c r="F276" s="34">
        <v>354</v>
      </c>
      <c r="G276" s="34">
        <v>422</v>
      </c>
      <c r="H276" s="34">
        <v>491</v>
      </c>
      <c r="I276" s="28">
        <v>559</v>
      </c>
      <c r="J276" s="25">
        <v>601</v>
      </c>
      <c r="M276" t="s">
        <v>376</v>
      </c>
      <c r="P276">
        <v>19.5</v>
      </c>
      <c r="Q276">
        <f t="shared" si="0"/>
        <v>39</v>
      </c>
      <c r="R276" s="62">
        <v>98</v>
      </c>
      <c r="S276" s="62">
        <v>25.9</v>
      </c>
      <c r="U276">
        <v>90</v>
      </c>
      <c r="V276">
        <v>1495</v>
      </c>
      <c r="W276">
        <v>22.9</v>
      </c>
      <c r="X276">
        <v>98</v>
      </c>
      <c r="Y276" t="s">
        <v>221</v>
      </c>
      <c r="AB276" s="7" t="s">
        <v>275</v>
      </c>
    </row>
    <row r="277" spans="1:28" x14ac:dyDescent="0.15">
      <c r="A277" cm="1">
        <f t="array" ref="A277">_xlfn.IFS(AND(C15&gt;=1,C15&lt;20),C277,AND(C15&gt;=20,C15&lt;40),D277,AND(C15&gt;=40,C15&lt;50),E277,AND(C15&gt;=50,C15&lt;60),F277,AND(C15&gt;=60,C15&lt;70),G277,AND(C15&gt;=70,C15&lt;80),H277,AND(C15&gt;=80,C15&lt;90),I277,C15=90,J277)</f>
        <v>212</v>
      </c>
      <c r="B277" s="24" t="s">
        <v>130</v>
      </c>
      <c r="C277" s="25">
        <v>17</v>
      </c>
      <c r="D277" s="28">
        <v>59</v>
      </c>
      <c r="E277" s="28">
        <v>98</v>
      </c>
      <c r="F277" s="34">
        <v>125</v>
      </c>
      <c r="G277" s="34">
        <v>149</v>
      </c>
      <c r="H277" s="34">
        <v>174</v>
      </c>
      <c r="I277" s="28">
        <v>198</v>
      </c>
      <c r="J277" s="25">
        <v>212</v>
      </c>
      <c r="M277" t="s">
        <v>377</v>
      </c>
      <c r="P277">
        <v>19.8</v>
      </c>
      <c r="Q277">
        <f t="shared" si="0"/>
        <v>39.6</v>
      </c>
      <c r="R277" s="62">
        <v>99</v>
      </c>
      <c r="S277" s="62">
        <v>26</v>
      </c>
      <c r="U277">
        <v>91</v>
      </c>
      <c r="V277">
        <v>1524</v>
      </c>
      <c r="W277">
        <v>23.4</v>
      </c>
      <c r="X277">
        <v>99</v>
      </c>
      <c r="Y277" t="s">
        <v>223</v>
      </c>
      <c r="AB277" s="7" t="s">
        <v>281</v>
      </c>
    </row>
    <row r="278" spans="1:28" x14ac:dyDescent="0.15">
      <c r="A278" cm="1">
        <f t="array" ref="A278">_xlfn.IFS(AND(C15&gt;=1,C15&lt;20),C278,AND(C15&gt;=20,C15&lt;40),D278,AND(C15&gt;=40,C15&lt;50),E278,AND(C15&gt;=50,C15&lt;60),F278,AND(C15&gt;=60,C15&lt;70),G278,AND(C15&gt;=70,C15&lt;80),H278,AND(C15&gt;=80,C15&lt;90),I278,C15=90,J278)</f>
        <v>0.24</v>
      </c>
      <c r="B278" s="24" t="s">
        <v>327</v>
      </c>
      <c r="C278" s="29" t="s">
        <v>132</v>
      </c>
      <c r="D278" s="30" t="s">
        <v>132</v>
      </c>
      <c r="E278" s="31">
        <v>0.06</v>
      </c>
      <c r="F278" s="31">
        <v>0.12</v>
      </c>
      <c r="G278" s="31">
        <v>0.12</v>
      </c>
      <c r="H278" s="31">
        <v>0.18</v>
      </c>
      <c r="I278" s="31">
        <v>0.24</v>
      </c>
      <c r="J278" s="32">
        <v>0.24</v>
      </c>
      <c r="M278" t="s">
        <v>378</v>
      </c>
      <c r="P278">
        <v>20.2</v>
      </c>
      <c r="Q278">
        <f t="shared" si="0"/>
        <v>40.4</v>
      </c>
      <c r="R278" s="62">
        <v>100</v>
      </c>
      <c r="S278" s="62">
        <v>26.4</v>
      </c>
      <c r="U278">
        <v>92</v>
      </c>
      <c r="V278">
        <v>1554</v>
      </c>
      <c r="W278">
        <v>23.5</v>
      </c>
      <c r="X278">
        <v>100</v>
      </c>
      <c r="Y278" t="s">
        <v>225</v>
      </c>
    </row>
    <row r="279" spans="1:28" x14ac:dyDescent="0.2">
      <c r="B279" t="s">
        <v>251</v>
      </c>
      <c r="M279" t="s">
        <v>379</v>
      </c>
      <c r="P279">
        <v>20.6</v>
      </c>
      <c r="Q279">
        <f t="shared" si="0"/>
        <v>41.2</v>
      </c>
      <c r="R279" s="62">
        <v>101</v>
      </c>
      <c r="S279" s="62">
        <v>26.5</v>
      </c>
      <c r="U279">
        <v>93</v>
      </c>
      <c r="V279">
        <v>1584</v>
      </c>
      <c r="W279">
        <v>23.9</v>
      </c>
      <c r="X279">
        <v>101</v>
      </c>
      <c r="Y279" t="s">
        <v>227</v>
      </c>
      <c r="AB279" s="7" t="s">
        <v>283</v>
      </c>
    </row>
    <row r="280" spans="1:28" x14ac:dyDescent="0.15">
      <c r="A280" cm="1">
        <f t="array" ref="A280">_xlfn.IFS(AND(C15&gt;=1,C15&lt;20),C280,AND(C15&gt;=20,C15&lt;40),D280,AND(C15&gt;=40,C15&lt;50),E280,AND(C15&gt;=50,C15&lt;60),F280,AND(C15&gt;=60,C15&lt;70),G280,AND(C15&gt;=70,C15&lt;80),H280,AND(C15&gt;=80,C15&lt;90),I280,C15=90,J280)</f>
        <v>10984</v>
      </c>
      <c r="B280" s="24" t="s">
        <v>125</v>
      </c>
      <c r="C280" s="25">
        <v>921</v>
      </c>
      <c r="D280" s="27">
        <v>3054</v>
      </c>
      <c r="E280" s="27">
        <v>5063</v>
      </c>
      <c r="F280" s="33">
        <v>6475</v>
      </c>
      <c r="G280" s="27">
        <v>7725</v>
      </c>
      <c r="H280" s="27">
        <v>8974</v>
      </c>
      <c r="I280" s="27">
        <v>10223</v>
      </c>
      <c r="J280" s="26">
        <v>10984</v>
      </c>
      <c r="M280" t="s">
        <v>380</v>
      </c>
      <c r="P280">
        <v>21</v>
      </c>
      <c r="Q280">
        <f t="shared" si="0"/>
        <v>42</v>
      </c>
      <c r="R280" s="62">
        <v>102</v>
      </c>
      <c r="S280" s="62">
        <v>26.6</v>
      </c>
      <c r="U280">
        <v>94</v>
      </c>
      <c r="V280">
        <v>1614</v>
      </c>
      <c r="W280">
        <v>24</v>
      </c>
      <c r="X280">
        <v>102</v>
      </c>
      <c r="Y280" t="s">
        <v>229</v>
      </c>
      <c r="AB280" s="7" t="s">
        <v>284</v>
      </c>
    </row>
    <row r="281" spans="1:28" x14ac:dyDescent="0.15">
      <c r="A281" cm="1">
        <f t="array" ref="A281">_xlfn.IFS(AND(C15&gt;=1,C15&lt;20),C281,AND(C15&gt;=20,C15&lt;40),D281,AND(C15&gt;=40,C15&lt;50),E281,AND(C15&gt;=50,C15&lt;60),F281,AND(C15&gt;=60,C15&lt;70),G281,AND(C15&gt;=70,C15&lt;80),H281,AND(C15&gt;=80,C15&lt;90),I281,C15=90,J281)</f>
        <v>648</v>
      </c>
      <c r="B281" s="24" t="s">
        <v>128</v>
      </c>
      <c r="C281" s="25">
        <v>54</v>
      </c>
      <c r="D281" s="28">
        <v>180</v>
      </c>
      <c r="E281" s="28">
        <v>299</v>
      </c>
      <c r="F281" s="34">
        <v>382</v>
      </c>
      <c r="G281" s="28">
        <v>456</v>
      </c>
      <c r="H281" s="28">
        <v>530</v>
      </c>
      <c r="I281" s="28">
        <v>603</v>
      </c>
      <c r="J281" s="25">
        <v>648</v>
      </c>
      <c r="M281" t="s">
        <v>381</v>
      </c>
      <c r="P281">
        <v>21.4</v>
      </c>
      <c r="Q281">
        <f t="shared" si="0"/>
        <v>42.8</v>
      </c>
      <c r="R281" s="62">
        <v>103</v>
      </c>
      <c r="S281" s="62">
        <v>27</v>
      </c>
      <c r="U281">
        <v>95</v>
      </c>
      <c r="V281">
        <v>1644</v>
      </c>
      <c r="W281">
        <v>24.1</v>
      </c>
      <c r="X281">
        <v>103</v>
      </c>
      <c r="Y281" t="s">
        <v>231</v>
      </c>
      <c r="AB281" s="7" t="s">
        <v>294</v>
      </c>
    </row>
    <row r="282" spans="1:28" x14ac:dyDescent="0.15">
      <c r="A282" cm="1">
        <f t="array" ref="A282">_xlfn.IFS(AND(C15&gt;=1,C15&lt;20),C282,AND(C15&gt;=20,C15&lt;40),D282,AND(C15&gt;=40,C15&lt;50),E282,AND(C15&gt;=50,C15&lt;60),F282,AND(C15&gt;=60,C15&lt;70),G282,AND(C15&gt;=70,C15&lt;80),H282,AND(C15&gt;=80,C15&lt;90),I282,C15=90,J282)</f>
        <v>223</v>
      </c>
      <c r="B282" s="24" t="s">
        <v>130</v>
      </c>
      <c r="C282" s="25">
        <v>19</v>
      </c>
      <c r="D282" s="28">
        <v>62</v>
      </c>
      <c r="E282" s="28">
        <v>103</v>
      </c>
      <c r="F282" s="34">
        <v>134</v>
      </c>
      <c r="G282" s="28">
        <v>157</v>
      </c>
      <c r="H282" s="28">
        <v>182</v>
      </c>
      <c r="I282" s="28">
        <v>207</v>
      </c>
      <c r="J282" s="25">
        <v>223</v>
      </c>
      <c r="M282" t="s">
        <v>382</v>
      </c>
      <c r="P282">
        <v>21.8</v>
      </c>
      <c r="Q282">
        <f t="shared" si="0"/>
        <v>43.6</v>
      </c>
      <c r="R282" s="62">
        <v>104</v>
      </c>
      <c r="S282" s="62">
        <v>27.1</v>
      </c>
      <c r="U282">
        <v>96</v>
      </c>
      <c r="V282">
        <v>1674</v>
      </c>
      <c r="W282">
        <v>24.5</v>
      </c>
      <c r="X282">
        <v>104</v>
      </c>
      <c r="Y282" t="s">
        <v>233</v>
      </c>
      <c r="AB282" s="7" t="s">
        <v>295</v>
      </c>
    </row>
    <row r="283" spans="1:28" x14ac:dyDescent="0.15">
      <c r="A283" cm="1">
        <f t="array" ref="A283">_xlfn.IFS(AND(C15&gt;=1,C15&lt;20),C283,AND(C15&gt;=20,C15&lt;40),D283,AND(C15&gt;=40,C15&lt;50),E283,AND(C15&gt;=50,C15&lt;60),F283,AND(C15&gt;=60,C15&lt;70),G283,AND(C15&gt;=70,C15&lt;80),H283,AND(C15&gt;=80,C15&lt;90),I283,C15=90,J283)</f>
        <v>0.24</v>
      </c>
      <c r="B283" s="24" t="s">
        <v>36</v>
      </c>
      <c r="C283" s="29" t="s">
        <v>132</v>
      </c>
      <c r="D283" s="30" t="s">
        <v>132</v>
      </c>
      <c r="E283" s="31">
        <v>0.06</v>
      </c>
      <c r="F283" s="31">
        <v>0.12</v>
      </c>
      <c r="G283" s="31">
        <v>0.12</v>
      </c>
      <c r="H283" s="31">
        <v>0.18</v>
      </c>
      <c r="I283" s="31">
        <v>0.24</v>
      </c>
      <c r="J283" s="32">
        <v>0.24</v>
      </c>
      <c r="M283" t="s">
        <v>383</v>
      </c>
      <c r="P283">
        <v>22.2</v>
      </c>
      <c r="Q283">
        <f t="shared" ref="Q283:Q286" si="1">P283*2</f>
        <v>44.4</v>
      </c>
      <c r="R283" s="62">
        <v>105</v>
      </c>
      <c r="S283" s="62">
        <v>27.2</v>
      </c>
      <c r="U283">
        <v>97</v>
      </c>
      <c r="V283">
        <v>1704</v>
      </c>
      <c r="W283">
        <v>24.6</v>
      </c>
      <c r="X283">
        <v>105</v>
      </c>
      <c r="Y283" t="s">
        <v>234</v>
      </c>
    </row>
    <row r="284" spans="1:28" x14ac:dyDescent="0.2">
      <c r="B284" t="s">
        <v>252</v>
      </c>
      <c r="M284" t="s">
        <v>384</v>
      </c>
      <c r="P284">
        <v>22.6</v>
      </c>
      <c r="Q284">
        <f t="shared" si="1"/>
        <v>45.2</v>
      </c>
      <c r="R284" s="62">
        <v>106</v>
      </c>
      <c r="S284" s="62">
        <v>27.3</v>
      </c>
      <c r="U284">
        <v>98</v>
      </c>
      <c r="V284">
        <v>1734</v>
      </c>
      <c r="W284">
        <v>24.7</v>
      </c>
      <c r="X284">
        <v>106</v>
      </c>
      <c r="Y284" t="s">
        <v>236</v>
      </c>
    </row>
    <row r="285" spans="1:28" x14ac:dyDescent="0.15">
      <c r="A285" cm="1">
        <f t="array" ref="A285">_xlfn.IFS(AND(C15&gt;=1,C15&lt;20),C285,AND(C15&gt;=20,C15&lt;40),D285,AND(C15&gt;=40,C15&lt;50),E285,AND(C15&gt;=50,C15&lt;60),F285,AND(C15&gt;=60,C15&lt;70),G285,AND(C15&gt;=70,C15&lt;80),H285,AND(C15&gt;=80,C15&lt;90),I285,C15=90,J285)</f>
        <v>11634</v>
      </c>
      <c r="B285" s="24" t="s">
        <v>125</v>
      </c>
      <c r="C285" s="25">
        <v>976</v>
      </c>
      <c r="D285" s="27">
        <v>3235</v>
      </c>
      <c r="E285" s="27">
        <v>5344</v>
      </c>
      <c r="F285" s="33">
        <v>6860</v>
      </c>
      <c r="G285" s="33">
        <v>8184</v>
      </c>
      <c r="H285" s="27">
        <v>9507</v>
      </c>
      <c r="I285" s="27">
        <v>10830</v>
      </c>
      <c r="J285" s="26">
        <v>11634</v>
      </c>
      <c r="M285" t="s">
        <v>385</v>
      </c>
      <c r="P285">
        <v>23</v>
      </c>
      <c r="Q285">
        <f t="shared" si="1"/>
        <v>46</v>
      </c>
      <c r="R285" s="62">
        <v>107</v>
      </c>
      <c r="S285" s="62">
        <v>27.7</v>
      </c>
      <c r="U285">
        <v>99</v>
      </c>
      <c r="V285">
        <v>1764</v>
      </c>
      <c r="W285">
        <v>25.1</v>
      </c>
      <c r="X285">
        <v>107</v>
      </c>
      <c r="Y285" t="s">
        <v>49</v>
      </c>
      <c r="AB285" s="7" t="s">
        <v>255</v>
      </c>
    </row>
    <row r="286" spans="1:28" x14ac:dyDescent="0.15">
      <c r="A286" cm="1">
        <f t="array" ref="A286">_xlfn.IFS(AND(C15&gt;=1,C15&lt;20),C286,AND(C15&gt;=20,C15&lt;40),D286,AND(C15&gt;=40,C15&lt;50),E286,AND(C15&gt;=50,C15&lt;60),F286,AND(C15&gt;=60,C15&lt;70),G286,AND(C15&gt;=70,C15&lt;80),H286,AND(C15&gt;=80,C15&lt;90),I286,C15=90,J286)</f>
        <v>792</v>
      </c>
      <c r="B286" s="24" t="s">
        <v>128</v>
      </c>
      <c r="C286" s="25">
        <v>66</v>
      </c>
      <c r="D286" s="28">
        <v>220</v>
      </c>
      <c r="E286" s="28">
        <v>345</v>
      </c>
      <c r="F286" s="34">
        <v>467</v>
      </c>
      <c r="G286" s="34">
        <v>557</v>
      </c>
      <c r="H286" s="28">
        <v>647</v>
      </c>
      <c r="I286" s="28">
        <v>737</v>
      </c>
      <c r="J286" s="25">
        <v>792</v>
      </c>
      <c r="M286" t="s">
        <v>386</v>
      </c>
      <c r="P286">
        <v>23.4</v>
      </c>
      <c r="Q286">
        <f t="shared" si="1"/>
        <v>46.8</v>
      </c>
      <c r="R286" s="62">
        <v>108</v>
      </c>
      <c r="S286" s="62">
        <v>27.8</v>
      </c>
      <c r="U286">
        <v>100</v>
      </c>
      <c r="V286">
        <v>1794</v>
      </c>
      <c r="W286">
        <v>25.2</v>
      </c>
      <c r="X286">
        <v>108</v>
      </c>
      <c r="Y286" t="s">
        <v>239</v>
      </c>
      <c r="AB286" s="7" t="s">
        <v>256</v>
      </c>
    </row>
    <row r="287" spans="1:28" x14ac:dyDescent="0.15">
      <c r="A287" cm="1">
        <f t="array" ref="A287">_xlfn.IFS(AND(C15&gt;=1,C15&lt;20),C287,AND(C15&gt;=20,C15&lt;40),D287,AND(C15&gt;=40,C15&lt;50),E287,AND(C15&gt;=50,C15&lt;60),F287,AND(C15&gt;=60,C15&lt;70),G287,AND(C15&gt;=70,C15&lt;80),H287,AND(C15&gt;=80,C15&lt;90),I287,C15=90,J287)</f>
        <v>223</v>
      </c>
      <c r="B287" s="24" t="s">
        <v>130</v>
      </c>
      <c r="C287" s="25">
        <v>19</v>
      </c>
      <c r="D287" s="28">
        <v>62</v>
      </c>
      <c r="E287" s="28">
        <v>103</v>
      </c>
      <c r="F287" s="34">
        <v>134</v>
      </c>
      <c r="G287" s="34">
        <v>157</v>
      </c>
      <c r="H287" s="28">
        <v>182</v>
      </c>
      <c r="I287" s="28">
        <v>208</v>
      </c>
      <c r="J287" s="25">
        <v>223</v>
      </c>
      <c r="M287" t="s">
        <v>387</v>
      </c>
      <c r="R287" s="62">
        <v>109</v>
      </c>
      <c r="S287" s="62">
        <v>27.9</v>
      </c>
      <c r="U287">
        <v>101</v>
      </c>
      <c r="W287">
        <v>25.3</v>
      </c>
      <c r="X287">
        <v>109</v>
      </c>
      <c r="Y287" t="s">
        <v>241</v>
      </c>
    </row>
    <row r="288" spans="1:28" x14ac:dyDescent="0.15">
      <c r="A288" cm="1">
        <f t="array" ref="A288">_xlfn.IFS(AND(C15&gt;=1,C15&lt;20),C288,AND(C15&gt;=20,C15&lt;40),D288,AND(C15&gt;=40,C15&lt;50),E288,AND(C15&gt;=50,C15&lt;60),F288,AND(C15&gt;=60,C15&lt;70),G288,AND(C15&gt;=70,C15&lt;80),H288,AND(C15&gt;=80,C15&lt;90),I288,C15=90,J288)</f>
        <v>0.26700000000000002</v>
      </c>
      <c r="B288" s="24" t="s">
        <v>39</v>
      </c>
      <c r="C288" s="29" t="s">
        <v>132</v>
      </c>
      <c r="D288" s="30" t="s">
        <v>132</v>
      </c>
      <c r="E288" s="31">
        <v>6.7000000000000004E-2</v>
      </c>
      <c r="F288" s="31">
        <v>0.13300000000000001</v>
      </c>
      <c r="G288" s="31">
        <v>0.13300000000000001</v>
      </c>
      <c r="H288" s="31">
        <v>0.2</v>
      </c>
      <c r="I288" s="31">
        <v>0.26700000000000002</v>
      </c>
      <c r="J288" s="32">
        <v>0.26700000000000002</v>
      </c>
      <c r="M288" t="s">
        <v>388</v>
      </c>
      <c r="R288" s="62">
        <v>110</v>
      </c>
      <c r="S288" s="62">
        <v>28.3</v>
      </c>
      <c r="U288">
        <v>102</v>
      </c>
      <c r="W288">
        <v>25.6</v>
      </c>
      <c r="X288">
        <v>110</v>
      </c>
      <c r="Y288" t="s">
        <v>243</v>
      </c>
    </row>
    <row r="289" spans="1:25" x14ac:dyDescent="0.2">
      <c r="B289" t="s">
        <v>253</v>
      </c>
      <c r="M289" t="s">
        <v>389</v>
      </c>
      <c r="R289" s="62">
        <v>111</v>
      </c>
      <c r="S289" s="62">
        <v>28.4</v>
      </c>
      <c r="U289">
        <v>103</v>
      </c>
      <c r="W289">
        <v>25.7</v>
      </c>
      <c r="X289">
        <v>111</v>
      </c>
      <c r="Y289" t="s">
        <v>245</v>
      </c>
    </row>
    <row r="290" spans="1:25" x14ac:dyDescent="0.15">
      <c r="A290" cm="1">
        <f t="array" ref="A290">_xlfn.IFS(AND(C15&gt;=1,C15&lt;20),C290,AND(C15&gt;=20,C15&lt;40),D290,AND(C15&gt;=40,C15&lt;50),E290,AND(C15&gt;=50,C15&lt;60),F290,AND(C15&gt;=60,C15&lt;70),G290,AND(C15&gt;=70,C15&lt;80),H290,AND(C15&gt;=80,C15&lt;90),I290,C15=90,J290)</f>
        <v>12956</v>
      </c>
      <c r="B290" s="24" t="s">
        <v>125</v>
      </c>
      <c r="C290" s="26">
        <v>1009</v>
      </c>
      <c r="D290" s="27">
        <v>3481</v>
      </c>
      <c r="E290" s="27">
        <v>5823</v>
      </c>
      <c r="F290" s="27">
        <v>7519</v>
      </c>
      <c r="G290" s="27">
        <v>9019</v>
      </c>
      <c r="H290" s="27">
        <v>10527</v>
      </c>
      <c r="I290" s="27">
        <v>12045</v>
      </c>
      <c r="J290" s="26">
        <v>12956</v>
      </c>
      <c r="M290" t="s">
        <v>390</v>
      </c>
      <c r="R290" s="62">
        <v>112</v>
      </c>
      <c r="S290" s="62">
        <v>28.5</v>
      </c>
      <c r="U290">
        <v>104</v>
      </c>
      <c r="W290">
        <v>25.8</v>
      </c>
      <c r="X290">
        <v>112</v>
      </c>
    </row>
    <row r="291" spans="1:25" x14ac:dyDescent="0.15">
      <c r="A291" cm="1">
        <f t="array" ref="A291">_xlfn.IFS(AND(C15&gt;=1,C15&lt;20),C291,AND(C15&gt;=20,C15&lt;40),D291,AND(C15&gt;=40,C15&lt;50),E291,AND(C15&gt;=50,C15&lt;60),F291,AND(C15&gt;=60,C15&lt;70),G291,AND(C15&gt;=70,C15&lt;80),H291,AND(C15&gt;=80,C15&lt;90),I291,C15=90,J291)</f>
        <v>784</v>
      </c>
      <c r="B291" s="24" t="s">
        <v>128</v>
      </c>
      <c r="C291" s="25">
        <v>61</v>
      </c>
      <c r="D291" s="28">
        <v>211</v>
      </c>
      <c r="E291" s="28">
        <v>352</v>
      </c>
      <c r="F291" s="28">
        <v>455</v>
      </c>
      <c r="G291" s="28">
        <v>546</v>
      </c>
      <c r="H291" s="28">
        <v>637</v>
      </c>
      <c r="I291" s="28">
        <v>729</v>
      </c>
      <c r="J291" s="25">
        <v>784</v>
      </c>
      <c r="M291" t="s">
        <v>391</v>
      </c>
      <c r="R291" s="62">
        <v>113</v>
      </c>
      <c r="S291" s="62">
        <v>28.6</v>
      </c>
      <c r="U291">
        <v>105</v>
      </c>
      <c r="W291">
        <v>25.9</v>
      </c>
      <c r="X291">
        <v>113</v>
      </c>
    </row>
    <row r="292" spans="1:25" x14ac:dyDescent="0.15">
      <c r="A292" cm="1">
        <f t="array" ref="A292">_xlfn.IFS(AND(C15&gt;=1,C15&lt;20),C292,AND(C15&gt;=20,C15&lt;40),D292,AND(C15&gt;=40,C15&lt;50),E292,AND(C15&gt;=50,C15&lt;60),F292,AND(C15&gt;=60,C15&lt;70),G292,AND(C15&gt;=70,C15&lt;80),H292,AND(C15&gt;=80,C15&lt;90),I292,C15=90,J292)</f>
        <v>338</v>
      </c>
      <c r="B292" s="24" t="s">
        <v>130</v>
      </c>
      <c r="C292" s="25">
        <v>26</v>
      </c>
      <c r="D292" s="28">
        <v>90</v>
      </c>
      <c r="E292" s="28">
        <v>151</v>
      </c>
      <c r="F292" s="28">
        <v>196</v>
      </c>
      <c r="G292" s="28">
        <v>235</v>
      </c>
      <c r="H292" s="28">
        <v>274</v>
      </c>
      <c r="I292" s="28">
        <v>343</v>
      </c>
      <c r="J292" s="25">
        <v>338</v>
      </c>
      <c r="M292" t="s">
        <v>392</v>
      </c>
      <c r="R292" s="62">
        <v>114</v>
      </c>
      <c r="S292" s="62">
        <v>29</v>
      </c>
      <c r="U292">
        <v>106</v>
      </c>
      <c r="W292">
        <v>26.2</v>
      </c>
      <c r="X292">
        <v>114</v>
      </c>
    </row>
    <row r="293" spans="1:25" x14ac:dyDescent="0.15">
      <c r="A293" cm="1">
        <f t="array" ref="A293">_xlfn.IFS(AND(C15&gt;=1,C15&lt;20),C293,AND(C15&gt;=20,C15&lt;40),D293,AND(C15&gt;=40,C15&lt;50),E293,AND(C15&gt;=50,C15&lt;60),F293,AND(C15&gt;=60,C15&lt;70),G293,AND(C15&gt;=70,C15&lt;80),H293,AND(C15&gt;=80,C15&lt;90),I293,C15=90,J293)</f>
        <v>0.192</v>
      </c>
      <c r="B293" s="24" t="s">
        <v>37</v>
      </c>
      <c r="C293" s="29" t="s">
        <v>132</v>
      </c>
      <c r="D293" s="30" t="s">
        <v>132</v>
      </c>
      <c r="E293" s="31">
        <v>4.8000000000000001E-2</v>
      </c>
      <c r="F293" s="31">
        <v>9.6000000000000002E-2</v>
      </c>
      <c r="G293" s="31">
        <v>9.6000000000000002E-2</v>
      </c>
      <c r="H293" s="31">
        <v>0.14399999999999999</v>
      </c>
      <c r="I293" s="31">
        <v>0.192</v>
      </c>
      <c r="J293" s="32">
        <v>0.192</v>
      </c>
      <c r="M293" t="s">
        <v>393</v>
      </c>
      <c r="R293" s="62">
        <v>115</v>
      </c>
      <c r="S293" s="62">
        <v>29.1</v>
      </c>
      <c r="U293">
        <v>107</v>
      </c>
      <c r="W293">
        <v>26.3</v>
      </c>
      <c r="X293">
        <v>115</v>
      </c>
    </row>
    <row r="294" spans="1:25" x14ac:dyDescent="0.2">
      <c r="B294" t="s">
        <v>254</v>
      </c>
      <c r="M294" t="s">
        <v>394</v>
      </c>
      <c r="R294" s="62">
        <v>116</v>
      </c>
      <c r="S294" s="62">
        <v>29.2</v>
      </c>
      <c r="U294">
        <v>108</v>
      </c>
      <c r="W294">
        <v>26.4</v>
      </c>
      <c r="X294">
        <v>116</v>
      </c>
    </row>
    <row r="295" spans="1:25" x14ac:dyDescent="0.15">
      <c r="A295" cm="1">
        <f t="array" ref="A295">_xlfn.IFS(AND(C15&gt;=1,C15&lt;20),C295,AND(C15&gt;=20,C15&lt;40),D295,AND(C15&gt;=40,C15&lt;50),E295,AND(C15&gt;=50,C15&lt;60),F295,AND(C15&gt;=60,C15&lt;70),G295,AND(C15&gt;=70,C15&lt;80),H295,AND(C15&gt;=80,C15&lt;90),I295,C15=90,J295)</f>
        <v>12491</v>
      </c>
      <c r="B295" s="24" t="s">
        <v>125</v>
      </c>
      <c r="C295" s="25">
        <v>972</v>
      </c>
      <c r="D295" s="27">
        <v>3356</v>
      </c>
      <c r="E295" s="27">
        <v>5614</v>
      </c>
      <c r="F295" s="27">
        <v>7249</v>
      </c>
      <c r="G295" s="27">
        <v>8695</v>
      </c>
      <c r="H295" s="27">
        <v>10149</v>
      </c>
      <c r="I295" s="27">
        <v>11613</v>
      </c>
      <c r="J295" s="26">
        <v>12491</v>
      </c>
      <c r="M295" t="s">
        <v>395</v>
      </c>
      <c r="R295" s="62">
        <v>117</v>
      </c>
      <c r="S295" s="62">
        <v>29.6</v>
      </c>
      <c r="U295">
        <v>109</v>
      </c>
      <c r="W295">
        <v>26.5</v>
      </c>
      <c r="X295">
        <v>117</v>
      </c>
    </row>
    <row r="296" spans="1:25" x14ac:dyDescent="0.15">
      <c r="A296" cm="1">
        <f t="array" ref="A296">_xlfn.IFS(AND(C15&gt;=1,C15&lt;20),C296,AND(C15&gt;=20,C15&lt;40),D296,AND(C15&gt;=40,C15&lt;50),E296,AND(C15&gt;=50,C15&lt;60),F296,AND(C15&gt;=60,C15&lt;70),G296,AND(C15&gt;=70,C15&lt;80),H296,AND(C15&gt;=80,C15&lt;90),I296,C15=90,J296)</f>
        <v>859</v>
      </c>
      <c r="B296" s="24" t="s">
        <v>128</v>
      </c>
      <c r="C296" s="25">
        <v>67</v>
      </c>
      <c r="D296" s="28">
        <v>234</v>
      </c>
      <c r="E296" s="28">
        <v>386</v>
      </c>
      <c r="F296" s="28">
        <v>499</v>
      </c>
      <c r="G296" s="28">
        <v>598</v>
      </c>
      <c r="H296" s="28">
        <v>698</v>
      </c>
      <c r="I296" s="28">
        <v>799</v>
      </c>
      <c r="J296" s="25">
        <v>859</v>
      </c>
      <c r="M296" t="s">
        <v>396</v>
      </c>
      <c r="R296" s="62">
        <v>118</v>
      </c>
      <c r="S296" s="62">
        <v>29.7</v>
      </c>
      <c r="U296">
        <v>110</v>
      </c>
      <c r="W296">
        <v>26.8</v>
      </c>
      <c r="X296">
        <v>118</v>
      </c>
    </row>
    <row r="297" spans="1:25" x14ac:dyDescent="0.15">
      <c r="A297" cm="1">
        <f t="array" ref="A297">_xlfn.IFS(AND(C15&gt;=1,C15&lt;20),C297,AND(C15&gt;=20,C15&lt;40),D297,AND(C15&gt;=40,C15&lt;50),E297,AND(C15&gt;=50,C15&lt;60),F297,AND(C15&gt;=60,C15&lt;70),G297,AND(C15&gt;=70,C15&lt;80),H297,AND(C15&gt;=80,C15&lt;90),I297,C15=90,J297)</f>
        <v>348</v>
      </c>
      <c r="B297" s="24" t="s">
        <v>130</v>
      </c>
      <c r="C297" s="25">
        <v>25</v>
      </c>
      <c r="D297" s="28">
        <v>85</v>
      </c>
      <c r="E297" s="28">
        <v>143</v>
      </c>
      <c r="F297" s="28">
        <v>184</v>
      </c>
      <c r="G297" s="28">
        <v>221</v>
      </c>
      <c r="H297" s="28">
        <v>258</v>
      </c>
      <c r="I297" s="28">
        <v>295</v>
      </c>
      <c r="J297" s="25">
        <v>348</v>
      </c>
      <c r="M297" t="s">
        <v>397</v>
      </c>
      <c r="R297" s="62">
        <v>119</v>
      </c>
      <c r="S297" s="62">
        <v>29.8</v>
      </c>
      <c r="U297">
        <v>111</v>
      </c>
      <c r="W297">
        <v>26.9</v>
      </c>
      <c r="X297">
        <v>119</v>
      </c>
    </row>
    <row r="298" spans="1:25" x14ac:dyDescent="0.15">
      <c r="A298" cm="1">
        <f t="array" ref="A298">_xlfn.IFS(AND(C15&gt;=1,C15&lt;20),C298,AND(C15&gt;=20,C15&lt;40),D298,AND(C15&gt;=40,C15&lt;50),E298,AND(C15&gt;=50,C15&lt;60),F298,AND(C15&gt;=60,C15&lt;70),G298,AND(C15&gt;=70,C15&lt;80),H298,AND(C15&gt;=80,C15&lt;90),I298,C15=90,J298)</f>
        <v>0.38400000000000001</v>
      </c>
      <c r="B298" s="24" t="s">
        <v>38</v>
      </c>
      <c r="C298" s="29" t="s">
        <v>132</v>
      </c>
      <c r="D298" s="30" t="s">
        <v>132</v>
      </c>
      <c r="E298" s="31">
        <v>9.6000000000000002E-2</v>
      </c>
      <c r="F298" s="31">
        <v>0.192</v>
      </c>
      <c r="G298" s="31">
        <v>0.192</v>
      </c>
      <c r="H298" s="31">
        <v>0.28799999999999998</v>
      </c>
      <c r="I298" s="31">
        <v>0.38400000000000001</v>
      </c>
      <c r="J298" s="32">
        <v>0.38400000000000001</v>
      </c>
      <c r="M298" t="s">
        <v>398</v>
      </c>
      <c r="R298" s="62">
        <v>120</v>
      </c>
      <c r="S298" s="62">
        <v>29.9</v>
      </c>
      <c r="U298">
        <v>112</v>
      </c>
      <c r="W298">
        <v>27</v>
      </c>
      <c r="X298">
        <v>120</v>
      </c>
    </row>
    <row r="299" spans="1:25" x14ac:dyDescent="0.2">
      <c r="B299" t="s">
        <v>255</v>
      </c>
      <c r="M299" t="s">
        <v>399</v>
      </c>
      <c r="R299" s="62">
        <v>121</v>
      </c>
      <c r="S299" s="62">
        <v>30.3</v>
      </c>
      <c r="U299">
        <v>113</v>
      </c>
      <c r="W299">
        <v>27.3</v>
      </c>
      <c r="X299">
        <v>121</v>
      </c>
    </row>
    <row r="300" spans="1:25" x14ac:dyDescent="0.15">
      <c r="A300" cm="1">
        <f t="array" ref="A300">_xlfn.IFS(AND(C15&gt;=1,C15&lt;20),C300,AND(C15&gt;=20,C15&lt;40),D300,AND(C15&gt;=40,C15&lt;50),E300,AND(C15&gt;=50,C15&lt;60),F300,AND(C15&gt;=60,C15&lt;70),G300,AND(C15&gt;=70,C15&lt;80),H300,AND(C15&gt;=80,C15&lt;90),I300,C15=90,J300)</f>
        <v>10372</v>
      </c>
      <c r="B300" s="24" t="s">
        <v>125</v>
      </c>
      <c r="C300" s="25">
        <v>807</v>
      </c>
      <c r="D300" s="27">
        <v>2787</v>
      </c>
      <c r="E300" s="27">
        <v>4662</v>
      </c>
      <c r="F300" s="27">
        <v>6020</v>
      </c>
      <c r="G300" s="27">
        <v>7220</v>
      </c>
      <c r="H300" s="27">
        <v>8428</v>
      </c>
      <c r="I300" s="27">
        <v>9643</v>
      </c>
      <c r="J300" s="26">
        <v>10372</v>
      </c>
      <c r="M300" t="s">
        <v>400</v>
      </c>
      <c r="R300" s="62">
        <v>122</v>
      </c>
      <c r="S300" s="62">
        <v>30.4</v>
      </c>
      <c r="U300">
        <v>114</v>
      </c>
      <c r="W300">
        <v>27.4</v>
      </c>
      <c r="X300">
        <v>122</v>
      </c>
    </row>
    <row r="301" spans="1:25" x14ac:dyDescent="0.15">
      <c r="A301" cm="1">
        <f t="array" ref="A301">_xlfn.IFS(AND(C15&gt;=1,C15&lt;20),C301,AND(C15&gt;=20,C15&lt;40),D301,AND(C15&gt;=40,C15&lt;50),E301,AND(C15&gt;=50,C15&lt;60),F301,AND(C15&gt;=60,C15&lt;70),G301,AND(C15&gt;=70,C15&lt;80),H301,AND(C15&gt;=80,C15&lt;90),I301,C15=90,J301)</f>
        <v>569</v>
      </c>
      <c r="B301" s="24" t="s">
        <v>128</v>
      </c>
      <c r="C301" s="25">
        <v>44</v>
      </c>
      <c r="D301" s="28">
        <v>153</v>
      </c>
      <c r="E301" s="28">
        <v>256</v>
      </c>
      <c r="F301" s="28">
        <v>330</v>
      </c>
      <c r="G301" s="28">
        <v>396</v>
      </c>
      <c r="H301" s="28">
        <v>462</v>
      </c>
      <c r="I301" s="28">
        <v>529</v>
      </c>
      <c r="J301" s="25">
        <v>569</v>
      </c>
      <c r="M301" t="s">
        <v>401</v>
      </c>
      <c r="R301" s="62">
        <v>123</v>
      </c>
      <c r="S301" s="62">
        <v>30.5</v>
      </c>
      <c r="W301">
        <v>27.5</v>
      </c>
      <c r="X301">
        <v>123</v>
      </c>
    </row>
    <row r="302" spans="1:25" x14ac:dyDescent="0.15">
      <c r="A302" cm="1">
        <f t="array" ref="A302">_xlfn.IFS(AND(C15&gt;=1,C15&lt;20),C302,AND(C15&gt;=20,C15&lt;40),D302,AND(C15&gt;=40,C15&lt;50),E302,AND(C15&gt;=50,C15&lt;60),F302,AND(C15&gt;=60,C15&lt;70),G302,AND(C15&gt;=70,C15&lt;80),H302,AND(C15&gt;=80,C15&lt;90),I302,C15=90,J302)</f>
        <v>340</v>
      </c>
      <c r="B302" s="24" t="s">
        <v>130</v>
      </c>
      <c r="C302" s="25">
        <v>26</v>
      </c>
      <c r="D302" s="28">
        <v>91</v>
      </c>
      <c r="E302" s="28">
        <v>153</v>
      </c>
      <c r="F302" s="28">
        <v>197</v>
      </c>
      <c r="G302" s="28">
        <v>234</v>
      </c>
      <c r="H302" s="28">
        <v>276</v>
      </c>
      <c r="I302" s="28">
        <v>346</v>
      </c>
      <c r="J302" s="25">
        <v>340</v>
      </c>
      <c r="M302" t="s">
        <v>402</v>
      </c>
      <c r="R302" s="62">
        <v>124</v>
      </c>
      <c r="S302" s="62">
        <v>30.9</v>
      </c>
      <c r="W302">
        <v>27.9</v>
      </c>
      <c r="X302">
        <v>124</v>
      </c>
    </row>
    <row r="303" spans="1:25" x14ac:dyDescent="0.15">
      <c r="A303" cm="1">
        <f t="array" ref="A303">_xlfn.IFS(AND(C15&gt;=1,C15&lt;20),C303,AND(C15&gt;=20,C15&lt;40),D303,AND(C15&gt;=40,C15&lt;50),E303,AND(C15&gt;=50,C15&lt;60),F303,AND(C15&gt;=60,C15&lt;70),G303,AND(C15&gt;=70,C15&lt;80),H303,AND(C15&gt;=80,C15&lt;90),I303,C15=90,J303)</f>
        <v>0.192</v>
      </c>
      <c r="B303" s="24" t="s">
        <v>37</v>
      </c>
      <c r="C303" s="29" t="s">
        <v>132</v>
      </c>
      <c r="D303" s="30" t="s">
        <v>132</v>
      </c>
      <c r="E303" s="31">
        <v>4.8000000000000001E-2</v>
      </c>
      <c r="F303" s="31">
        <v>9.6000000000000002E-2</v>
      </c>
      <c r="G303" s="31">
        <v>9.6000000000000002E-2</v>
      </c>
      <c r="H303" s="31">
        <v>0.14399999999999999</v>
      </c>
      <c r="I303" s="31">
        <v>0.192</v>
      </c>
      <c r="J303" s="32">
        <v>0.192</v>
      </c>
      <c r="M303" t="s">
        <v>403</v>
      </c>
      <c r="R303" s="62">
        <v>125</v>
      </c>
      <c r="S303" s="62">
        <v>31</v>
      </c>
      <c r="W303">
        <v>28</v>
      </c>
      <c r="X303">
        <v>125</v>
      </c>
    </row>
    <row r="304" spans="1:25" x14ac:dyDescent="0.2">
      <c r="B304" t="s">
        <v>256</v>
      </c>
      <c r="M304" t="s">
        <v>404</v>
      </c>
      <c r="R304" s="62">
        <v>126</v>
      </c>
      <c r="S304" s="62">
        <v>31.1</v>
      </c>
      <c r="W304">
        <v>28.5</v>
      </c>
      <c r="X304">
        <v>126</v>
      </c>
    </row>
    <row r="305" spans="1:24" ht="15" x14ac:dyDescent="0.2">
      <c r="A305" cm="1">
        <f t="array" ref="A305">_xlfn.IFS(AND(C15&gt;=1,C15&lt;20),C305,AND(C15&gt;=20,C15&lt;40),D305,AND(C15&gt;=40,C15&lt;50),E305,AND(C15&gt;=50,C15&lt;60),F305,AND(C15&gt;=60,C15&lt;70),G305,AND(C15&gt;=70,C15&lt;80),H305,AND(C15&gt;=80,C15&lt;90),I305,C15=90,J305)</f>
        <v>12907</v>
      </c>
      <c r="B305" s="15" t="s">
        <v>125</v>
      </c>
      <c r="C305" s="16">
        <v>1005</v>
      </c>
      <c r="D305" s="17">
        <v>3468</v>
      </c>
      <c r="E305" s="17">
        <v>5801</v>
      </c>
      <c r="F305" s="35">
        <v>7491</v>
      </c>
      <c r="G305" s="17">
        <v>8985</v>
      </c>
      <c r="H305" s="17">
        <v>10487</v>
      </c>
      <c r="I305" s="17">
        <v>12000</v>
      </c>
      <c r="J305" s="16">
        <v>12907</v>
      </c>
      <c r="M305" t="s">
        <v>405</v>
      </c>
      <c r="R305" s="62">
        <v>127</v>
      </c>
      <c r="S305" s="62">
        <v>31.2</v>
      </c>
      <c r="W305">
        <v>29</v>
      </c>
      <c r="X305">
        <v>127</v>
      </c>
    </row>
    <row r="306" spans="1:24" ht="15" x14ac:dyDescent="0.2">
      <c r="A306" cm="1">
        <f t="array" ref="A306">_xlfn.IFS(AND(C15&gt;=1,C15&lt;20),C306,AND(C15&gt;=20,C15&lt;40),D306,AND(C15&gt;=40,C15&lt;50),E306,AND(C15&gt;=50,C15&lt;60),F306,AND(C15&gt;=60,C15&lt;70),G306,AND(C15&gt;=70,C15&lt;80),H306,AND(C15&gt;=80,C15&lt;90),I306,C15=90,J306)</f>
        <v>789</v>
      </c>
      <c r="B306" s="15" t="s">
        <v>128</v>
      </c>
      <c r="C306" s="19">
        <v>61</v>
      </c>
      <c r="D306" s="18">
        <v>212</v>
      </c>
      <c r="E306" s="18">
        <v>355</v>
      </c>
      <c r="F306" s="36">
        <v>458</v>
      </c>
      <c r="G306" s="18">
        <v>549</v>
      </c>
      <c r="H306" s="18">
        <v>641</v>
      </c>
      <c r="I306" s="18">
        <v>734</v>
      </c>
      <c r="J306" s="19">
        <v>789</v>
      </c>
      <c r="M306" t="s">
        <v>406</v>
      </c>
      <c r="R306" s="62">
        <v>128</v>
      </c>
      <c r="S306" s="62">
        <v>31.6</v>
      </c>
      <c r="W306">
        <v>24.6</v>
      </c>
      <c r="X306">
        <v>128</v>
      </c>
    </row>
    <row r="307" spans="1:24" ht="15" x14ac:dyDescent="0.2">
      <c r="A307" cm="1">
        <f t="array" ref="A307">_xlfn.IFS(AND(C15&gt;=1,C15&lt;20),C307,AND(C15&gt;=20,C15&lt;40),D307,AND(C15&gt;=40,C15&lt;50),E307,AND(C15&gt;=50,C15&lt;60),F307,AND(C15&gt;=60,C15&lt;70),G307,AND(C15&gt;=70,C15&lt;80),H307,AND(C15&gt;=80,C15&lt;90),I307,C15=90,J307)</f>
        <v>337</v>
      </c>
      <c r="B307" s="15" t="s">
        <v>130</v>
      </c>
      <c r="C307" s="19">
        <v>26</v>
      </c>
      <c r="D307" s="18">
        <v>91</v>
      </c>
      <c r="E307" s="18">
        <v>152</v>
      </c>
      <c r="F307" s="36">
        <v>196</v>
      </c>
      <c r="G307" s="18">
        <v>235</v>
      </c>
      <c r="H307" s="18">
        <v>274</v>
      </c>
      <c r="I307" s="18">
        <v>343</v>
      </c>
      <c r="J307" s="19">
        <v>337</v>
      </c>
      <c r="M307" t="s">
        <v>407</v>
      </c>
      <c r="R307" s="62">
        <v>129</v>
      </c>
      <c r="S307" s="62">
        <v>31.7</v>
      </c>
      <c r="W307">
        <v>25.2</v>
      </c>
      <c r="X307">
        <v>129</v>
      </c>
    </row>
    <row r="308" spans="1:24" ht="29.25" x14ac:dyDescent="0.2">
      <c r="A308" cm="1">
        <f t="array" ref="A308">_xlfn.IFS(AND(C15&gt;=1,C15&lt;20),C308,AND(C15&gt;=20,C15&lt;40),D308,AND(C15&gt;=40,C15&lt;50),E308,AND(C15&gt;=50,C15&lt;60),F308,AND(C15&gt;=60,C15&lt;70),G308,AND(C15&gt;=70,C15&lt;80),H308,AND(C15&gt;=80,C15&lt;90),I308,C15=90,J308)</f>
        <v>0.32</v>
      </c>
      <c r="B308" s="15" t="s">
        <v>39</v>
      </c>
      <c r="C308" s="20" t="s">
        <v>132</v>
      </c>
      <c r="D308" s="21" t="s">
        <v>132</v>
      </c>
      <c r="E308" s="22">
        <v>0.08</v>
      </c>
      <c r="F308" s="22">
        <v>0.16</v>
      </c>
      <c r="G308" s="22">
        <v>0.16</v>
      </c>
      <c r="H308" s="22">
        <v>0.24</v>
      </c>
      <c r="I308" s="22">
        <v>0.32</v>
      </c>
      <c r="J308" s="23">
        <v>0.32</v>
      </c>
      <c r="M308" t="s">
        <v>408</v>
      </c>
      <c r="R308" s="62">
        <v>130</v>
      </c>
      <c r="S308" s="62">
        <v>31.8</v>
      </c>
      <c r="W308">
        <v>25.8</v>
      </c>
      <c r="X308">
        <v>130</v>
      </c>
    </row>
    <row r="309" spans="1:24" x14ac:dyDescent="0.2">
      <c r="B309" t="s">
        <v>257</v>
      </c>
      <c r="M309" t="s">
        <v>409</v>
      </c>
      <c r="R309" s="62">
        <v>131</v>
      </c>
      <c r="S309" s="62">
        <v>32.200000000000003</v>
      </c>
      <c r="W309">
        <v>26.3</v>
      </c>
      <c r="X309">
        <v>131</v>
      </c>
    </row>
    <row r="310" spans="1:24" x14ac:dyDescent="0.15">
      <c r="A310" cm="1">
        <f t="array" ref="A310">_xlfn.IFS(AND(C15&gt;=1,C15&lt;20),C310,AND(C15&gt;=20,C15&lt;40),D310,AND(C15&gt;=40,C15&lt;50),E310,AND(C15&gt;=50,C15&lt;60),F310,AND(C15&gt;=60,C15&lt;70),G310,AND(C15&gt;=70,C15&lt;80),H310,AND(C15&gt;=80,C15&lt;90),I310,C15=90,J310)</f>
        <v>13403</v>
      </c>
      <c r="B310" s="24" t="s">
        <v>125</v>
      </c>
      <c r="C310" s="26">
        <v>1020</v>
      </c>
      <c r="D310" s="27">
        <v>3521</v>
      </c>
      <c r="E310" s="26">
        <v>5889</v>
      </c>
      <c r="F310" s="27">
        <v>7604</v>
      </c>
      <c r="G310" s="27">
        <v>9121</v>
      </c>
      <c r="H310" s="27">
        <v>10647</v>
      </c>
      <c r="I310" s="27">
        <v>12182</v>
      </c>
      <c r="J310" s="26">
        <v>13403</v>
      </c>
      <c r="M310" t="s">
        <v>410</v>
      </c>
      <c r="R310" s="62">
        <v>132</v>
      </c>
      <c r="S310" s="62">
        <v>32.299999999999997</v>
      </c>
      <c r="W310">
        <v>26.4</v>
      </c>
      <c r="X310">
        <v>132</v>
      </c>
    </row>
    <row r="311" spans="1:24" x14ac:dyDescent="0.15">
      <c r="A311" cm="1">
        <f t="array" ref="A311">_xlfn.IFS(AND(C15&gt;=1,C15&lt;20),C311,AND(C15&gt;=20,C15&lt;40),D311,AND(C15&gt;=40,C15&lt;50),E311,AND(C15&gt;=50,C15&lt;60),F311,AND(C15&gt;=60,C15&lt;70),G311,AND(C15&gt;=70,C15&lt;80),H311,AND(C15&gt;=80,C15&lt;90),I311,C15=90,J311)</f>
        <v>799</v>
      </c>
      <c r="B311" s="24" t="s">
        <v>128</v>
      </c>
      <c r="C311" s="25">
        <v>62</v>
      </c>
      <c r="D311" s="28">
        <v>215</v>
      </c>
      <c r="E311" s="25">
        <v>359</v>
      </c>
      <c r="F311" s="28">
        <v>464</v>
      </c>
      <c r="G311" s="28">
        <v>556</v>
      </c>
      <c r="H311" s="28">
        <v>649</v>
      </c>
      <c r="I311" s="28">
        <v>743</v>
      </c>
      <c r="J311" s="25">
        <v>799</v>
      </c>
      <c r="M311" t="s">
        <v>411</v>
      </c>
      <c r="R311" s="62">
        <v>134</v>
      </c>
      <c r="S311" s="62">
        <v>32.4</v>
      </c>
      <c r="W311">
        <v>26.9</v>
      </c>
      <c r="X311">
        <v>134</v>
      </c>
    </row>
    <row r="312" spans="1:24" x14ac:dyDescent="0.15">
      <c r="A312" cm="1">
        <f t="array" ref="A312">_xlfn.IFS(AND(C15&gt;=1,C15&lt;20),C312,AND(C15&gt;=20,C15&lt;40),D312,AND(C15&gt;=40,C15&lt;50),E312,AND(C15&gt;=50,C15&lt;60),F312,AND(C15&gt;=60,C15&lt;70),G312,AND(C15&gt;=70,C15&lt;80),H312,AND(C15&gt;=80,C15&lt;90),I312,C15=90,J312)</f>
        <v>323</v>
      </c>
      <c r="B312" s="24" t="s">
        <v>130</v>
      </c>
      <c r="C312" s="25">
        <v>25</v>
      </c>
      <c r="D312" s="28">
        <v>87</v>
      </c>
      <c r="E312" s="25">
        <v>145</v>
      </c>
      <c r="F312" s="28">
        <v>188</v>
      </c>
      <c r="G312" s="28">
        <v>225</v>
      </c>
      <c r="H312" s="28">
        <v>262</v>
      </c>
      <c r="I312" s="28">
        <v>300</v>
      </c>
      <c r="J312" s="25">
        <v>323</v>
      </c>
      <c r="M312" t="s">
        <v>412</v>
      </c>
      <c r="R312" s="62">
        <v>136</v>
      </c>
      <c r="S312" s="62">
        <v>32.5</v>
      </c>
      <c r="W312">
        <v>27</v>
      </c>
      <c r="X312">
        <v>136</v>
      </c>
    </row>
    <row r="313" spans="1:24" x14ac:dyDescent="0.15">
      <c r="A313" cm="1">
        <f t="array" ref="A313">_xlfn.IFS(AND(C15&gt;=1,C15&lt;20),C313,AND(C15&gt;=20,C15&lt;40),D313,AND(C15&gt;=40,C15&lt;50),E313,AND(C15&gt;=50,C15&lt;60),F313,AND(C15&gt;=60,C15&lt;70),G313,AND(C15&gt;=70,C15&lt;80),H313,AND(C15&gt;=80,C15&lt;90),I313,C15=90,J313)</f>
        <v>0.38400000000000001</v>
      </c>
      <c r="B313" s="24" t="s">
        <v>38</v>
      </c>
      <c r="C313" s="29" t="s">
        <v>132</v>
      </c>
      <c r="D313" s="30" t="s">
        <v>132</v>
      </c>
      <c r="E313" s="32">
        <v>9.6000000000000002E-2</v>
      </c>
      <c r="F313" s="31">
        <v>0.192</v>
      </c>
      <c r="G313" s="31">
        <v>0.192</v>
      </c>
      <c r="H313" s="31">
        <v>0.28799999999999998</v>
      </c>
      <c r="I313" s="31">
        <v>0.38400000000000001</v>
      </c>
      <c r="J313" s="32">
        <v>0.38400000000000001</v>
      </c>
      <c r="M313" t="s">
        <v>413</v>
      </c>
      <c r="R313" s="62">
        <v>138</v>
      </c>
      <c r="S313" s="62">
        <v>32.9</v>
      </c>
      <c r="W313">
        <v>27.5</v>
      </c>
      <c r="X313">
        <v>138</v>
      </c>
    </row>
    <row r="314" spans="1:24" x14ac:dyDescent="0.2">
      <c r="B314" t="s">
        <v>258</v>
      </c>
      <c r="M314" t="s">
        <v>414</v>
      </c>
      <c r="R314" s="61"/>
      <c r="S314" s="62">
        <v>33</v>
      </c>
      <c r="W314">
        <v>27.6</v>
      </c>
    </row>
    <row r="315" spans="1:24" x14ac:dyDescent="0.15">
      <c r="A315" cm="1">
        <f t="array" ref="A315">_xlfn.IFS(AND(C15&gt;=1,C15&lt;20),C315,AND(C15&gt;=20,C15&lt;40),D315,AND(C15&gt;=40,C15&lt;50),E315,AND(C15&gt;=50,C15&lt;60),F315,AND(C15&gt;=60,C15&lt;70),G315,AND(C15&gt;=70,C15&lt;80),H315,AND(C15&gt;=80,C15&lt;90),I315,C15=90,J315)</f>
        <v>9787</v>
      </c>
      <c r="B315" s="24" t="s">
        <v>125</v>
      </c>
      <c r="C315" s="25">
        <v>821</v>
      </c>
      <c r="D315" s="27">
        <v>2721</v>
      </c>
      <c r="E315" s="27">
        <v>4512</v>
      </c>
      <c r="F315" s="27">
        <v>5770</v>
      </c>
      <c r="G315" s="27">
        <v>6884</v>
      </c>
      <c r="H315" s="27">
        <v>7996</v>
      </c>
      <c r="I315" s="27">
        <v>9110</v>
      </c>
      <c r="J315" s="26">
        <v>9787</v>
      </c>
      <c r="M315" t="s">
        <v>415</v>
      </c>
      <c r="R315" s="61"/>
      <c r="S315" s="62">
        <v>33.1</v>
      </c>
      <c r="W315">
        <v>28</v>
      </c>
    </row>
    <row r="316" spans="1:24" x14ac:dyDescent="0.15">
      <c r="A316" cm="1">
        <f t="array" ref="A316">_xlfn.IFS(AND(C15&gt;=1,C15&lt;20),C316,AND(C15&gt;=20,C15&lt;40),D316,AND(C15&gt;=40,C15&lt;50),E316,AND(C15&gt;=50,C15&lt;60),F316,AND(C15&gt;=60,C15&lt;70),G316,AND(C15&gt;=70,C15&lt;80),H316,AND(C15&gt;=80,C15&lt;90),I316,C15=90,J316)</f>
        <v>560</v>
      </c>
      <c r="B316" s="24" t="s">
        <v>128</v>
      </c>
      <c r="C316" s="25">
        <v>47</v>
      </c>
      <c r="D316" s="28">
        <v>156</v>
      </c>
      <c r="E316" s="28">
        <v>258</v>
      </c>
      <c r="F316" s="28">
        <v>330</v>
      </c>
      <c r="G316" s="28">
        <v>394</v>
      </c>
      <c r="H316" s="28">
        <v>457</v>
      </c>
      <c r="I316" s="28">
        <v>521</v>
      </c>
      <c r="J316" s="25">
        <v>560</v>
      </c>
      <c r="M316" t="s">
        <v>416</v>
      </c>
      <c r="R316" s="61"/>
      <c r="S316" s="62">
        <v>33.5</v>
      </c>
      <c r="W316">
        <v>28.1</v>
      </c>
    </row>
    <row r="317" spans="1:24" x14ac:dyDescent="0.15">
      <c r="A317" cm="1">
        <f t="array" ref="A317">_xlfn.IFS(AND(C15&gt;=1,C15&lt;20),C317,AND(C15&gt;=20,C15&lt;40),D317,AND(C15&gt;=40,C15&lt;50),E317,AND(C15&gt;=50,C15&lt;60),F317,AND(C15&gt;=60,C15&lt;70),G317,AND(C15&gt;=70,C15&lt;80),H317,AND(C15&gt;=80,C15&lt;90),I317,C15=90,J317)</f>
        <v>227</v>
      </c>
      <c r="B317" s="24" t="s">
        <v>130</v>
      </c>
      <c r="C317" s="25">
        <v>19</v>
      </c>
      <c r="D317" s="28">
        <v>63</v>
      </c>
      <c r="E317" s="28">
        <v>105</v>
      </c>
      <c r="F317" s="28">
        <v>134</v>
      </c>
      <c r="G317" s="28">
        <v>160</v>
      </c>
      <c r="H317" s="28">
        <v>185</v>
      </c>
      <c r="I317" s="28">
        <v>211</v>
      </c>
      <c r="J317" s="25">
        <v>227</v>
      </c>
      <c r="M317" t="s">
        <v>417</v>
      </c>
      <c r="R317" s="61"/>
      <c r="S317" s="62">
        <v>33.6</v>
      </c>
      <c r="W317">
        <v>28.2</v>
      </c>
    </row>
    <row r="318" spans="1:24" x14ac:dyDescent="0.15">
      <c r="A318" cm="1">
        <f t="array" ref="A318">_xlfn.IFS(AND(C15&gt;=1,C15&lt;20),C318,AND(C15&gt;=20,C15&lt;40),D318,AND(C15&gt;=40,C15&lt;50),E318,AND(C15&gt;=50,C15&lt;60),F318,AND(C15&gt;=60,C15&lt;70),G318,AND(C15&gt;=70,C15&lt;80),H318,AND(C15&gt;=80,C15&lt;90),I318,C15=90,J318)</f>
        <v>96</v>
      </c>
      <c r="B318" s="24" t="s">
        <v>74</v>
      </c>
      <c r="C318" s="29" t="s">
        <v>132</v>
      </c>
      <c r="D318" s="30" t="s">
        <v>132</v>
      </c>
      <c r="E318" s="28">
        <v>24</v>
      </c>
      <c r="F318" s="28">
        <v>48</v>
      </c>
      <c r="G318" s="28">
        <v>48</v>
      </c>
      <c r="H318" s="28">
        <v>72</v>
      </c>
      <c r="I318" s="28">
        <v>96</v>
      </c>
      <c r="J318" s="25">
        <v>96</v>
      </c>
      <c r="M318" t="s">
        <v>418</v>
      </c>
      <c r="R318" s="61"/>
      <c r="S318" s="62">
        <v>33.700000000000003</v>
      </c>
      <c r="W318">
        <v>28.6</v>
      </c>
    </row>
    <row r="319" spans="1:24" x14ac:dyDescent="0.2">
      <c r="B319" t="s">
        <v>259</v>
      </c>
      <c r="M319" t="s">
        <v>419</v>
      </c>
      <c r="R319" s="61"/>
      <c r="S319" s="62">
        <v>33.799999999999997</v>
      </c>
      <c r="W319">
        <v>28.7</v>
      </c>
    </row>
    <row r="320" spans="1:24" x14ac:dyDescent="0.15">
      <c r="A320" cm="1">
        <f t="array" ref="A320">_xlfn.IFS(AND(C15&gt;=1,C15&lt;20),C320,AND(C15&gt;=20,C15&lt;40),D320,AND(C15&gt;=40,C15&lt;50),E320,AND(C15&gt;=50,C15&lt;60),F320,AND(C15&gt;=60,C15&lt;70),G320,AND(C15&gt;=70,C15&lt;80),H320,AND(C15&gt;=80,C15&lt;90),I320,C15=90,J320)</f>
        <v>12397</v>
      </c>
      <c r="B320" s="24" t="s">
        <v>125</v>
      </c>
      <c r="C320" s="26">
        <v>1039</v>
      </c>
      <c r="D320" s="27">
        <v>3447</v>
      </c>
      <c r="E320" s="27">
        <v>5715</v>
      </c>
      <c r="F320" s="27">
        <v>7309</v>
      </c>
      <c r="G320" s="27">
        <v>8719</v>
      </c>
      <c r="H320" s="27">
        <v>10129</v>
      </c>
      <c r="I320" s="27">
        <v>11539</v>
      </c>
      <c r="J320" s="26">
        <v>12397</v>
      </c>
      <c r="M320" t="s">
        <v>420</v>
      </c>
      <c r="R320" s="61"/>
      <c r="S320" s="62">
        <v>34.200000000000003</v>
      </c>
      <c r="W320">
        <v>28.8</v>
      </c>
    </row>
    <row r="321" spans="1:23" x14ac:dyDescent="0.15">
      <c r="A321" cm="1">
        <f t="array" ref="A321">_xlfn.IFS(AND(C15&gt;=1,C15&lt;20),C321,AND(C15&gt;=20,C15&lt;40),D321,AND(C15&gt;=40,C15&lt;50),E321,AND(C15&gt;=50,C15&lt;60),F321,AND(C15&gt;=60,C15&lt;70),G321,AND(C15&gt;=70,C15&lt;80),H321,AND(C15&gt;=80,C15&lt;90),I321,C15=90,J321)</f>
        <v>723</v>
      </c>
      <c r="B321" s="24" t="s">
        <v>128</v>
      </c>
      <c r="C321" s="25">
        <v>61</v>
      </c>
      <c r="D321" s="28">
        <v>201</v>
      </c>
      <c r="E321" s="28">
        <v>333</v>
      </c>
      <c r="F321" s="28">
        <v>427</v>
      </c>
      <c r="G321" s="28">
        <v>509</v>
      </c>
      <c r="H321" s="28">
        <v>591</v>
      </c>
      <c r="I321" s="28">
        <v>673</v>
      </c>
      <c r="J321" s="25">
        <v>723</v>
      </c>
      <c r="M321" t="s">
        <v>421</v>
      </c>
      <c r="R321" s="61"/>
      <c r="S321" s="62">
        <v>34.299999999999997</v>
      </c>
      <c r="W321">
        <v>29.2</v>
      </c>
    </row>
    <row r="322" spans="1:23" x14ac:dyDescent="0.15">
      <c r="A322" cm="1">
        <f t="array" ref="A322">_xlfn.IFS(AND(C15&gt;=1,C15&lt;20),C322,AND(C15&gt;=20,C15&lt;40),D322,AND(C15&gt;=40,C15&lt;50),E322,AND(C15&gt;=50,C15&lt;60),F322,AND(C15&gt;=60,C15&lt;70),G322,AND(C15&gt;=70,C15&lt;80),H322,AND(C15&gt;=80,C15&lt;90),I322,C15=90,J322)</f>
        <v>223</v>
      </c>
      <c r="B322" s="24" t="s">
        <v>130</v>
      </c>
      <c r="C322" s="25">
        <v>18</v>
      </c>
      <c r="D322" s="28">
        <v>62</v>
      </c>
      <c r="E322" s="28">
        <v>102</v>
      </c>
      <c r="F322" s="28">
        <v>134</v>
      </c>
      <c r="G322" s="28">
        <v>157</v>
      </c>
      <c r="H322" s="28">
        <v>182</v>
      </c>
      <c r="I322" s="28">
        <v>207</v>
      </c>
      <c r="J322" s="25">
        <v>223</v>
      </c>
      <c r="M322" t="s">
        <v>422</v>
      </c>
      <c r="R322" s="61"/>
      <c r="S322" s="62">
        <v>34.4</v>
      </c>
      <c r="W322">
        <v>29.3</v>
      </c>
    </row>
    <row r="323" spans="1:23" x14ac:dyDescent="0.2">
      <c r="A323" cm="1">
        <f t="array" ref="A323">_xlfn.IFS(AND(C15&gt;=1,C15&lt;20),C323,AND(C15&gt;=20,C15&lt;40),D323,AND(C15&gt;=40,C15&lt;50),E323,AND(C15&gt;=50,C15&lt;60),F323,AND(C15&gt;=60,C15&lt;70),G323,AND(C15&gt;=70,C15&lt;80),H323,AND(C15&gt;=80,C15&lt;90),I323,C15=90,J323)</f>
        <v>0.24</v>
      </c>
      <c r="B323" s="24" t="s">
        <v>159</v>
      </c>
      <c r="C323" s="29" t="s">
        <v>132</v>
      </c>
      <c r="D323" s="30" t="s">
        <v>132</v>
      </c>
      <c r="E323" s="31">
        <v>0.06</v>
      </c>
      <c r="F323" s="31">
        <v>0.12</v>
      </c>
      <c r="G323" s="31">
        <v>0.12</v>
      </c>
      <c r="H323" s="31">
        <v>0.18</v>
      </c>
      <c r="I323" s="31">
        <v>0.24</v>
      </c>
      <c r="J323" s="32">
        <v>0.24</v>
      </c>
      <c r="M323" t="s">
        <v>423</v>
      </c>
      <c r="R323" s="61"/>
      <c r="S323" s="62">
        <v>34.799999999999997</v>
      </c>
      <c r="W323">
        <v>29.4</v>
      </c>
    </row>
    <row r="324" spans="1:23" x14ac:dyDescent="0.2">
      <c r="B324" t="s">
        <v>260</v>
      </c>
      <c r="M324" t="s">
        <v>424</v>
      </c>
      <c r="R324" s="61"/>
      <c r="S324" s="62">
        <v>35</v>
      </c>
      <c r="W324">
        <v>29.7</v>
      </c>
    </row>
    <row r="325" spans="1:23" x14ac:dyDescent="0.15">
      <c r="A325" cm="1">
        <f t="array" ref="A325">_xlfn.IFS(AND(C15&gt;=1,C15&lt;20),C325,AND(C15&gt;=20,C15&lt;40),D325,AND(C15&gt;=40,C15&lt;50),E325,AND(C15&gt;=50,C15&lt;60),F325,AND(C15&gt;=60,C15&lt;70),G325,AND(C15&gt;=70,C15&lt;80),H325,AND(C15&gt;=80,C15&lt;90),I325,C15=90,J325)</f>
        <v>12289</v>
      </c>
      <c r="B325" s="24" t="s">
        <v>125</v>
      </c>
      <c r="C325" s="26">
        <v>1030</v>
      </c>
      <c r="D325" s="27">
        <v>3417</v>
      </c>
      <c r="E325" s="27">
        <v>5665</v>
      </c>
      <c r="F325" s="27">
        <v>7245</v>
      </c>
      <c r="G325" s="27">
        <v>8643</v>
      </c>
      <c r="H325" s="27">
        <v>10040</v>
      </c>
      <c r="I325" s="27">
        <v>11438</v>
      </c>
      <c r="J325" s="26">
        <v>12289</v>
      </c>
      <c r="M325" t="s">
        <v>425</v>
      </c>
      <c r="R325" s="61"/>
      <c r="S325" s="62">
        <v>35.1</v>
      </c>
      <c r="W325">
        <v>29.8</v>
      </c>
    </row>
    <row r="326" spans="1:23" x14ac:dyDescent="0.15">
      <c r="A326" cm="1">
        <f t="array" ref="A326">_xlfn.IFS(AND(C15&gt;=1,C15&lt;20),C326,AND(C15&gt;=20,C15&lt;40),D326,AND(C15&gt;=40,C15&lt;50),E326,AND(C15&gt;=50,C15&lt;60),F326,AND(C15&gt;=60,C15&lt;70),G326,AND(C15&gt;=70,C15&lt;80),H326,AND(C15&gt;=80,C15&lt;90),I326,C15=90,J326)</f>
        <v>751</v>
      </c>
      <c r="B326" s="24" t="s">
        <v>128</v>
      </c>
      <c r="C326" s="25">
        <v>63</v>
      </c>
      <c r="D326" s="28">
        <v>209</v>
      </c>
      <c r="E326" s="28">
        <v>346</v>
      </c>
      <c r="F326" s="28">
        <v>443</v>
      </c>
      <c r="G326" s="28">
        <v>528</v>
      </c>
      <c r="H326" s="28">
        <v>613</v>
      </c>
      <c r="I326" s="28">
        <v>699</v>
      </c>
      <c r="J326" s="25">
        <v>751</v>
      </c>
      <c r="M326" t="s">
        <v>160</v>
      </c>
      <c r="R326" s="61"/>
      <c r="S326" s="62">
        <v>35.5</v>
      </c>
      <c r="W326">
        <v>29.9</v>
      </c>
    </row>
    <row r="327" spans="1:23" x14ac:dyDescent="0.15">
      <c r="A327" cm="1">
        <f t="array" ref="A327">_xlfn.IFS(AND(C15&gt;=1,C15&lt;20),C327,AND(C15&gt;=20,C15&lt;40),D327,AND(C15&gt;=40,C15&lt;50),E327,AND(C15&gt;=50,C15&lt;60),F327,AND(C15&gt;=60,C15&lt;70),G327,AND(C15&gt;=70,C15&lt;80),H327,AND(C15&gt;=80,C15&lt;90),I327,C15=90,J327)</f>
        <v>212</v>
      </c>
      <c r="B327" s="24" t="s">
        <v>130</v>
      </c>
      <c r="C327" s="25">
        <v>17</v>
      </c>
      <c r="D327" s="28">
        <v>59</v>
      </c>
      <c r="E327" s="28">
        <v>98</v>
      </c>
      <c r="F327" s="28">
        <v>125</v>
      </c>
      <c r="G327" s="28">
        <v>149</v>
      </c>
      <c r="H327" s="28">
        <v>173</v>
      </c>
      <c r="I327" s="28">
        <v>197</v>
      </c>
      <c r="J327" s="25">
        <v>212</v>
      </c>
      <c r="M327" t="s">
        <v>426</v>
      </c>
      <c r="R327" s="61"/>
      <c r="S327" s="62">
        <v>35.6</v>
      </c>
      <c r="W327">
        <v>30</v>
      </c>
    </row>
    <row r="328" spans="1:23" x14ac:dyDescent="0.15">
      <c r="A328" cm="1">
        <f t="array" ref="A328">_xlfn.IFS(AND(C15&gt;=1,C15&lt;20),C328,AND(C15&gt;=20,C15&lt;40),D328,AND(C15&gt;=40,C15&lt;50),E328,AND(C15&gt;=50,C15&lt;60),F328,AND(C15&gt;=60,C15&lt;70),G328,AND(C15&gt;=70,C15&lt;80),H328,AND(C15&gt;=80,C15&lt;90),I328,C15=90,J328)</f>
        <v>0.24</v>
      </c>
      <c r="B328" s="24" t="s">
        <v>427</v>
      </c>
      <c r="C328" s="29" t="s">
        <v>132</v>
      </c>
      <c r="D328" s="30" t="s">
        <v>132</v>
      </c>
      <c r="E328" s="31">
        <v>0.06</v>
      </c>
      <c r="F328" s="31">
        <v>0.12</v>
      </c>
      <c r="G328" s="31">
        <v>0.12</v>
      </c>
      <c r="H328" s="31">
        <v>0.18</v>
      </c>
      <c r="I328" s="31">
        <v>0.24</v>
      </c>
      <c r="J328" s="32">
        <v>0.24</v>
      </c>
      <c r="M328" t="s">
        <v>428</v>
      </c>
      <c r="R328" s="61"/>
      <c r="S328" s="62">
        <v>35.700000000000003</v>
      </c>
      <c r="W328">
        <v>30.3</v>
      </c>
    </row>
    <row r="329" spans="1:23" x14ac:dyDescent="0.2">
      <c r="B329" t="s">
        <v>483</v>
      </c>
      <c r="M329" t="s">
        <v>429</v>
      </c>
      <c r="R329" s="61"/>
      <c r="S329" s="62">
        <v>36.200000000000003</v>
      </c>
      <c r="W329">
        <v>30.4</v>
      </c>
    </row>
    <row r="330" spans="1:23" x14ac:dyDescent="0.15">
      <c r="A330" cm="1">
        <f t="array" ref="A330">_xlfn.IFS(AND(C15&gt;=1,C15&lt;20),C330,AND(C15&gt;=20,C15&lt;40),D330,AND(C15&gt;=40,C15&lt;50),E330,AND(C15&gt;=50,C15&lt;60),F330,AND(C15&gt;=60,C15&lt;70),G330,AND(C15&gt;=70,C15&lt;80),H330,AND(C15&gt;=80,C15&lt;90),I330,C15=90,J330)</f>
        <v>9570</v>
      </c>
      <c r="B330" s="24" t="s">
        <v>125</v>
      </c>
      <c r="C330" s="25">
        <v>802</v>
      </c>
      <c r="D330" s="27">
        <v>2661</v>
      </c>
      <c r="E330" s="27">
        <v>4411</v>
      </c>
      <c r="F330" s="28">
        <v>5642</v>
      </c>
      <c r="G330" s="27">
        <v>6734</v>
      </c>
      <c r="H330" s="27">
        <v>7818</v>
      </c>
      <c r="I330" s="27">
        <v>8907</v>
      </c>
      <c r="J330" s="26">
        <v>9570</v>
      </c>
      <c r="M330" t="s">
        <v>430</v>
      </c>
      <c r="R330" s="61"/>
      <c r="S330" s="62">
        <v>36.299999999999997</v>
      </c>
      <c r="W330">
        <v>30.5</v>
      </c>
    </row>
    <row r="331" spans="1:23" x14ac:dyDescent="0.15">
      <c r="A331" cm="1">
        <f t="array" ref="A331">_xlfn.IFS(AND(C15&gt;=1,C15&lt;20),C334,AND(C15&gt;=20,C15&lt;40),D334,AND(C15&gt;=40,C15&lt;50),E334,AND(C15&gt;=50,C15&lt;60),F334,AND(C15&gt;=60,C15&lt;70),G334,AND(C15&gt;=70,C15&lt;80),H334,AND(C15&gt;=80,C15&lt;90),I334,C15=90,J334)</f>
        <v>0</v>
      </c>
      <c r="B331" s="24" t="s">
        <v>128</v>
      </c>
      <c r="C331" s="25">
        <v>53</v>
      </c>
      <c r="D331" s="28">
        <v>175</v>
      </c>
      <c r="E331" s="28">
        <v>289</v>
      </c>
      <c r="F331" s="28">
        <v>370</v>
      </c>
      <c r="G331" s="28">
        <v>442</v>
      </c>
      <c r="H331" s="28">
        <v>513</v>
      </c>
      <c r="I331" s="28">
        <v>584</v>
      </c>
      <c r="J331" s="25">
        <v>628</v>
      </c>
      <c r="M331" t="s">
        <v>431</v>
      </c>
      <c r="R331" s="61"/>
      <c r="S331" s="62">
        <v>36.4</v>
      </c>
      <c r="W331">
        <v>30.6</v>
      </c>
    </row>
    <row r="332" spans="1:23" x14ac:dyDescent="0.15">
      <c r="A332" cm="1">
        <f t="array" ref="A332">_xlfn.IFS(AND(C15&gt;=1,C15&lt;20),C332,AND(C15&gt;=20,C15&lt;40),D332,AND(C15&gt;=40,C15&lt;50),E332,AND(C15&gt;=50,C15&lt;60),F332,AND(C15&gt;=60,C15&lt;70),G332,AND(C15&gt;=70,C15&lt;80),H332,AND(C15&gt;=80,C15&lt;90),I332,C15=90,J332)</f>
        <v>195</v>
      </c>
      <c r="B332" s="24" t="s">
        <v>130</v>
      </c>
      <c r="C332" s="25">
        <v>16</v>
      </c>
      <c r="D332" s="28">
        <v>54</v>
      </c>
      <c r="E332" s="28">
        <v>90</v>
      </c>
      <c r="F332" s="28">
        <v>115</v>
      </c>
      <c r="G332" s="28">
        <v>137</v>
      </c>
      <c r="H332" s="28">
        <v>159</v>
      </c>
      <c r="I332" s="28">
        <v>181</v>
      </c>
      <c r="J332" s="25">
        <v>195</v>
      </c>
      <c r="K332" cm="1">
        <f t="array" ref="K332">IFERROR(_xlfn.IFS(AND(INDEX(A15:F15,MATCH("九条裟羅",A14:F14,0))&gt;=1,INDEX(A15:F15,MATCH("九条裟羅",A14:F14,0))&lt;20),C332,AND(INDEX(A15:F15,MATCH("九条裟羅",A14:F14,0))&gt;=20,INDEX(A15:F15,MATCH("九条裟羅",A14:F14,0))&lt;40),D332,AND(INDEX(A15:F15,MATCH("九条裟羅",A14:F14,0))&gt;=40,INDEX(A15:F15,MATCH("九条裟羅",A14:F14,0))&lt;50),E332,AND(INDEX(A15:F15,MATCH("九条裟羅",A14:F14,0))&gt;=50,INDEX(A15:F15,MATCH("九条裟羅",A14:F14,0))&lt;60),F332,AND(INDEX(A15:F15,MATCH("九条裟羅",A14:F14,0))&gt;=60,INDEX(A15:F15,MATCH("九条裟羅",A14:F14,0))&lt;70),G332,AND(INDEX(A15:F15,MATCH("九条裟羅",A14:F14,0))&gt;=70,INDEX(A15:F15,MATCH("九条裟羅",A14:F14,0))&lt;80),H332,AND(INDEX(A15:F15,MATCH("九条裟羅",A14:F14,0))&gt;=80,INDEX(A15:F15,MATCH("九条裟羅",A14:F14,0))&lt;90),I332,INDEX(A15:F15,MATCH("九条裟羅",A14:F14,0))=90,J332,TRUE,0),0)</f>
        <v>0</v>
      </c>
      <c r="M332" t="s">
        <v>432</v>
      </c>
      <c r="R332" s="61"/>
      <c r="S332" s="62">
        <v>36.9</v>
      </c>
      <c r="W332">
        <v>30.9</v>
      </c>
    </row>
    <row r="333" spans="1:23" x14ac:dyDescent="0.15">
      <c r="A333" cm="1">
        <f t="array" ref="A333">_xlfn.IFS(AND(C15&gt;=1,C15&lt;20),C333,AND(C15&gt;=20,C15&lt;40),D333,AND(C15&gt;=40,C15&lt;50),E333,AND(C15&gt;=50,C15&lt;60),F333,AND(C15&gt;=60,C15&lt;70),G333,AND(C15&gt;=70,C15&lt;80),H333,AND(C15&gt;=80,C15&lt;90),I333,C15=90,J333)</f>
        <v>0.24</v>
      </c>
      <c r="B333" s="24" t="s">
        <v>36</v>
      </c>
      <c r="C333" s="29" t="s">
        <v>132</v>
      </c>
      <c r="D333" s="30" t="s">
        <v>132</v>
      </c>
      <c r="E333" s="31">
        <v>0.06</v>
      </c>
      <c r="F333" s="31">
        <v>0.12</v>
      </c>
      <c r="G333" s="31">
        <v>0.12</v>
      </c>
      <c r="H333" s="31">
        <v>0.18</v>
      </c>
      <c r="I333" s="31">
        <v>0.24</v>
      </c>
      <c r="J333" s="32">
        <v>0.24</v>
      </c>
      <c r="K333" t="e">
        <f>INDEX(A35:F35,MATCH("九条裟羅",C14:F14,0))+K332</f>
        <v>#N/A</v>
      </c>
      <c r="M333" t="s">
        <v>433</v>
      </c>
      <c r="R333" s="61"/>
      <c r="S333" s="62">
        <v>37</v>
      </c>
      <c r="W333">
        <v>31</v>
      </c>
    </row>
    <row r="334" spans="1:23" x14ac:dyDescent="0.2">
      <c r="B334" t="s">
        <v>261</v>
      </c>
      <c r="M334" t="s">
        <v>434</v>
      </c>
      <c r="R334" s="61"/>
      <c r="S334" s="62">
        <v>37.6</v>
      </c>
      <c r="W334">
        <v>31.1</v>
      </c>
    </row>
    <row r="335" spans="1:23" x14ac:dyDescent="0.15">
      <c r="A335" cm="1">
        <f t="array" ref="A335">_xlfn.IFS(AND(C15&gt;=1,C15&lt;20),C335,AND(C15&gt;=20,C15&lt;40),D335,AND(C15&gt;=40,C15&lt;50),E335,AND(C15&gt;=50,C15&lt;60),F335,AND(C15&gt;=60,C15&lt;70),G335,AND(C15&gt;=70,C15&lt;80),H335,AND(C15&gt;=80,C15&lt;90),I335,C15=90,J335)</f>
        <v>9189</v>
      </c>
      <c r="B335" s="24" t="s">
        <v>125</v>
      </c>
      <c r="C335" s="25">
        <v>770</v>
      </c>
      <c r="D335" s="27">
        <v>2555</v>
      </c>
      <c r="E335" s="27">
        <v>4234</v>
      </c>
      <c r="F335" s="27">
        <v>5418</v>
      </c>
      <c r="G335" s="27">
        <v>6463</v>
      </c>
      <c r="H335" s="27">
        <v>7508</v>
      </c>
      <c r="I335" s="27">
        <v>8553</v>
      </c>
      <c r="J335" s="26">
        <v>9189</v>
      </c>
      <c r="M335" t="s">
        <v>435</v>
      </c>
      <c r="R335" s="61"/>
      <c r="S335" s="62">
        <v>37.700000000000003</v>
      </c>
      <c r="W335">
        <v>31.2</v>
      </c>
    </row>
    <row r="336" spans="1:23" x14ac:dyDescent="0.15">
      <c r="A336" cm="1">
        <f t="array" ref="A336">_xlfn.IFS(AND(C15&gt;=1,C15&lt;20),C334,AND(C15&gt;=20,C15&lt;40),D334,AND(C15&gt;=40,C15&lt;50),E334,AND(C15&gt;=50,C15&lt;60),F334,AND(C15&gt;=60,C15&lt;70),G334,AND(C15&gt;=70,C15&lt;80),H334,AND(C15&gt;=80,C15&lt;90),I334,C15=90,J334)</f>
        <v>0</v>
      </c>
      <c r="B336" s="24" t="s">
        <v>128</v>
      </c>
      <c r="C336" s="25">
        <v>50</v>
      </c>
      <c r="D336" s="28">
        <v>165</v>
      </c>
      <c r="E336" s="28">
        <v>274</v>
      </c>
      <c r="F336" s="28">
        <v>350</v>
      </c>
      <c r="G336" s="28">
        <v>418</v>
      </c>
      <c r="H336" s="28">
        <v>485</v>
      </c>
      <c r="I336" s="28">
        <v>553</v>
      </c>
      <c r="J336" s="25">
        <v>594</v>
      </c>
      <c r="M336" t="s">
        <v>436</v>
      </c>
      <c r="R336" s="61"/>
      <c r="S336" s="62">
        <v>38.299999999999997</v>
      </c>
      <c r="W336">
        <v>31.4</v>
      </c>
    </row>
    <row r="337" spans="1:23" x14ac:dyDescent="0.15">
      <c r="A337" cm="1">
        <f t="array" ref="A337">_xlfn.IFS(AND(C15&gt;=1,C15&lt;20),C337,AND(C15&gt;=20,C15&lt;40),D337,AND(C15&gt;=40,C15&lt;50),E337,AND(C15&gt;=50,C15&lt;60),F337,AND(C15&gt;=60,C15&lt;70),G337,AND(C15&gt;=70,C15&lt;80),H337,AND(C15&gt;=80,C15&lt;90),I337,C15=90,J337)</f>
        <v>244</v>
      </c>
      <c r="B337" s="24" t="s">
        <v>130</v>
      </c>
      <c r="C337" s="25">
        <v>20</v>
      </c>
      <c r="D337" s="28">
        <v>68</v>
      </c>
      <c r="E337" s="28">
        <v>113</v>
      </c>
      <c r="F337" s="28">
        <v>144</v>
      </c>
      <c r="G337" s="28">
        <v>172</v>
      </c>
      <c r="H337" s="28">
        <v>200</v>
      </c>
      <c r="I337" s="28">
        <v>228</v>
      </c>
      <c r="J337" s="25">
        <v>244</v>
      </c>
      <c r="M337" t="s">
        <v>437</v>
      </c>
      <c r="R337" s="61"/>
      <c r="S337" s="62">
        <v>39</v>
      </c>
      <c r="W337">
        <v>31.5</v>
      </c>
    </row>
    <row r="338" spans="1:23" x14ac:dyDescent="0.15">
      <c r="A338" cm="1">
        <f t="array" ref="A338">_xlfn.IFS(AND(C15&gt;=1,C15&lt;20),C338,AND(C15&gt;=20,C15&lt;40),D338,AND(C15&gt;=40,C15&lt;50),E338,AND(C15&gt;=50,C15&lt;60),F338,AND(C15&gt;=60,C15&lt;70),G338,AND(C15&gt;=70,C15&lt;80),H338,AND(C15&gt;=80,C15&lt;90),I338,C15=90,J338)</f>
        <v>0.24</v>
      </c>
      <c r="B338" s="24" t="s">
        <v>36</v>
      </c>
      <c r="C338" s="29" t="s">
        <v>132</v>
      </c>
      <c r="D338" s="30" t="s">
        <v>132</v>
      </c>
      <c r="E338" s="31">
        <v>0.06</v>
      </c>
      <c r="F338" s="31">
        <v>0.12</v>
      </c>
      <c r="G338" s="31">
        <v>0.12</v>
      </c>
      <c r="H338" s="31">
        <v>0.18</v>
      </c>
      <c r="I338" s="31">
        <v>0.24</v>
      </c>
      <c r="J338" s="32">
        <v>0.24</v>
      </c>
      <c r="M338" t="s">
        <v>438</v>
      </c>
      <c r="R338" s="61"/>
      <c r="S338" s="61"/>
      <c r="W338">
        <v>31.6</v>
      </c>
    </row>
    <row r="339" spans="1:23" x14ac:dyDescent="0.2">
      <c r="B339" t="s">
        <v>262</v>
      </c>
      <c r="M339" t="s">
        <v>439</v>
      </c>
      <c r="R339" s="61"/>
      <c r="S339" s="61"/>
      <c r="W339">
        <v>31.7</v>
      </c>
    </row>
    <row r="340" spans="1:23" x14ac:dyDescent="0.15">
      <c r="A340" cm="1">
        <f t="array" ref="A340">_xlfn.IFS(AND(C15&gt;=1,C15&lt;20),C340,AND(C15&gt;=20,C15&lt;40),D340,AND(C15&gt;=40,C15&lt;50),E340,AND(C15&gt;=50,C15&lt;60),F340,AND(C15&gt;=60,C15&lt;70),G340,AND(C15&gt;=70,C15&lt;80),H340,AND(C15&gt;=80,C15&lt;90),I340,C15=90,J340)</f>
        <v>13050</v>
      </c>
      <c r="B340" s="24" t="s">
        <v>125</v>
      </c>
      <c r="C340" s="26">
        <v>1094</v>
      </c>
      <c r="D340" s="27">
        <v>3428</v>
      </c>
      <c r="E340" s="27">
        <v>6015</v>
      </c>
      <c r="F340" s="27">
        <v>7694</v>
      </c>
      <c r="G340" s="27">
        <v>9178</v>
      </c>
      <c r="H340" s="27">
        <v>10662</v>
      </c>
      <c r="I340" s="27">
        <v>12146</v>
      </c>
      <c r="J340" s="26">
        <v>13050</v>
      </c>
      <c r="M340" t="s">
        <v>440</v>
      </c>
      <c r="R340" s="61"/>
      <c r="S340" s="61"/>
      <c r="W340">
        <v>31.8</v>
      </c>
    </row>
    <row r="341" spans="1:23" x14ac:dyDescent="0.15">
      <c r="A341" cm="1">
        <f t="array" ref="A341">_xlfn.IFS(AND(C15&gt;=1,C15&lt;20),C341,AND(C15&gt;=20,C15&lt;40),D341,AND(C15&gt;=40,C15&lt;50),E341,AND(C15&gt;=50,C15&lt;60),F341,AND(C15&gt;=60,C15&lt;70),G341,AND(C15&gt;=70,C15&lt;80),H341,AND(C15&gt;=80,C15&lt;90),I341,C15=90,J341)</f>
        <v>648</v>
      </c>
      <c r="B341" s="24" t="s">
        <v>128</v>
      </c>
      <c r="C341" s="25">
        <v>54</v>
      </c>
      <c r="D341" s="28">
        <v>180</v>
      </c>
      <c r="E341" s="28">
        <v>299</v>
      </c>
      <c r="F341" s="28">
        <v>382</v>
      </c>
      <c r="G341" s="28">
        <v>456</v>
      </c>
      <c r="H341" s="28">
        <v>530</v>
      </c>
      <c r="I341" s="28">
        <v>603</v>
      </c>
      <c r="J341" s="25">
        <v>648</v>
      </c>
      <c r="M341" t="s">
        <v>441</v>
      </c>
      <c r="R341" s="61"/>
      <c r="S341" s="61"/>
      <c r="W341">
        <v>32</v>
      </c>
    </row>
    <row r="342" spans="1:23" x14ac:dyDescent="0.15">
      <c r="A342" cm="1">
        <f t="array" ref="A342">_xlfn.IFS(AND(C15&gt;=1,C15&lt;20),C342,AND(C15&gt;=20,C15&lt;40),D342,AND(C15&gt;=40,C15&lt;50),E342,AND(C15&gt;=50,C15&lt;60),F342,AND(C15&gt;=60,C15&lt;70),G342,AND(C15&gt;=70,C15&lt;80),H342,AND(C15&gt;=80,C15&lt;90),I342,C15=90,J342)</f>
        <v>225</v>
      </c>
      <c r="B342" s="24" t="s">
        <v>130</v>
      </c>
      <c r="C342" s="25">
        <v>19</v>
      </c>
      <c r="D342" s="28">
        <v>62</v>
      </c>
      <c r="E342" s="28">
        <v>104</v>
      </c>
      <c r="F342" s="28">
        <v>133</v>
      </c>
      <c r="G342" s="28">
        <v>159</v>
      </c>
      <c r="H342" s="28">
        <v>184</v>
      </c>
      <c r="I342" s="28">
        <v>209</v>
      </c>
      <c r="J342" s="25">
        <v>225</v>
      </c>
      <c r="M342" t="s">
        <v>442</v>
      </c>
      <c r="R342" s="61"/>
      <c r="S342" s="61"/>
      <c r="W342">
        <v>32.1</v>
      </c>
    </row>
    <row r="343" spans="1:23" x14ac:dyDescent="0.15">
      <c r="A343" cm="1">
        <f t="array" ref="A343">_xlfn.IFS(AND(C15&gt;=1,C15&lt;20),C343,AND(C15&gt;=20,C15&lt;40),D343,AND(C15&gt;=40,C15&lt;50),E343,AND(C15&gt;=50,C15&lt;60),F343,AND(C15&gt;=60,C15&lt;70),G343,AND(C15&gt;=70,C15&lt;80),H343,AND(C15&gt;=80,C15&lt;90),I343,C15=90,J343)</f>
        <v>0.24</v>
      </c>
      <c r="B343" s="24" t="s">
        <v>443</v>
      </c>
      <c r="C343" s="29" t="s">
        <v>132</v>
      </c>
      <c r="D343" s="30" t="s">
        <v>132</v>
      </c>
      <c r="E343" s="31">
        <v>0.06</v>
      </c>
      <c r="F343" s="31">
        <v>0.12</v>
      </c>
      <c r="G343" s="31">
        <v>0.12</v>
      </c>
      <c r="H343" s="31">
        <v>0.18</v>
      </c>
      <c r="I343" s="31">
        <v>0.24</v>
      </c>
      <c r="J343" s="32">
        <v>0.24</v>
      </c>
      <c r="M343" t="s">
        <v>444</v>
      </c>
      <c r="R343" s="61"/>
      <c r="S343" s="61"/>
      <c r="W343">
        <v>32.200000000000003</v>
      </c>
    </row>
    <row r="344" spans="1:23" x14ac:dyDescent="0.2">
      <c r="B344" t="s">
        <v>263</v>
      </c>
      <c r="M344" t="s">
        <v>445</v>
      </c>
      <c r="W344">
        <v>32.299999999999997</v>
      </c>
    </row>
    <row r="345" spans="1:23" x14ac:dyDescent="0.15">
      <c r="A345" cm="1">
        <f t="array" ref="A345">_xlfn.IFS(AND(C15&gt;=1,C15&lt;20),C345,AND(C15&gt;=20,C15&lt;40),D345,AND(C15&gt;=40,C15&lt;50),E345,AND(C15&gt;=50,C15&lt;60),F345,AND(C15&gt;=60,C15&lt;70),G345,AND(C15&gt;=70,C15&lt;80),H345,AND(C15&gt;=80,C15&lt;90),I345,C15=90,J345)</f>
        <v>11962</v>
      </c>
      <c r="B345" s="24" t="s">
        <v>125</v>
      </c>
      <c r="C345" s="26">
        <v>1003</v>
      </c>
      <c r="D345" s="27">
        <v>3326</v>
      </c>
      <c r="E345" s="27">
        <v>5514</v>
      </c>
      <c r="F345" s="27">
        <v>7052</v>
      </c>
      <c r="G345" s="27">
        <v>8413</v>
      </c>
      <c r="H345" s="27">
        <v>9773</v>
      </c>
      <c r="I345" s="27">
        <v>11134</v>
      </c>
      <c r="J345" s="26">
        <v>11962</v>
      </c>
      <c r="M345" t="s">
        <v>446</v>
      </c>
      <c r="W345">
        <v>32.6</v>
      </c>
    </row>
    <row r="346" spans="1:23" x14ac:dyDescent="0.15">
      <c r="A346" cm="1">
        <f t="array" ref="A346">_xlfn.IFS(AND(C15&gt;=1,C15&lt;20),C346,AND(C15&gt;=20,C15&lt;40),D346,AND(C15&gt;=40,C15&lt;50),E346,AND(C15&gt;=50,C15&lt;60),F346,AND(C15&gt;=60,C15&lt;70),G346,AND(C15&gt;=70,C15&lt;80),H346,AND(C15&gt;=80,C15&lt;90),I346,C15=90,J346)</f>
        <v>751</v>
      </c>
      <c r="B346" s="24" t="s">
        <v>128</v>
      </c>
      <c r="C346" s="25">
        <v>63</v>
      </c>
      <c r="D346" s="28">
        <v>209</v>
      </c>
      <c r="E346" s="28">
        <v>346</v>
      </c>
      <c r="F346" s="28">
        <v>443</v>
      </c>
      <c r="G346" s="28">
        <v>528</v>
      </c>
      <c r="H346" s="28">
        <v>613</v>
      </c>
      <c r="I346" s="28">
        <v>699</v>
      </c>
      <c r="J346" s="25">
        <v>751</v>
      </c>
      <c r="M346" t="s">
        <v>447</v>
      </c>
      <c r="W346">
        <v>32.700000000000003</v>
      </c>
    </row>
    <row r="347" spans="1:23" x14ac:dyDescent="0.15">
      <c r="A347" cm="1">
        <f t="array" ref="A347">_xlfn.IFS(AND(C15&gt;=1,C15&lt;20),C347,AND(C15&gt;=20,C15&lt;40),D347,AND(C15&gt;=40,C15&lt;50),E347,AND(C15&gt;=50,C15&lt;60),F347,AND(C15&gt;=60,C15&lt;70),G347,AND(C15&gt;=70,C15&lt;80),H347,AND(C15&gt;=80,C15&lt;90),I347,C15=90,J347)</f>
        <v>234</v>
      </c>
      <c r="B347" s="24" t="s">
        <v>130</v>
      </c>
      <c r="C347" s="25">
        <v>20</v>
      </c>
      <c r="D347" s="28">
        <v>65</v>
      </c>
      <c r="E347" s="28">
        <v>108</v>
      </c>
      <c r="F347" s="28">
        <v>138</v>
      </c>
      <c r="G347" s="28">
        <v>164</v>
      </c>
      <c r="H347" s="28">
        <v>191</v>
      </c>
      <c r="I347" s="28">
        <v>218</v>
      </c>
      <c r="J347" s="25">
        <v>234</v>
      </c>
      <c r="M347" t="s">
        <v>448</v>
      </c>
      <c r="W347">
        <v>32.799999999999997</v>
      </c>
    </row>
    <row r="348" spans="1:23" x14ac:dyDescent="0.15">
      <c r="A348" cm="1">
        <f t="array" ref="A348">_xlfn.IFS(AND(C15&gt;=1,C15&lt;20),C348,AND(C15&gt;=20,C15&lt;40),D348,AND(C15&gt;=40,C15&lt;50),E348,AND(C15&gt;=50,C15&lt;60),F348,AND(C15&gt;=60,C15&lt;70),G348,AND(C15&gt;=70,C15&lt;80),H348,AND(C15&gt;=80,C15&lt;90),I348,C15=90,J348)</f>
        <v>0.3</v>
      </c>
      <c r="B348" s="24" t="s">
        <v>449</v>
      </c>
      <c r="C348" s="29" t="s">
        <v>132</v>
      </c>
      <c r="D348" s="30" t="s">
        <v>132</v>
      </c>
      <c r="E348" s="31">
        <v>7.4999999999999997E-2</v>
      </c>
      <c r="F348" s="31">
        <v>0.15</v>
      </c>
      <c r="G348" s="31">
        <v>0.15</v>
      </c>
      <c r="H348" s="31">
        <v>0.22500000000000001</v>
      </c>
      <c r="I348" s="31">
        <v>0.3</v>
      </c>
      <c r="J348" s="32">
        <v>0.3</v>
      </c>
      <c r="M348" t="s">
        <v>450</v>
      </c>
      <c r="W348">
        <v>33.1</v>
      </c>
    </row>
    <row r="349" spans="1:23" x14ac:dyDescent="0.2">
      <c r="B349" t="s">
        <v>264</v>
      </c>
      <c r="M349" t="s">
        <v>451</v>
      </c>
      <c r="W349">
        <v>33.200000000000003</v>
      </c>
    </row>
    <row r="350" spans="1:23" x14ac:dyDescent="0.15">
      <c r="A350" cm="1">
        <f t="array" ref="A350">_xlfn.IFS(AND(C15&gt;=1,C15&lt;20),C350,AND(C15&gt;=20,C15&lt;40),D350,AND(C15&gt;=40,C15&lt;50),E350,AND(C15&gt;=50,C15&lt;60),F350,AND(C15&gt;=60,C15&lt;70),G350,AND(C15&gt;=70,C15&lt;80),H350,AND(C15&gt;=80,C15&lt;90),I350,C15=90,J350)</f>
        <v>9570</v>
      </c>
      <c r="B350" s="24" t="s">
        <v>125</v>
      </c>
      <c r="C350" s="25">
        <v>802</v>
      </c>
      <c r="D350" s="27">
        <v>2661</v>
      </c>
      <c r="E350" s="27">
        <v>4411</v>
      </c>
      <c r="F350" s="33">
        <v>5642</v>
      </c>
      <c r="G350" s="27">
        <v>6734</v>
      </c>
      <c r="H350" s="27">
        <v>7818</v>
      </c>
      <c r="I350" s="27">
        <v>8907</v>
      </c>
      <c r="J350" s="26">
        <v>9570</v>
      </c>
      <c r="M350" t="s">
        <v>452</v>
      </c>
      <c r="W350">
        <v>33.299999999999997</v>
      </c>
    </row>
    <row r="351" spans="1:23" x14ac:dyDescent="0.15">
      <c r="A351" cm="1">
        <f t="array" ref="A351">_xlfn.IFS(AND(C15&gt;=1,C15&lt;20),C351,AND(C15&gt;=20,C15&lt;40),D351,AND(C15&gt;=40,C15&lt;50),E351,AND(C15&gt;=50,C15&lt;60),F351,AND(C15&gt;=60,C15&lt;70),G351,AND(C15&gt;=70,C15&lt;80),H351,AND(C15&gt;=80,C15&lt;90),I351,C15=90,J351)</f>
        <v>573</v>
      </c>
      <c r="B351" s="24" t="s">
        <v>128</v>
      </c>
      <c r="C351" s="25">
        <v>48</v>
      </c>
      <c r="D351" s="28">
        <v>159</v>
      </c>
      <c r="E351" s="28">
        <v>264</v>
      </c>
      <c r="F351" s="34">
        <v>338</v>
      </c>
      <c r="G351" s="28">
        <v>403</v>
      </c>
      <c r="H351" s="28">
        <v>468</v>
      </c>
      <c r="I351" s="28">
        <v>534</v>
      </c>
      <c r="J351" s="25">
        <v>573</v>
      </c>
      <c r="M351" t="s">
        <v>453</v>
      </c>
      <c r="W351">
        <v>33.700000000000003</v>
      </c>
    </row>
    <row r="352" spans="1:23" x14ac:dyDescent="0.15">
      <c r="A352" cm="1">
        <f t="array" ref="A352">_xlfn.IFS(AND(C15&gt;=1,C15&lt;20),C352,AND(C15&gt;=20,C15&lt;40),D352,AND(C15&gt;=40,C15&lt;50),E352,AND(C15&gt;=50,C15&lt;60),F352,AND(C15&gt;=60,C15&lt;70),G352,AND(C15&gt;=70,C15&lt;80),H352,AND(C15&gt;=80,C15&lt;90),I352,C15=90,J352)</f>
        <v>234</v>
      </c>
      <c r="B352" s="24" t="s">
        <v>130</v>
      </c>
      <c r="C352" s="25">
        <v>19</v>
      </c>
      <c r="D352" s="28">
        <v>64</v>
      </c>
      <c r="E352" s="28">
        <v>107</v>
      </c>
      <c r="F352" s="34">
        <v>134</v>
      </c>
      <c r="G352" s="28">
        <v>162</v>
      </c>
      <c r="H352" s="28">
        <v>189</v>
      </c>
      <c r="I352" s="28">
        <v>215</v>
      </c>
      <c r="J352" s="25">
        <v>234</v>
      </c>
      <c r="M352" t="s">
        <v>454</v>
      </c>
      <c r="W352">
        <v>33.799999999999997</v>
      </c>
    </row>
    <row r="353" spans="1:23" x14ac:dyDescent="0.15">
      <c r="A353" cm="1">
        <f t="array" ref="A353">_xlfn.IFS(AND(C15&gt;=1,C15&lt;20),C353,AND(C15&gt;=20,C15&lt;40),D353,AND(C15&gt;=40,C15&lt;50),E353,AND(C15&gt;=50,C15&lt;60),F353,AND(C15&gt;=60,C15&lt;70),G353,AND(C15&gt;=70,C15&lt;80),H353,AND(C15&gt;=80,C15&lt;90),I353,C15=90,J353)</f>
        <v>96</v>
      </c>
      <c r="B353" s="24" t="s">
        <v>74</v>
      </c>
      <c r="C353" s="29" t="s">
        <v>132</v>
      </c>
      <c r="D353" s="30" t="s">
        <v>132</v>
      </c>
      <c r="E353" s="28">
        <v>24</v>
      </c>
      <c r="F353" s="28">
        <v>48</v>
      </c>
      <c r="G353" s="28">
        <v>48</v>
      </c>
      <c r="H353" s="28">
        <v>72</v>
      </c>
      <c r="I353" s="28">
        <v>96</v>
      </c>
      <c r="J353" s="25">
        <v>96</v>
      </c>
      <c r="M353" t="s">
        <v>455</v>
      </c>
      <c r="W353">
        <v>34.299999999999997</v>
      </c>
    </row>
    <row r="354" spans="1:23" x14ac:dyDescent="0.2">
      <c r="B354" t="s">
        <v>265</v>
      </c>
      <c r="M354" t="s">
        <v>456</v>
      </c>
      <c r="W354">
        <v>34.799999999999997</v>
      </c>
    </row>
    <row r="355" spans="1:23" x14ac:dyDescent="0.15">
      <c r="A355" cm="1">
        <f t="array" ref="A355">_xlfn.IFS(AND(C15&gt;=1,C15&lt;20),C355,AND(C15&gt;=20,C15&lt;40),D355,AND(C15&gt;=40,C15&lt;50),E355,AND(C15&gt;=50,C15&lt;60),F355,AND(C15&gt;=60,C15&lt;70),G355,AND(C15&gt;=70,C15&lt;80),H355,AND(C15&gt;=80,C15&lt;90),I355,C15=90,J355)</f>
        <v>10409</v>
      </c>
      <c r="B355" s="24" t="s">
        <v>125</v>
      </c>
      <c r="C355" s="25">
        <v>810</v>
      </c>
      <c r="D355" s="27">
        <v>2797</v>
      </c>
      <c r="E355" s="27">
        <v>4678</v>
      </c>
      <c r="F355" s="27">
        <v>6041</v>
      </c>
      <c r="G355" s="27">
        <v>7246</v>
      </c>
      <c r="H355" s="27">
        <v>8458</v>
      </c>
      <c r="I355" s="27">
        <v>9677</v>
      </c>
      <c r="J355" s="26">
        <v>10409</v>
      </c>
      <c r="M355" t="s">
        <v>457</v>
      </c>
    </row>
    <row r="356" spans="1:23" x14ac:dyDescent="0.15">
      <c r="A356" cm="1">
        <f t="array" ref="A356">_xlfn.IFS(AND(C15&gt;=1,C15&lt;20),C356,AND(C15&gt;=20,C15&lt;40),D356,AND(C15&gt;=40,C15&lt;50),E356,AND(C15&gt;=50,C15&lt;60),F356,AND(C15&gt;=60,C15&lt;70),G356,AND(C15&gt;=70,C15&lt;80),H356,AND(C15&gt;=80,C15&lt;90),I356,C15=90,J356)</f>
        <v>573</v>
      </c>
      <c r="B356" s="24" t="s">
        <v>128</v>
      </c>
      <c r="C356" s="25">
        <v>45</v>
      </c>
      <c r="D356" s="28">
        <v>154</v>
      </c>
      <c r="E356" s="28">
        <v>257</v>
      </c>
      <c r="F356" s="28">
        <v>332</v>
      </c>
      <c r="G356" s="28">
        <v>399</v>
      </c>
      <c r="H356" s="28">
        <v>465</v>
      </c>
      <c r="I356" s="28">
        <v>532</v>
      </c>
      <c r="J356" s="25">
        <v>573</v>
      </c>
      <c r="M356" t="s">
        <v>458</v>
      </c>
    </row>
    <row r="357" spans="1:23" x14ac:dyDescent="0.15">
      <c r="A357" cm="1">
        <f t="array" ref="A357">_xlfn.IFS(AND(C15&gt;=1,C15&lt;20),C357,AND(C15&gt;=20,C15&lt;40),D357,AND(C15&gt;=40,C15&lt;50),E357,AND(C15&gt;=50,C15&lt;60),F357,AND(C15&gt;=60,C15&lt;70),G357,AND(C15&gt;=70,C15&lt;80),H357,AND(C15&gt;=80,C15&lt;90),I357,C15=90,J357)</f>
        <v>334</v>
      </c>
      <c r="B357" s="24" t="s">
        <v>130</v>
      </c>
      <c r="C357" s="25">
        <v>26</v>
      </c>
      <c r="D357" s="28">
        <v>90</v>
      </c>
      <c r="E357" s="28">
        <v>150</v>
      </c>
      <c r="F357" s="28">
        <v>194</v>
      </c>
      <c r="G357" s="28">
        <v>233</v>
      </c>
      <c r="H357" s="28">
        <v>272</v>
      </c>
      <c r="I357" s="28">
        <v>341</v>
      </c>
      <c r="J357" s="25">
        <v>334</v>
      </c>
      <c r="M357" t="s">
        <v>459</v>
      </c>
    </row>
    <row r="358" spans="1:23" x14ac:dyDescent="0.15">
      <c r="A358" cm="1">
        <f t="array" ref="A358">_xlfn.IFS(AND(C15&gt;=1,C15&lt;20),C358,AND(C15&gt;=20,C15&lt;40),D358,AND(C15&gt;=40,C15&lt;50),E358,AND(C15&gt;=50,C15&lt;60),F358,AND(C15&gt;=60,C15&lt;70),G358,AND(C15&gt;=70,C15&lt;80),H358,AND(C15&gt;=80,C15&lt;90),I358,C15=90,J358)</f>
        <v>0.28799999999999998</v>
      </c>
      <c r="B358" s="24" t="s">
        <v>36</v>
      </c>
      <c r="C358" s="29" t="s">
        <v>132</v>
      </c>
      <c r="D358" s="30" t="s">
        <v>132</v>
      </c>
      <c r="E358" s="31">
        <v>7.1999999999999995E-2</v>
      </c>
      <c r="F358" s="31">
        <v>0.14399999999999999</v>
      </c>
      <c r="G358" s="31">
        <v>0.14399999999999999</v>
      </c>
      <c r="H358" s="31">
        <v>0.216</v>
      </c>
      <c r="I358" s="31">
        <v>0.28799999999999998</v>
      </c>
      <c r="J358" s="32">
        <v>0.28799999999999998</v>
      </c>
      <c r="M358" t="s">
        <v>460</v>
      </c>
    </row>
    <row r="359" spans="1:23" x14ac:dyDescent="0.2">
      <c r="B359" t="s">
        <v>266</v>
      </c>
      <c r="M359" t="s">
        <v>461</v>
      </c>
    </row>
    <row r="360" spans="1:23" x14ac:dyDescent="0.15">
      <c r="A360" cm="1">
        <f t="array" ref="A360">_xlfn.IFS(AND(C15&gt;=1,C15&lt;20),C360,AND(C15&gt;=20,C15&lt;40),D360,AND(C15&gt;=40,C15&lt;50),E360,AND(C15&gt;=50,C15&lt;60),F360,AND(C15&gt;=60,C15&lt;70),G360,AND(C15&gt;=70,C15&lt;80),H360,AND(C15&gt;=80,C15&lt;90),I360,C15=90,J360)</f>
        <v>10164</v>
      </c>
      <c r="B360" s="24" t="s">
        <v>125</v>
      </c>
      <c r="C360" s="25">
        <v>791</v>
      </c>
      <c r="D360" s="27">
        <v>2731</v>
      </c>
      <c r="E360" s="27">
        <v>4568</v>
      </c>
      <c r="F360" s="27">
        <v>5899</v>
      </c>
      <c r="G360" s="27">
        <v>7076</v>
      </c>
      <c r="H360" s="27">
        <v>8259</v>
      </c>
      <c r="I360" s="27">
        <v>9450</v>
      </c>
      <c r="J360" s="26">
        <v>10164</v>
      </c>
      <c r="M360" t="s">
        <v>462</v>
      </c>
    </row>
    <row r="361" spans="1:23" x14ac:dyDescent="0.15">
      <c r="A361" cm="1">
        <f t="array" ref="A361">_xlfn.IFS(AND(C15&gt;=1,C15&lt;20),C361,AND(C15&gt;=20,C15&lt;40),D361,AND(C15&gt;=40,C15&lt;50),E361,AND(C15&gt;=50,C15&lt;60),F361,AND(C15&gt;=60,C15&lt;70),G361,AND(C15&gt;=70,C15&lt;80),H361,AND(C15&gt;=80,C15&lt;90),I361,C15=90,J361)</f>
        <v>607</v>
      </c>
      <c r="B361" s="24" t="s">
        <v>128</v>
      </c>
      <c r="C361" s="25">
        <v>47</v>
      </c>
      <c r="D361" s="28">
        <v>163</v>
      </c>
      <c r="E361" s="28">
        <v>273</v>
      </c>
      <c r="F361" s="28">
        <v>352</v>
      </c>
      <c r="G361" s="28">
        <v>423</v>
      </c>
      <c r="H361" s="28">
        <v>493</v>
      </c>
      <c r="I361" s="28">
        <v>564</v>
      </c>
      <c r="J361" s="25">
        <v>607</v>
      </c>
      <c r="M361" t="s">
        <v>463</v>
      </c>
    </row>
    <row r="362" spans="1:23" x14ac:dyDescent="0.15">
      <c r="A362" cm="1">
        <f t="array" ref="A362">_xlfn.IFS(AND(C15&gt;=1,C15&lt;20),C362,AND(C15&gt;=20,C15&lt;40),D362,AND(C15&gt;=40,C15&lt;50),E362,AND(C15&gt;=50,C15&lt;60),F362,AND(C15&gt;=60,C15&lt;70),G362,AND(C15&gt;=70,C15&lt;80),H362,AND(C15&gt;=80,C15&lt;90),I362,C15=90,J362)</f>
        <v>328</v>
      </c>
      <c r="B362" s="24" t="s">
        <v>130</v>
      </c>
      <c r="C362" s="25">
        <v>25</v>
      </c>
      <c r="D362" s="28">
        <v>88</v>
      </c>
      <c r="E362" s="28">
        <v>147</v>
      </c>
      <c r="F362" s="28">
        <v>190</v>
      </c>
      <c r="G362" s="28">
        <v>228</v>
      </c>
      <c r="H362" s="28">
        <v>266</v>
      </c>
      <c r="I362" s="34">
        <v>304</v>
      </c>
      <c r="J362" s="25">
        <v>328</v>
      </c>
      <c r="M362" t="s">
        <v>464</v>
      </c>
    </row>
    <row r="363" spans="1:23" x14ac:dyDescent="0.15">
      <c r="A363" cm="1">
        <f t="array" ref="A363">_xlfn.IFS(AND(C15&gt;=1,C15&lt;20),C363,AND(C15&gt;=20,C15&lt;40),D363,AND(C15&gt;=40,C15&lt;50),E363,AND(C15&gt;=50,C15&lt;60),F363,AND(C15&gt;=60,C15&lt;70),G363,AND(C15&gt;=70,C15&lt;80),H363,AND(C15&gt;=80,C15&lt;90),I363,C15=90,J363)</f>
        <v>0.192</v>
      </c>
      <c r="B363" s="24" t="s">
        <v>37</v>
      </c>
      <c r="C363" s="29" t="s">
        <v>132</v>
      </c>
      <c r="D363" s="30" t="s">
        <v>132</v>
      </c>
      <c r="E363" s="31">
        <v>4.8000000000000001E-2</v>
      </c>
      <c r="F363" s="31">
        <v>9.6000000000000002E-2</v>
      </c>
      <c r="G363" s="31">
        <v>9.6000000000000002E-2</v>
      </c>
      <c r="H363" s="31">
        <v>0.14399999999999999</v>
      </c>
      <c r="I363" s="31">
        <v>0.192</v>
      </c>
      <c r="J363" s="32">
        <v>0.192</v>
      </c>
      <c r="M363" t="s">
        <v>465</v>
      </c>
    </row>
    <row r="364" spans="1:23" x14ac:dyDescent="0.2">
      <c r="B364" t="s">
        <v>267</v>
      </c>
      <c r="M364" t="s">
        <v>466</v>
      </c>
    </row>
    <row r="365" spans="1:23" x14ac:dyDescent="0.15">
      <c r="A365" cm="1">
        <f t="array" ref="A365">_xlfn.IFS(AND(C15&gt;=1,C15&lt;20),C365,AND(C15&gt;=20,C15&lt;40),D365,AND(C15&gt;=40,C15&lt;50),E365,AND(C15&gt;=50,C15&lt;60),F365,AND(C15&gt;=60,C15&lt;70),G365,AND(C15&gt;=70,C15&lt;80),H365,AND(C15&gt;=80,C15&lt;90),I365,C15=90,J365)</f>
        <v>13348</v>
      </c>
      <c r="B365" s="24" t="s">
        <v>125</v>
      </c>
      <c r="C365" s="26">
        <v>1039</v>
      </c>
      <c r="D365" s="27">
        <v>3586</v>
      </c>
      <c r="E365" s="27">
        <v>5999</v>
      </c>
      <c r="F365" s="27">
        <v>7747</v>
      </c>
      <c r="G365" s="27">
        <v>9292</v>
      </c>
      <c r="H365" s="27">
        <v>10846</v>
      </c>
      <c r="I365" s="27">
        <v>12410</v>
      </c>
      <c r="J365" s="26">
        <v>13348</v>
      </c>
    </row>
    <row r="366" spans="1:23" x14ac:dyDescent="0.15">
      <c r="A366" cm="1">
        <f t="array" ref="A366">_xlfn.IFS(AND(C15&gt;=1,C15&lt;20),C366,AND(C15&gt;=20,C15&lt;40),D366,AND(C15&gt;=40,C15&lt;50),E366,AND(C15&gt;=50,C15&lt;60),F366,AND(C15&gt;=60,C15&lt;70),G366,AND(C15&gt;=70,C15&lt;80),H366,AND(C15&gt;=80,C15&lt;90),I366,C15=90,J366)</f>
        <v>807</v>
      </c>
      <c r="B366" s="24" t="s">
        <v>128</v>
      </c>
      <c r="C366" s="25">
        <v>63</v>
      </c>
      <c r="D366" s="28">
        <v>217</v>
      </c>
      <c r="E366" s="28">
        <v>363</v>
      </c>
      <c r="F366" s="28">
        <v>468</v>
      </c>
      <c r="G366" s="28">
        <v>562</v>
      </c>
      <c r="H366" s="28">
        <v>656</v>
      </c>
      <c r="I366" s="28">
        <v>750</v>
      </c>
      <c r="J366" s="25">
        <v>807</v>
      </c>
    </row>
    <row r="367" spans="1:23" x14ac:dyDescent="0.15">
      <c r="A367" cm="1">
        <f t="array" ref="A367">_xlfn.IFS(AND(C15&gt;=1,C15&lt;20),C367,AND(C15&gt;=20,C15&lt;40),D367,AND(C15&gt;=40,C15&lt;50),E367,AND(C15&gt;=50,C15&lt;60),F367,AND(C15&gt;=60,C15&lt;70),G367,AND(C15&gt;=70,C15&lt;80),H367,AND(C15&gt;=80,C15&lt;90),I367,C15=90,J367)</f>
        <v>297</v>
      </c>
      <c r="B367" s="24" t="s">
        <v>130</v>
      </c>
      <c r="C367" s="25">
        <v>23</v>
      </c>
      <c r="D367" s="28">
        <v>80</v>
      </c>
      <c r="E367" s="28">
        <v>133</v>
      </c>
      <c r="F367" s="28">
        <v>172</v>
      </c>
      <c r="G367" s="28">
        <v>206</v>
      </c>
      <c r="H367" s="28">
        <v>241</v>
      </c>
      <c r="I367" s="28">
        <v>276</v>
      </c>
      <c r="J367" s="25">
        <v>297</v>
      </c>
    </row>
    <row r="368" spans="1:23" x14ac:dyDescent="0.15">
      <c r="A368" cm="1">
        <f t="array" ref="A368">_xlfn.IFS(AND(C15&gt;=1,C15&lt;20),C368,AND(C15&gt;=20,C15&lt;40),D368,AND(C15&gt;=40,C15&lt;50),E368,AND(C15&gt;=50,C15&lt;60),F368,AND(C15&gt;=60,C15&lt;70),G368,AND(C15&gt;=70,C15&lt;80),H368,AND(C15&gt;=80,C15&lt;90),I368,C15=90,J368)</f>
        <v>115</v>
      </c>
      <c r="B368" s="24" t="s">
        <v>74</v>
      </c>
      <c r="C368" s="29" t="s">
        <v>132</v>
      </c>
      <c r="D368" s="30" t="s">
        <v>132</v>
      </c>
      <c r="E368" s="28">
        <v>29</v>
      </c>
      <c r="F368" s="28">
        <v>58</v>
      </c>
      <c r="G368" s="28">
        <v>58</v>
      </c>
      <c r="H368" s="28">
        <v>86</v>
      </c>
      <c r="I368" s="28">
        <v>115</v>
      </c>
      <c r="J368" s="25">
        <v>115</v>
      </c>
    </row>
    <row r="369" spans="1:10" x14ac:dyDescent="0.2">
      <c r="B369" t="s">
        <v>268</v>
      </c>
    </row>
    <row r="370" spans="1:10" x14ac:dyDescent="0.15">
      <c r="A370" cm="1">
        <f t="array" ref="A370">_xlfn.IFS(AND(C15&gt;=1,C15&lt;20),C370,AND(C15&gt;=20,C15&lt;40),D370,AND(C15&gt;=40,C15&lt;50),E370,AND(C15&gt;=50,C15&lt;60),F370,AND(C15&gt;=60,C15&lt;70),G370,AND(C15&gt;=70,C15&lt;80),H370,AND(C15&gt;=80,C15&lt;90),I370,C15=90,J370)</f>
        <v>12736</v>
      </c>
      <c r="B370" s="24" t="s">
        <v>125</v>
      </c>
      <c r="C370" s="25">
        <v>991</v>
      </c>
      <c r="D370" s="27">
        <v>3422</v>
      </c>
      <c r="E370" s="27">
        <v>5724</v>
      </c>
      <c r="F370" s="27">
        <v>7391</v>
      </c>
      <c r="G370" s="27">
        <v>8866</v>
      </c>
      <c r="H370" s="27">
        <v>10348</v>
      </c>
      <c r="I370" s="27">
        <v>11840</v>
      </c>
      <c r="J370" s="26">
        <v>12736</v>
      </c>
    </row>
    <row r="371" spans="1:10" x14ac:dyDescent="0.15">
      <c r="A371" cm="1">
        <f t="array" ref="A371">_xlfn.IFS(AND(C15&gt;=1,C15&lt;20),C371,AND(C15&gt;=20,C15&lt;40),D371,AND(C15&gt;=40,C15&lt;50),E371,AND(C15&gt;=50,C15&lt;60),F371,AND(C15&gt;=60,C15&lt;70),G371,AND(C15&gt;=70,C15&lt;80),H371,AND(C15&gt;=80,C15&lt;90),I371,C15=90,J371)</f>
        <v>799</v>
      </c>
      <c r="B371" s="24" t="s">
        <v>128</v>
      </c>
      <c r="C371" s="25">
        <v>62</v>
      </c>
      <c r="D371" s="28">
        <v>215</v>
      </c>
      <c r="E371" s="28">
        <v>359</v>
      </c>
      <c r="F371" s="28">
        <v>464</v>
      </c>
      <c r="G371" s="28">
        <v>556</v>
      </c>
      <c r="H371" s="28">
        <v>649</v>
      </c>
      <c r="I371" s="28">
        <v>743</v>
      </c>
      <c r="J371" s="25">
        <v>799</v>
      </c>
    </row>
    <row r="372" spans="1:10" x14ac:dyDescent="0.15">
      <c r="A372" cm="1">
        <f t="array" ref="A372">_xlfn.IFS(AND(C15&gt;=1,C15&lt;20),C372,AND(C15&gt;=20,C15&lt;40),D372,AND(C15&gt;=40,C15&lt;50),E372,AND(C15&gt;=50,C15&lt;60),F372,AND(C15&gt;=60,C15&lt;70),G372,AND(C15&gt;=70,C15&lt;80),H372,AND(C15&gt;=80,C15&lt;90),I372,C15=90,J372)</f>
        <v>349</v>
      </c>
      <c r="B372" s="24" t="s">
        <v>130</v>
      </c>
      <c r="C372" s="25">
        <v>27</v>
      </c>
      <c r="D372" s="28">
        <v>94</v>
      </c>
      <c r="E372" s="28">
        <v>157</v>
      </c>
      <c r="F372" s="28">
        <v>203</v>
      </c>
      <c r="G372" s="28">
        <v>243</v>
      </c>
      <c r="H372" s="28">
        <v>284</v>
      </c>
      <c r="I372" s="28">
        <v>325</v>
      </c>
      <c r="J372" s="25">
        <v>349</v>
      </c>
    </row>
    <row r="373" spans="1:10" x14ac:dyDescent="0.15">
      <c r="A373" cm="1">
        <f t="array" ref="A373">_xlfn.IFS(AND(C15&gt;=1,C15&lt;20),C373,AND(C15&gt;=20,C15&lt;40),D373,AND(C15&gt;=40,C15&lt;50),E373,AND(C15&gt;=50,C15&lt;60),F373,AND(C15&gt;=60,C15&lt;70),G373,AND(C15&gt;=70,C15&lt;80),H373,AND(C15&gt;=80,C15&lt;90),I373,C15=90,J373)</f>
        <v>0.192</v>
      </c>
      <c r="B373" s="24" t="s">
        <v>37</v>
      </c>
      <c r="C373" s="29" t="s">
        <v>132</v>
      </c>
      <c r="D373" s="30" t="s">
        <v>132</v>
      </c>
      <c r="E373" s="31">
        <v>4.8000000000000001E-2</v>
      </c>
      <c r="F373" s="31">
        <v>9.6000000000000002E-2</v>
      </c>
      <c r="G373" s="31">
        <v>9.6000000000000002E-2</v>
      </c>
      <c r="H373" s="31">
        <v>0.14399999999999999</v>
      </c>
      <c r="I373" s="31">
        <v>0.192</v>
      </c>
      <c r="J373" s="32">
        <v>0.192</v>
      </c>
    </row>
    <row r="374" spans="1:10" x14ac:dyDescent="0.2">
      <c r="B374" t="s">
        <v>269</v>
      </c>
    </row>
    <row r="375" spans="1:10" x14ac:dyDescent="0.15">
      <c r="A375" cm="1">
        <f t="array" ref="A375">_xlfn.IFS(AND(C15&gt;=1,C15&lt;20),C375,AND(C15&gt;=20,C15&lt;40),D375,AND(C15&gt;=40,C15&lt;50),E375,AND(C15&gt;=50,C15&lt;60),F375,AND(C15&gt;=60,C15&lt;70),G375,AND(C15&gt;=70,C15&lt;80),H375,AND(C15&gt;=80,C15&lt;90),I375,C15=90,J375)</f>
        <v>10531</v>
      </c>
      <c r="B375" s="24" t="s">
        <v>125</v>
      </c>
      <c r="C375" s="25">
        <v>820</v>
      </c>
      <c r="D375" s="26">
        <v>2830</v>
      </c>
      <c r="E375" s="26">
        <v>4734</v>
      </c>
      <c r="F375" s="33">
        <v>6112</v>
      </c>
      <c r="G375" s="33">
        <v>7331</v>
      </c>
      <c r="H375" s="33">
        <v>8557</v>
      </c>
      <c r="I375" s="27">
        <v>9791</v>
      </c>
      <c r="J375" s="26">
        <v>10531</v>
      </c>
    </row>
    <row r="376" spans="1:10" x14ac:dyDescent="0.15">
      <c r="A376" cm="1">
        <f t="array" ref="A376">_xlfn.IFS(AND(C15&gt;=1,C15&lt;20),C376,AND(C15&gt;=20,C15&lt;40),D376,AND(C15&gt;=40,C15&lt;50),E376,AND(C15&gt;=50,C15&lt;60),F376,AND(C15&gt;=60,C15&lt;70),G376,AND(C15&gt;=70,C15&lt;80),H376,AND(C15&gt;=80,C15&lt;90),I376,C15=90,J376)</f>
        <v>669</v>
      </c>
      <c r="B376" s="24" t="s">
        <v>128</v>
      </c>
      <c r="C376" s="25">
        <v>52</v>
      </c>
      <c r="D376" s="25">
        <v>180</v>
      </c>
      <c r="E376" s="25">
        <v>301</v>
      </c>
      <c r="F376" s="34">
        <v>388</v>
      </c>
      <c r="G376" s="34">
        <v>465</v>
      </c>
      <c r="H376" s="34">
        <v>543</v>
      </c>
      <c r="I376" s="28">
        <v>622</v>
      </c>
      <c r="J376" s="25">
        <v>669</v>
      </c>
    </row>
    <row r="377" spans="1:10" x14ac:dyDescent="0.15">
      <c r="A377" cm="1">
        <f t="array" ref="A377">_xlfn.IFS(AND(C15&gt;=1,C15&lt;20),C377,AND(C15&gt;=20,C15&lt;40),D377,AND(C15&gt;=40,C15&lt;50),E377,AND(C15&gt;=50,C15&lt;60),F377,AND(C15&gt;=60,C15&lt;70),G377,AND(C15&gt;=70,C15&lt;80),H377,AND(C15&gt;=80,C15&lt;90),I377,C15=90,J377)</f>
        <v>263</v>
      </c>
      <c r="B377" s="24" t="s">
        <v>130</v>
      </c>
      <c r="C377" s="25">
        <v>20</v>
      </c>
      <c r="D377" s="25">
        <v>71</v>
      </c>
      <c r="E377" s="25">
        <v>118</v>
      </c>
      <c r="F377" s="34">
        <v>153</v>
      </c>
      <c r="G377" s="34">
        <v>183</v>
      </c>
      <c r="H377" s="34">
        <v>214</v>
      </c>
      <c r="I377" s="28">
        <v>245</v>
      </c>
      <c r="J377" s="25">
        <v>263</v>
      </c>
    </row>
    <row r="378" spans="1:10" x14ac:dyDescent="0.15">
      <c r="A378" cm="1">
        <f t="array" ref="A378">_xlfn.IFS(AND(C15&gt;=1,C15&lt;20),C378,AND(C15&gt;=20,C15&lt;40),D378,AND(C15&gt;=40,C15&lt;50),E378,AND(C15&gt;=50,C15&lt;60),F378,AND(C15&gt;=60,C15&lt;70),G378,AND(C15&gt;=70,C15&lt;80),H378,AND(C15&gt;=80,C15&lt;90),I378,C15=90,J378)</f>
        <v>0.32</v>
      </c>
      <c r="B378" s="24" t="s">
        <v>39</v>
      </c>
      <c r="C378" s="29" t="s">
        <v>132</v>
      </c>
      <c r="D378" s="29" t="s">
        <v>132</v>
      </c>
      <c r="E378" s="32">
        <v>0.08</v>
      </c>
      <c r="F378" s="31">
        <v>0.16</v>
      </c>
      <c r="G378" s="31">
        <v>0.16</v>
      </c>
      <c r="H378" s="31">
        <v>0.24</v>
      </c>
      <c r="I378" s="31">
        <v>0.32</v>
      </c>
      <c r="J378" s="32">
        <v>0.32</v>
      </c>
    </row>
    <row r="379" spans="1:10" x14ac:dyDescent="0.2">
      <c r="B379" t="s">
        <v>270</v>
      </c>
    </row>
    <row r="380" spans="1:10" x14ac:dyDescent="0.15">
      <c r="A380" cm="1">
        <f t="array" ref="A380">_xlfn.IFS(AND(C15&gt;=1,C15&lt;20),C380,AND(C15&gt;=20,C15&lt;40),D380,AND(C15&gt;=40,C15&lt;50),E380,AND(C15&gt;=50,C15&lt;60),F380,AND(C15&gt;=60,C15&lt;70),G380,AND(C15&gt;=70,C15&lt;80),H380,AND(C15&gt;=80,C15&lt;90),I380,C15=90,J380)</f>
        <v>14695</v>
      </c>
      <c r="B380" s="24" t="s">
        <v>125</v>
      </c>
      <c r="C380" s="26">
        <v>1144</v>
      </c>
      <c r="D380" s="27">
        <v>3948</v>
      </c>
      <c r="E380" s="27">
        <v>6605</v>
      </c>
      <c r="F380" s="27">
        <v>8528</v>
      </c>
      <c r="G380" s="27">
        <v>10230</v>
      </c>
      <c r="H380" s="27">
        <v>11940</v>
      </c>
      <c r="I380" s="27">
        <v>13662</v>
      </c>
      <c r="J380" s="26">
        <v>14695</v>
      </c>
    </row>
    <row r="381" spans="1:10" x14ac:dyDescent="0.15">
      <c r="A381" cm="1">
        <f t="array" ref="A381">_xlfn.IFS(AND(C15&gt;=1,C15&lt;20),C381,AND(C15&gt;=20,C15&lt;40),D381,AND(C15&gt;=40,C15&lt;50),E381,AND(C15&gt;=50,C15&lt;60),F381,AND(C15&gt;=60,C15&lt;70),G381,AND(C15&gt;=70,C15&lt;80),H381,AND(C15&gt;=80,C15&lt;90),I381,C15=90,J381)</f>
        <v>769</v>
      </c>
      <c r="B381" s="24" t="s">
        <v>128</v>
      </c>
      <c r="C381" s="25">
        <v>60</v>
      </c>
      <c r="D381" s="28">
        <v>206</v>
      </c>
      <c r="E381" s="28">
        <v>345</v>
      </c>
      <c r="F381" s="28">
        <v>446</v>
      </c>
      <c r="G381" s="28">
        <v>535</v>
      </c>
      <c r="H381" s="28">
        <v>624</v>
      </c>
      <c r="I381" s="28">
        <v>715</v>
      </c>
      <c r="J381" s="25">
        <v>769</v>
      </c>
    </row>
    <row r="382" spans="1:10" x14ac:dyDescent="0.15">
      <c r="A382" cm="1">
        <f t="array" ref="A382">_xlfn.IFS(AND(C15&gt;=1,C15&lt;20),C382,AND(C15&gt;=20,C15&lt;40),D382,AND(C15&gt;=40,C15&lt;50),E382,AND(C15&gt;=50,C15&lt;60),F382,AND(C15&gt;=60,C15&lt;70),G382,AND(C15&gt;=70,C15&lt;80),H382,AND(C15&gt;=80,C15&lt;90),I382,C15=90,J382)</f>
        <v>239</v>
      </c>
      <c r="B382" s="24" t="s">
        <v>130</v>
      </c>
      <c r="C382" s="25">
        <v>18</v>
      </c>
      <c r="D382" s="28">
        <v>64</v>
      </c>
      <c r="E382" s="28">
        <v>107</v>
      </c>
      <c r="F382" s="28">
        <v>139</v>
      </c>
      <c r="G382" s="28">
        <v>167</v>
      </c>
      <c r="H382" s="28">
        <v>194</v>
      </c>
      <c r="I382" s="28">
        <v>223</v>
      </c>
      <c r="J382" s="25">
        <v>239</v>
      </c>
    </row>
    <row r="383" spans="1:10" x14ac:dyDescent="0.15">
      <c r="A383" cm="1">
        <f t="array" ref="A383">_xlfn.IFS(AND(C15&gt;=1,C15&lt;20),C383,AND(C15&gt;=20,C15&lt;40),D383,AND(C15&gt;=40,C15&lt;50),E383,AND(C15&gt;=50,C15&lt;60),F383,AND(C15&gt;=60,C15&lt;70),G383,AND(C15&gt;=70,C15&lt;80),H383,AND(C15&gt;=80,C15&lt;90),I383,C15=90,J383)</f>
        <v>0.222</v>
      </c>
      <c r="B383" s="24" t="s">
        <v>347</v>
      </c>
      <c r="C383" s="29" t="s">
        <v>132</v>
      </c>
      <c r="D383" s="30" t="s">
        <v>132</v>
      </c>
      <c r="E383" s="31">
        <v>5.5E-2</v>
      </c>
      <c r="F383" s="31">
        <v>0.111</v>
      </c>
      <c r="G383" s="31">
        <v>0.111</v>
      </c>
      <c r="H383" s="31">
        <v>0.16600000000000001</v>
      </c>
      <c r="I383" s="31">
        <v>0.222</v>
      </c>
      <c r="J383" s="32">
        <v>0.222</v>
      </c>
    </row>
    <row r="384" spans="1:10" x14ac:dyDescent="0.2">
      <c r="B384" t="s">
        <v>271</v>
      </c>
    </row>
    <row r="385" spans="1:10" x14ac:dyDescent="0.15">
      <c r="A385" cm="1">
        <f t="array" ref="A385">_xlfn.IFS(AND(C15&gt;=1,C15&lt;20),C385,AND(C15&gt;=20,C15&lt;40),D385,AND(C15&gt;=40,C15&lt;50),E385,AND(C15&gt;=50,C15&lt;60),F385,AND(C15&gt;=60,C15&lt;70),G385,AND(C15&gt;=70,C15&lt;80),H385,AND(C15&gt;=80,C15&lt;90),I385,C15=90,J385)</f>
        <v>12397</v>
      </c>
      <c r="B385" s="24" t="s">
        <v>125</v>
      </c>
      <c r="C385" s="26">
        <v>1039</v>
      </c>
      <c r="D385" s="27">
        <v>3447</v>
      </c>
      <c r="E385" s="27">
        <v>5715</v>
      </c>
      <c r="F385" s="27">
        <v>7309</v>
      </c>
      <c r="G385" s="27">
        <v>8719</v>
      </c>
      <c r="H385" s="27">
        <v>10129</v>
      </c>
      <c r="I385" s="27">
        <v>11539</v>
      </c>
      <c r="J385" s="26">
        <v>12397</v>
      </c>
    </row>
    <row r="386" spans="1:10" x14ac:dyDescent="0.15">
      <c r="A386" cm="1">
        <f t="array" ref="A386">_xlfn.IFS(AND(C15&gt;=1,C15&lt;20),C386,AND(C15&gt;=20,C15&lt;40),D386,AND(C15&gt;=40,C15&lt;50),E386,AND(C15&gt;=50,C15&lt;60),F386,AND(C15&gt;=60,C15&lt;70),G386,AND(C15&gt;=70,C15&lt;80),H386,AND(C15&gt;=80,C15&lt;90),I386,C15=90,J386)</f>
        <v>712</v>
      </c>
      <c r="B386" s="24" t="s">
        <v>128</v>
      </c>
      <c r="C386" s="25">
        <v>60</v>
      </c>
      <c r="D386" s="28">
        <v>198</v>
      </c>
      <c r="E386" s="28">
        <v>328</v>
      </c>
      <c r="F386" s="28">
        <v>420</v>
      </c>
      <c r="G386" s="28">
        <v>501</v>
      </c>
      <c r="H386" s="28">
        <v>582</v>
      </c>
      <c r="I386" s="28">
        <v>663</v>
      </c>
      <c r="J386" s="25">
        <v>712</v>
      </c>
    </row>
    <row r="387" spans="1:10" x14ac:dyDescent="0.15">
      <c r="A387" cm="1">
        <f t="array" ref="A387">_xlfn.IFS(AND(C15&gt;=1,C15&lt;20),C387,AND(C15&gt;=20,C15&lt;40),D387,AND(C15&gt;=40,C15&lt;50),E387,AND(C15&gt;=50,C15&lt;60),F387,AND(C15&gt;=60,C15&lt;70),G387,AND(C15&gt;=70,C15&lt;80),H387,AND(C15&gt;=80,C15&lt;90),I387,C15=90,J387)</f>
        <v>232</v>
      </c>
      <c r="B387" s="24" t="s">
        <v>130</v>
      </c>
      <c r="C387" s="25">
        <v>19</v>
      </c>
      <c r="D387" s="28">
        <v>64</v>
      </c>
      <c r="E387" s="28">
        <v>106</v>
      </c>
      <c r="F387" s="28">
        <v>136</v>
      </c>
      <c r="G387" s="28">
        <v>163</v>
      </c>
      <c r="H387" s="28">
        <v>189</v>
      </c>
      <c r="I387" s="28">
        <v>214</v>
      </c>
      <c r="J387" s="25">
        <v>232</v>
      </c>
    </row>
    <row r="388" spans="1:10" x14ac:dyDescent="0.15">
      <c r="A388" cm="1">
        <f t="array" ref="A388">_xlfn.IFS(AND(C15&gt;=1,C15&lt;20),C388,AND(C15&gt;=20,C15&lt;40),D388,AND(C15&gt;=40,C15&lt;50),E388,AND(C15&gt;=50,C15&lt;60),F388,AND(C15&gt;=60,C15&lt;70),G388,AND(C15&gt;=70,C15&lt;80),H388,AND(C15&gt;=80,C15&lt;90),I388,C15=90,J388)</f>
        <v>0.24</v>
      </c>
      <c r="B388" s="24" t="s">
        <v>467</v>
      </c>
      <c r="C388" s="29" t="s">
        <v>132</v>
      </c>
      <c r="D388" s="30" t="s">
        <v>132</v>
      </c>
      <c r="E388" s="31">
        <v>0.06</v>
      </c>
      <c r="F388" s="31">
        <v>0.12</v>
      </c>
      <c r="G388" s="31">
        <v>0.12</v>
      </c>
      <c r="H388" s="31">
        <v>0.18</v>
      </c>
      <c r="I388" s="31">
        <v>0.24</v>
      </c>
      <c r="J388" s="32">
        <v>0.24</v>
      </c>
    </row>
    <row r="389" spans="1:10" x14ac:dyDescent="0.2">
      <c r="B389" t="s">
        <v>272</v>
      </c>
    </row>
    <row r="390" spans="1:10" x14ac:dyDescent="0.15">
      <c r="A390" cm="1">
        <f t="array" ref="A390">_xlfn.IFS(AND(C15&gt;=1,C15&lt;20),C390,AND(C15&gt;=20,C15&lt;40),D390,AND(C15&gt;=40,C15&lt;50),E390,AND(C15&gt;=50,C15&lt;60),F390,AND(C15&gt;=60,C15&lt;70),G390,AND(C15&gt;=70,C15&lt;80),H390,AND(C15&gt;=80,C15&lt;90),I390,C15=90,J390)</f>
        <v>9570</v>
      </c>
      <c r="B390" s="24" t="s">
        <v>125</v>
      </c>
      <c r="C390" s="25">
        <v>802</v>
      </c>
      <c r="D390" s="27">
        <v>2661</v>
      </c>
      <c r="E390" s="27">
        <v>4411</v>
      </c>
      <c r="F390" s="27">
        <v>5642</v>
      </c>
      <c r="G390" s="27">
        <v>6731</v>
      </c>
      <c r="H390" s="27">
        <v>7819</v>
      </c>
      <c r="I390" s="27">
        <v>8907</v>
      </c>
      <c r="J390" s="26">
        <v>9570</v>
      </c>
    </row>
    <row r="391" spans="1:10" x14ac:dyDescent="0.15">
      <c r="A391" cm="1">
        <f t="array" ref="A391">_xlfn.IFS(AND(C15&gt;=1,C15&lt;20),C391,AND(C15&gt;=20,C15&lt;40),D391,AND(C15&gt;=40,C15&lt;50),E391,AND(C15&gt;=50,C15&lt;60),F391,AND(C15&gt;=60,C15&lt;70),G391,AND(C15&gt;=70,C15&lt;80),H391,AND(C15&gt;=80,C15&lt;90),I391,C15=90,J391)</f>
        <v>628</v>
      </c>
      <c r="B391" s="24" t="s">
        <v>128</v>
      </c>
      <c r="C391" s="25">
        <v>53</v>
      </c>
      <c r="D391" s="28">
        <v>175</v>
      </c>
      <c r="E391" s="28">
        <v>289</v>
      </c>
      <c r="F391" s="28">
        <v>370</v>
      </c>
      <c r="G391" s="28">
        <v>442</v>
      </c>
      <c r="H391" s="28">
        <v>513</v>
      </c>
      <c r="I391" s="28">
        <v>584</v>
      </c>
      <c r="J391" s="25">
        <v>628</v>
      </c>
    </row>
    <row r="392" spans="1:10" x14ac:dyDescent="0.15">
      <c r="A392" cm="1">
        <f t="array" ref="A392">_xlfn.IFS(AND(C15&gt;=1,C15&lt;20),C392,AND(C15&gt;=20,C15&lt;40),D392,AND(C15&gt;=40,C15&lt;50),E392,AND(C15&gt;=50,C15&lt;60),F392,AND(C15&gt;=60,C15&lt;70),G392,AND(C15&gt;=70,C15&lt;80),H392,AND(C15&gt;=80,C15&lt;90),I392,C15=90,J392)</f>
        <v>197</v>
      </c>
      <c r="B392" s="24" t="s">
        <v>130</v>
      </c>
      <c r="C392" s="25">
        <v>16</v>
      </c>
      <c r="D392" s="28">
        <v>54</v>
      </c>
      <c r="E392" s="28">
        <v>90</v>
      </c>
      <c r="F392" s="28">
        <v>116</v>
      </c>
      <c r="G392" s="28">
        <v>138</v>
      </c>
      <c r="H392" s="28">
        <v>160</v>
      </c>
      <c r="I392" s="28">
        <v>183</v>
      </c>
      <c r="J392" s="25">
        <v>197</v>
      </c>
    </row>
    <row r="393" spans="1:10" x14ac:dyDescent="0.15">
      <c r="A393" cm="1">
        <f t="array" ref="A393">_xlfn.IFS(AND(C15&gt;=1,C15&lt;20),C393,AND(C15&gt;=20,C15&lt;40),D393,AND(C15&gt;=40,C15&lt;50),E393,AND(C15&gt;=50,C15&lt;60),F393,AND(C15&gt;=60,C15&lt;70),G393,AND(C15&gt;=70,C15&lt;80),H393,AND(C15&gt;=80,C15&lt;90),I393,C15=90,J393)</f>
        <v>0.24</v>
      </c>
      <c r="B393" s="24" t="s">
        <v>36</v>
      </c>
      <c r="C393" s="29" t="s">
        <v>132</v>
      </c>
      <c r="D393" s="30" t="s">
        <v>132</v>
      </c>
      <c r="E393" s="31">
        <v>0.06</v>
      </c>
      <c r="F393" s="31">
        <v>0.12</v>
      </c>
      <c r="G393" s="31">
        <v>0.12</v>
      </c>
      <c r="H393" s="31">
        <v>0.18</v>
      </c>
      <c r="I393" s="31">
        <v>0.24</v>
      </c>
      <c r="J393" s="32">
        <v>0.24</v>
      </c>
    </row>
    <row r="394" spans="1:10" x14ac:dyDescent="0.2">
      <c r="B394" t="s">
        <v>273</v>
      </c>
    </row>
    <row r="395" spans="1:10" ht="15" x14ac:dyDescent="0.2">
      <c r="A395" cm="1">
        <f t="array" ref="A395">_xlfn.IFS(AND(C15&gt;=1,C15&lt;20),C395,AND(C15&gt;=20,C15&lt;40),D395,AND(C15&gt;=40,C15&lt;50),E395,AND(C15&gt;=50,C15&lt;60),F395,AND(C15&gt;=60,C15&lt;70),G395,AND(C15&gt;=70,C15&lt;80),H395,AND(C15&gt;=80,C15&lt;90),I395,C15=90,J395)</f>
        <v>10657</v>
      </c>
      <c r="B395" s="15" t="s">
        <v>125</v>
      </c>
      <c r="C395" s="19">
        <v>894</v>
      </c>
      <c r="D395" s="17">
        <v>2963</v>
      </c>
      <c r="E395" s="17">
        <v>4913</v>
      </c>
      <c r="F395" s="17">
        <v>6283</v>
      </c>
      <c r="G395" s="17">
        <v>7495</v>
      </c>
      <c r="H395" s="17">
        <v>8707</v>
      </c>
      <c r="I395" s="17">
        <v>9919</v>
      </c>
      <c r="J395" s="16">
        <v>10657</v>
      </c>
    </row>
    <row r="396" spans="1:10" ht="15" x14ac:dyDescent="0.2">
      <c r="A396" cm="1">
        <f t="array" ref="A396">_xlfn.IFS(AND(C15&gt;=1,C15&lt;20),C396,AND(C15&gt;=20,C15&lt;40),D396,AND(C15&gt;=40,C15&lt;50),E396,AND(C15&gt;=50,C15&lt;60),F396,AND(C15&gt;=60,C15&lt;70),G396,AND(C15&gt;=70,C15&lt;80),H396,AND(C15&gt;=80,C15&lt;90),I396,C15=90,J396)</f>
        <v>684</v>
      </c>
      <c r="B396" s="15" t="s">
        <v>128</v>
      </c>
      <c r="C396" s="19">
        <v>57</v>
      </c>
      <c r="D396" s="18">
        <v>190</v>
      </c>
      <c r="E396" s="18">
        <v>315</v>
      </c>
      <c r="F396" s="18">
        <v>403</v>
      </c>
      <c r="G396" s="18">
        <v>481</v>
      </c>
      <c r="H396" s="18">
        <v>559</v>
      </c>
      <c r="I396" s="18">
        <v>637</v>
      </c>
      <c r="J396" s="19">
        <v>684</v>
      </c>
    </row>
    <row r="397" spans="1:10" ht="15" x14ac:dyDescent="0.2">
      <c r="A397" cm="1">
        <f t="array" ref="A397">_xlfn.IFS(AND(C15&gt;=1,C15&lt;20),C397,AND(C15&gt;=20,C15&lt;40),D397,AND(C15&gt;=40,C15&lt;50),E397,AND(C15&gt;=50,C15&lt;60),F397,AND(C15&gt;=60,C15&lt;70),G397,AND(C15&gt;=70,C15&lt;80),H397,AND(C15&gt;=80,C15&lt;90),I397,C15=90,J397)</f>
        <v>225</v>
      </c>
      <c r="B397" s="15" t="s">
        <v>130</v>
      </c>
      <c r="C397" s="19">
        <v>18</v>
      </c>
      <c r="D397" s="18">
        <v>62</v>
      </c>
      <c r="E397" s="18">
        <v>103</v>
      </c>
      <c r="F397" s="18">
        <v>133</v>
      </c>
      <c r="G397" s="18">
        <v>158</v>
      </c>
      <c r="H397" s="18">
        <v>184</v>
      </c>
      <c r="I397" s="18">
        <v>209</v>
      </c>
      <c r="J397" s="19">
        <v>225</v>
      </c>
    </row>
    <row r="398" spans="1:10" ht="15" x14ac:dyDescent="0.2">
      <c r="A398" cm="1">
        <f t="array" ref="A398">_xlfn.IFS(AND(C15&gt;=1,C15&lt;20),C398,AND(C15&gt;=20,C15&lt;40),D398,AND(C15&gt;=40,C15&lt;50),E398,AND(C15&gt;=50,C15&lt;60),F398,AND(C15&gt;=60,C15&lt;70),G398,AND(C15&gt;=70,C15&lt;80),H398,AND(C15&gt;=80,C15&lt;90),I398,C15=90,J398)</f>
        <v>0.24</v>
      </c>
      <c r="B398" s="15" t="s">
        <v>467</v>
      </c>
      <c r="C398" s="20" t="s">
        <v>132</v>
      </c>
      <c r="D398" s="21" t="s">
        <v>132</v>
      </c>
      <c r="E398" s="22">
        <v>0.06</v>
      </c>
      <c r="F398" s="22">
        <v>0.12</v>
      </c>
      <c r="G398" s="22">
        <v>0.12</v>
      </c>
      <c r="H398" s="22">
        <v>0.18</v>
      </c>
      <c r="I398" s="22">
        <v>0.24</v>
      </c>
      <c r="J398" s="23">
        <v>0.24</v>
      </c>
    </row>
    <row r="399" spans="1:10" x14ac:dyDescent="0.2">
      <c r="B399" t="s">
        <v>274</v>
      </c>
    </row>
    <row r="400" spans="1:10" x14ac:dyDescent="0.15">
      <c r="A400" cm="1">
        <f t="array" ref="A400">_xlfn.IFS(AND(C15&gt;=1,C15&lt;20),C400,AND(C15&gt;=20,C15&lt;40),D400,AND(C15&gt;=40,C15&lt;50),E400,AND(C15&gt;=50,C15&lt;60),F400,AND(C15&gt;=60,C15&lt;70),G400,AND(C15&gt;=70,C15&lt;80),H400,AND(C15&gt;=80,C15&lt;90),I400,C15=90,J400)</f>
        <v>11854</v>
      </c>
      <c r="B400" s="24" t="s">
        <v>125</v>
      </c>
      <c r="C400" s="25">
        <v>994</v>
      </c>
      <c r="D400" s="33">
        <v>3296</v>
      </c>
      <c r="E400" s="33">
        <v>5464</v>
      </c>
      <c r="F400" s="33">
        <v>6988</v>
      </c>
      <c r="G400" s="27">
        <v>8337</v>
      </c>
      <c r="H400" s="27">
        <v>9684</v>
      </c>
      <c r="I400" s="27">
        <v>11033</v>
      </c>
      <c r="J400" s="26">
        <v>11854</v>
      </c>
    </row>
    <row r="401" spans="1:10" x14ac:dyDescent="0.15">
      <c r="A401" cm="1">
        <f t="array" ref="A401">_xlfn.IFS(AND(C15&gt;=1,C15&lt;20),C401,AND(C15&gt;=20,C15&lt;40),D401,AND(C15&gt;=40,C15&lt;50),E401,AND(C15&gt;=50,C15&lt;60),F401,AND(C15&gt;=60,C15&lt;70),G401,AND(C15&gt;=70,C15&lt;80),H401,AND(C15&gt;=80,C15&lt;90),I401,C15=90,J401)</f>
        <v>745</v>
      </c>
      <c r="B401" s="24" t="s">
        <v>128</v>
      </c>
      <c r="C401" s="25">
        <v>62</v>
      </c>
      <c r="D401" s="34">
        <v>207</v>
      </c>
      <c r="E401" s="34">
        <v>343</v>
      </c>
      <c r="F401" s="34">
        <v>439</v>
      </c>
      <c r="G401" s="28">
        <v>524</v>
      </c>
      <c r="H401" s="28">
        <v>608</v>
      </c>
      <c r="I401" s="28">
        <v>693</v>
      </c>
      <c r="J401" s="25">
        <v>745</v>
      </c>
    </row>
    <row r="402" spans="1:10" x14ac:dyDescent="0.15">
      <c r="A402" cm="1">
        <f t="array" ref="A402">_xlfn.IFS(AND(C15&gt;=1,C15&lt;20),C402,AND(C15&gt;=20,C15&lt;40),D402,AND(C15&gt;=40,C15&lt;50),E402,AND(C15&gt;=50,C15&lt;60),F402,AND(C15&gt;=60,C15&lt;70),G402,AND(C15&gt;=70,C15&lt;80),H402,AND(C15&gt;=80,C15&lt;90),I402,C15=90,J402)</f>
        <v>244</v>
      </c>
      <c r="B402" s="24" t="s">
        <v>130</v>
      </c>
      <c r="C402" s="25">
        <v>20</v>
      </c>
      <c r="D402" s="34">
        <v>68</v>
      </c>
      <c r="E402" s="34">
        <v>113</v>
      </c>
      <c r="F402" s="34">
        <v>144</v>
      </c>
      <c r="G402" s="28">
        <v>172</v>
      </c>
      <c r="H402" s="28">
        <v>199</v>
      </c>
      <c r="I402" s="28">
        <v>228</v>
      </c>
      <c r="J402" s="25">
        <v>244</v>
      </c>
    </row>
    <row r="403" spans="1:10" x14ac:dyDescent="0.15">
      <c r="A403" cm="1">
        <f t="array" ref="A403">_xlfn.IFS(AND(C15&gt;=1,C15&lt;20),C403,AND(C15&gt;=20,C15&lt;40),D403,AND(C15&gt;=40,C15&lt;50),E403,AND(C15&gt;=50,C15&lt;60),F403,AND(C15&gt;=60,C15&lt;70),G403,AND(C15&gt;=70,C15&lt;80),H403,AND(C15&gt;=80,C15&lt;90),I403,C15=90,J403)</f>
        <v>96</v>
      </c>
      <c r="B403" s="24" t="s">
        <v>74</v>
      </c>
      <c r="C403" s="29" t="s">
        <v>132</v>
      </c>
      <c r="D403" s="30" t="s">
        <v>132</v>
      </c>
      <c r="E403" s="28">
        <v>24</v>
      </c>
      <c r="F403" s="28">
        <v>48</v>
      </c>
      <c r="G403" s="28">
        <v>48</v>
      </c>
      <c r="H403" s="28">
        <v>72</v>
      </c>
      <c r="I403" s="28">
        <v>96</v>
      </c>
      <c r="J403" s="25">
        <v>96</v>
      </c>
    </row>
    <row r="404" spans="1:10" x14ac:dyDescent="0.2">
      <c r="B404" t="s">
        <v>275</v>
      </c>
    </row>
    <row r="405" spans="1:10" ht="15" x14ac:dyDescent="0.2">
      <c r="A405" cm="1">
        <f t="array" ref="A405">_xlfn.IFS(AND(C15&gt;=1,C15&lt;20),C405,AND(C15&gt;=20,C15&lt;40),D405,AND(C15&gt;=40,C15&lt;50),E405,AND(C15&gt;=50,C15&lt;60),F405,AND(C15&gt;=60,C15&lt;70),G405,AND(C15&gt;=70,C15&lt;80),H405,AND(C15&gt;=80,C15&lt;90),I405,C15=90,J405)</f>
        <v>9244</v>
      </c>
      <c r="B405" s="15" t="s">
        <v>125</v>
      </c>
      <c r="C405" s="19">
        <v>775</v>
      </c>
      <c r="D405" s="17">
        <v>2570</v>
      </c>
      <c r="E405" s="17">
        <v>4261</v>
      </c>
      <c r="F405" s="17">
        <v>5450</v>
      </c>
      <c r="G405" s="17">
        <v>6501</v>
      </c>
      <c r="H405" s="17">
        <v>7552</v>
      </c>
      <c r="I405" s="35">
        <v>8604</v>
      </c>
      <c r="J405" s="16">
        <v>9244</v>
      </c>
    </row>
    <row r="406" spans="1:10" ht="15" x14ac:dyDescent="0.2">
      <c r="A406" cm="1">
        <f t="array" ref="A406">_xlfn.IFS(AND(C15&gt;=1,C15&lt;20),C406,AND(C15&gt;=20,C15&lt;40),D406,AND(C15&gt;=40,C15&lt;50),E406,AND(C15&gt;=50,C15&lt;60),F406,AND(C15&gt;=60,C15&lt;70),G406,AND(C15&gt;=70,C15&lt;80),H406,AND(C15&gt;=80,C15&lt;90),I406,C15=90,J406)</f>
        <v>703</v>
      </c>
      <c r="B406" s="15" t="s">
        <v>128</v>
      </c>
      <c r="C406" s="19">
        <v>59</v>
      </c>
      <c r="D406" s="18">
        <v>195</v>
      </c>
      <c r="E406" s="18">
        <v>324</v>
      </c>
      <c r="F406" s="18">
        <v>414</v>
      </c>
      <c r="G406" s="18">
        <v>494</v>
      </c>
      <c r="H406" s="18">
        <v>574</v>
      </c>
      <c r="I406" s="36">
        <v>654</v>
      </c>
      <c r="J406" s="19">
        <v>703</v>
      </c>
    </row>
    <row r="407" spans="1:10" ht="15" x14ac:dyDescent="0.2">
      <c r="A407" cm="1">
        <f t="array" ref="A407">_xlfn.IFS(AND(C15&gt;=1,C15&lt;20),C407,AND(C15&gt;=20,C15&lt;40),D407,AND(C15&gt;=40,C15&lt;50),E407,AND(C15&gt;=50,C15&lt;60),F407,AND(C15&gt;=60,C15&lt;70),G407,AND(C15&gt;=70,C15&lt;80),H407,AND(C15&gt;=80,C15&lt;90),I407,C15=90,J407)</f>
        <v>170</v>
      </c>
      <c r="B407" s="15" t="s">
        <v>130</v>
      </c>
      <c r="C407" s="19">
        <v>14</v>
      </c>
      <c r="D407" s="18">
        <v>47</v>
      </c>
      <c r="E407" s="18">
        <v>79</v>
      </c>
      <c r="F407" s="18">
        <v>100</v>
      </c>
      <c r="G407" s="18">
        <v>120</v>
      </c>
      <c r="H407" s="18">
        <v>139</v>
      </c>
      <c r="I407" s="36">
        <v>158</v>
      </c>
      <c r="J407" s="19">
        <v>170</v>
      </c>
    </row>
    <row r="408" spans="1:10" ht="15" x14ac:dyDescent="0.2">
      <c r="A408" cm="1">
        <f t="array" ref="A408">_xlfn.IFS(AND(C15&gt;=1,C15&lt;20),C408,AND(C15&gt;=20,C15&lt;40),D408,AND(C15&gt;=40,C15&lt;50),E408,AND(C15&gt;=50,C15&lt;60),F408,AND(C15&gt;=60,C15&lt;70),G408,AND(C15&gt;=70,C15&lt;80),H408,AND(C15&gt;=80,C15&lt;90),I408,C15=90,J408)</f>
        <v>0.24</v>
      </c>
      <c r="B408" s="15" t="s">
        <v>467</v>
      </c>
      <c r="C408" s="20" t="s">
        <v>132</v>
      </c>
      <c r="D408" s="21" t="s">
        <v>132</v>
      </c>
      <c r="E408" s="22">
        <v>0.06</v>
      </c>
      <c r="F408" s="22">
        <v>0.12</v>
      </c>
      <c r="G408" s="22">
        <v>0.12</v>
      </c>
      <c r="H408" s="22">
        <v>0.18</v>
      </c>
      <c r="I408" s="22">
        <v>0.24</v>
      </c>
      <c r="J408" s="23">
        <v>0.24</v>
      </c>
    </row>
    <row r="409" spans="1:10" x14ac:dyDescent="0.2">
      <c r="B409" t="s">
        <v>276</v>
      </c>
    </row>
    <row r="410" spans="1:10" x14ac:dyDescent="0.15">
      <c r="A410" cm="1">
        <f t="array" ref="A410">_xlfn.IFS(AND(C15&gt;=1,C15&lt;20),C410,AND(C15&gt;=20,C15&lt;40),D410,AND(C15&gt;=40,C15&lt;50),E410,AND(C15&gt;=50,C15&lt;60),F410,AND(C15&gt;=60,C15&lt;70),G410,AND(C15&gt;=70,C15&lt;80),H410,AND(C15&gt;=80,C15&lt;90),I410,C15=90,J410)</f>
        <v>12405</v>
      </c>
      <c r="B410" s="24" t="s">
        <v>125</v>
      </c>
      <c r="C410" s="25">
        <v>966</v>
      </c>
      <c r="D410" s="27">
        <v>3333</v>
      </c>
      <c r="E410" s="27">
        <v>5576</v>
      </c>
      <c r="F410" s="27">
        <v>7199</v>
      </c>
      <c r="G410" s="27">
        <v>8636</v>
      </c>
      <c r="H410" s="27">
        <v>10079</v>
      </c>
      <c r="I410" s="27">
        <v>11533</v>
      </c>
      <c r="J410" s="26">
        <v>12405</v>
      </c>
    </row>
    <row r="411" spans="1:10" x14ac:dyDescent="0.15">
      <c r="A411" cm="1">
        <f t="array" ref="A411">_xlfn.IFS(AND(C15&gt;=1,C15&lt;20),C411,AND(C15&gt;=20,C15&lt;40),D411,AND(C15&gt;=40,C15&lt;50),E411,AND(C15&gt;=50,C15&lt;60),F411,AND(C15&gt;=60,C15&lt;70),G411,AND(C15&gt;=70,C15&lt;80),H411,AND(C15&gt;=80,C15&lt;90),I411,C15=90,J411)</f>
        <v>930</v>
      </c>
      <c r="B411" s="24" t="s">
        <v>128</v>
      </c>
      <c r="C411" s="25">
        <v>72</v>
      </c>
      <c r="D411" s="28">
        <v>250</v>
      </c>
      <c r="E411" s="28">
        <v>418</v>
      </c>
      <c r="F411" s="28">
        <v>540</v>
      </c>
      <c r="G411" s="28">
        <v>647</v>
      </c>
      <c r="H411" s="28">
        <v>756</v>
      </c>
      <c r="I411" s="28">
        <v>865</v>
      </c>
      <c r="J411" s="25">
        <v>930</v>
      </c>
    </row>
    <row r="412" spans="1:10" x14ac:dyDescent="0.15">
      <c r="A412" cm="1">
        <f t="array" ref="A412">_xlfn.IFS(AND(C15&gt;=1,C15&lt;20),C412,AND(C15&gt;=20,C15&lt;40),D412,AND(C15&gt;=40,C15&lt;50),E412,AND(C15&gt;=50,C15&lt;60),F412,AND(C15&gt;=60,C15&lt;70),G412,AND(C15&gt;=70,C15&lt;80),H412,AND(C15&gt;=80,C15&lt;90),I412,C15=90,J412)</f>
        <v>274</v>
      </c>
      <c r="B412" s="24" t="s">
        <v>130</v>
      </c>
      <c r="C412" s="25">
        <v>21</v>
      </c>
      <c r="D412" s="28">
        <v>74</v>
      </c>
      <c r="E412" s="28">
        <v>123</v>
      </c>
      <c r="F412" s="28">
        <v>159</v>
      </c>
      <c r="G412" s="28">
        <v>191</v>
      </c>
      <c r="H412" s="28">
        <v>223</v>
      </c>
      <c r="I412" s="28">
        <v>255</v>
      </c>
      <c r="J412" s="25">
        <v>274</v>
      </c>
    </row>
    <row r="413" spans="1:10" x14ac:dyDescent="0.15">
      <c r="A413" cm="1">
        <f t="array" ref="A413">_xlfn.IFS(AND(C15&gt;=1,C15&lt;20),C413,AND(C15&gt;=20,C15&lt;40),D413,AND(C15&gt;=40,C15&lt;50),E413,AND(C15&gt;=50,C15&lt;60),F413,AND(C15&gt;=60,C15&lt;70),G413,AND(C15&gt;=70,C15&lt;80),H413,AND(C15&gt;=80,C15&lt;90),I413,C15=90,J413)</f>
        <v>0.36</v>
      </c>
      <c r="B413" s="24" t="s">
        <v>35</v>
      </c>
      <c r="C413" s="29" t="s">
        <v>132</v>
      </c>
      <c r="D413" s="30" t="s">
        <v>132</v>
      </c>
      <c r="E413" s="31">
        <v>0.09</v>
      </c>
      <c r="F413" s="31">
        <v>0.18</v>
      </c>
      <c r="G413" s="31">
        <v>0.18</v>
      </c>
      <c r="H413" s="31">
        <v>0.27</v>
      </c>
      <c r="I413" s="31">
        <v>0.36</v>
      </c>
      <c r="J413" s="32">
        <v>0.36</v>
      </c>
    </row>
    <row r="414" spans="1:10" x14ac:dyDescent="0.2">
      <c r="B414" t="s">
        <v>279</v>
      </c>
    </row>
    <row r="415" spans="1:10" x14ac:dyDescent="0.15">
      <c r="A415" cm="1">
        <f t="array" ref="A415">_xlfn.IFS(AND(C15&gt;=1,C15&lt;20),C415,AND(C15&gt;=20,C15&lt;40),D415,AND(C15&gt;=40,C15&lt;50),E415,AND(C15&gt;=50,C15&lt;60),F415,AND(C15&gt;=60,C15&lt;70),G415,AND(C15&gt;=70,C15&lt;80),H415,AND(C15&gt;=80,C15&lt;90),I415,C15=90,J415)</f>
        <v>11438</v>
      </c>
      <c r="B415" s="24" t="s">
        <v>125</v>
      </c>
      <c r="C415" s="25">
        <v>890</v>
      </c>
      <c r="D415" s="27">
        <v>3073</v>
      </c>
      <c r="E415" s="27">
        <v>5141</v>
      </c>
      <c r="F415" s="27">
        <v>6638</v>
      </c>
      <c r="G415" s="27">
        <v>7962</v>
      </c>
      <c r="H415" s="27">
        <v>9293</v>
      </c>
      <c r="I415" s="27">
        <v>10634</v>
      </c>
      <c r="J415" s="26">
        <v>11438</v>
      </c>
    </row>
    <row r="416" spans="1:10" x14ac:dyDescent="0.15">
      <c r="A416" cm="1">
        <f t="array" ref="A416">_xlfn.IFS(AND(C15&gt;=1,C15&lt;20),C416,AND(C15&gt;=20,C15&lt;40),D416,AND(C15&gt;=40,C15&lt;50),E416,AND(C15&gt;=50,C15&lt;60),F416,AND(C15&gt;=60,C15&lt;70),G416,AND(C15&gt;=70,C15&lt;80),H416,AND(C15&gt;=80,C15&lt;90),I416,C15=90,J416)</f>
        <v>953</v>
      </c>
      <c r="B416" s="24" t="s">
        <v>128</v>
      </c>
      <c r="C416" s="25">
        <v>74</v>
      </c>
      <c r="D416" s="28">
        <v>256</v>
      </c>
      <c r="E416" s="28">
        <v>428</v>
      </c>
      <c r="F416" s="28">
        <v>553</v>
      </c>
      <c r="G416" s="28">
        <v>663</v>
      </c>
      <c r="H416" s="28">
        <v>774</v>
      </c>
      <c r="I416" s="28">
        <v>886</v>
      </c>
      <c r="J416" s="25">
        <v>953</v>
      </c>
    </row>
    <row r="417" spans="1:10" x14ac:dyDescent="0.15">
      <c r="A417" cm="1">
        <f t="array" ref="A417">_xlfn.IFS(AND(C15&gt;=1,C15&lt;20),C417,AND(C15&gt;=20,C15&lt;40),D417,AND(C15&gt;=40,C15&lt;50),E417,AND(C15&gt;=50,C15&lt;60),F417,AND(C15&gt;=60,C15&lt;70),G417,AND(C15&gt;=70,C15&lt;80),H417,AND(C15&gt;=80,C15&lt;90),I417,C15=90,J417)</f>
        <v>323</v>
      </c>
      <c r="B417" s="24" t="s">
        <v>130</v>
      </c>
      <c r="C417" s="25">
        <v>25</v>
      </c>
      <c r="D417" s="28">
        <v>86</v>
      </c>
      <c r="E417" s="28">
        <v>145</v>
      </c>
      <c r="F417" s="28">
        <v>187</v>
      </c>
      <c r="G417" s="28">
        <v>224</v>
      </c>
      <c r="H417" s="28">
        <v>262</v>
      </c>
      <c r="I417" s="28">
        <v>300</v>
      </c>
      <c r="J417" s="25">
        <v>323</v>
      </c>
    </row>
    <row r="418" spans="1:10" x14ac:dyDescent="0.15">
      <c r="A418" cm="1">
        <f t="array" ref="A418">_xlfn.IFS(AND(C15&gt;=1,C15&lt;20),C418,AND(C15&gt;=20,C15&lt;40),D418,AND(C15&gt;=40,C15&lt;50),E418,AND(C15&gt;=50,C15&lt;60),F418,AND(C15&gt;=60,C15&lt;70),G418,AND(C15&gt;=70,C15&lt;80),H418,AND(C15&gt;=80,C15&lt;90),I418,C15=90,J418)</f>
        <v>0.192</v>
      </c>
      <c r="B418" s="24" t="s">
        <v>37</v>
      </c>
      <c r="C418" s="29" t="s">
        <v>132</v>
      </c>
      <c r="D418" s="30" t="s">
        <v>132</v>
      </c>
      <c r="E418" s="31">
        <v>4.8000000000000001E-2</v>
      </c>
      <c r="F418" s="31">
        <v>9.6000000000000002E-2</v>
      </c>
      <c r="G418" s="31">
        <v>9.6000000000000002E-2</v>
      </c>
      <c r="H418" s="31">
        <v>0.14399999999999999</v>
      </c>
      <c r="I418" s="31">
        <v>0.192</v>
      </c>
      <c r="J418" s="32">
        <v>0.192</v>
      </c>
    </row>
    <row r="419" spans="1:10" x14ac:dyDescent="0.2">
      <c r="B419" t="s">
        <v>280</v>
      </c>
    </row>
    <row r="420" spans="1:10" x14ac:dyDescent="0.15">
      <c r="A420" cm="1">
        <f t="array" ref="A420">_xlfn.IFS(AND(C15&gt;=1,C15&lt;20),C420,AND(C15&gt;=20,C15&lt;40),D420,AND(C15&gt;=40,C15&lt;50),E420,AND(C15&gt;=50,C15&lt;60),F420,AND(C15&gt;=60,C15&lt;70),G420,AND(C15&gt;=70,C15&lt;80),H420,AND(C15&gt;=80,C15&lt;90),I420,C15=90,J420)</f>
        <v>12650</v>
      </c>
      <c r="B420" s="24" t="s">
        <v>125</v>
      </c>
      <c r="C420" s="25">
        <v>985</v>
      </c>
      <c r="D420" s="27">
        <v>3399</v>
      </c>
      <c r="E420" s="27">
        <v>5686</v>
      </c>
      <c r="F420" s="27">
        <v>7341</v>
      </c>
      <c r="G420" s="27">
        <v>8806</v>
      </c>
      <c r="H420" s="27">
        <v>10278</v>
      </c>
      <c r="I420" s="27">
        <v>11761</v>
      </c>
      <c r="J420" s="26">
        <v>12650</v>
      </c>
    </row>
    <row r="421" spans="1:10" x14ac:dyDescent="0.15">
      <c r="A421" cm="1">
        <f t="array" ref="A421">_xlfn.IFS(AND(C15&gt;=1,C15&lt;20),C421,AND(C15&gt;=20,C15&lt;40),D421,AND(C15&gt;=40,C15&lt;50),E421,AND(C15&gt;=50,C15&lt;60),F421,AND(C15&gt;=60,C15&lt;70),G421,AND(C15&gt;=70,C15&lt;80),H421,AND(C15&gt;=80,C15&lt;90),I421,C15=90,J421)</f>
        <v>793</v>
      </c>
      <c r="B421" s="24" t="s">
        <v>128</v>
      </c>
      <c r="C421" s="25">
        <v>62</v>
      </c>
      <c r="D421" s="28">
        <v>213</v>
      </c>
      <c r="E421" s="28">
        <v>356</v>
      </c>
      <c r="F421" s="28">
        <v>460</v>
      </c>
      <c r="G421" s="28">
        <v>552</v>
      </c>
      <c r="H421" s="28">
        <v>644</v>
      </c>
      <c r="I421" s="28">
        <v>737</v>
      </c>
      <c r="J421" s="25">
        <v>793</v>
      </c>
    </row>
    <row r="422" spans="1:10" x14ac:dyDescent="0.15">
      <c r="A422" cm="1">
        <f t="array" ref="A422">_xlfn.IFS(AND(C15&gt;=1,C15&lt;20),C422,AND(C15&gt;=20,C15&lt;40),D422,AND(C15&gt;=40,C15&lt;50),E422,AND(C15&gt;=50,C15&lt;60),F422,AND(C15&gt;=60,C15&lt;70),G422,AND(C15&gt;=70,C15&lt;80),H422,AND(C15&gt;=80,C15&lt;90),I422,C15=90,J422)</f>
        <v>352</v>
      </c>
      <c r="B422" s="24" t="s">
        <v>130</v>
      </c>
      <c r="C422" s="25">
        <v>27</v>
      </c>
      <c r="D422" s="28">
        <v>94</v>
      </c>
      <c r="E422" s="28">
        <v>158</v>
      </c>
      <c r="F422" s="28">
        <v>204</v>
      </c>
      <c r="G422" s="28">
        <v>245</v>
      </c>
      <c r="H422" s="28">
        <v>285</v>
      </c>
      <c r="I422" s="28">
        <v>327</v>
      </c>
      <c r="J422" s="25">
        <v>352</v>
      </c>
    </row>
    <row r="423" spans="1:10" x14ac:dyDescent="0.15">
      <c r="A423" cm="1">
        <f t="array" ref="A423">_xlfn.IFS(AND(C15&gt;=1,C15&lt;20),C423,AND(C15&gt;=20,C15&lt;40),D423,AND(C15&gt;=40,C15&lt;50),E423,AND(C15&gt;=50,C15&lt;60),F423,AND(C15&gt;=60,C15&lt;70),G423,AND(C15&gt;=70,C15&lt;80),H423,AND(C15&gt;=80,C15&lt;90),I423,C15=90,J423)</f>
        <v>0.38400000000000001</v>
      </c>
      <c r="B423" s="24" t="s">
        <v>38</v>
      </c>
      <c r="C423" s="29" t="s">
        <v>132</v>
      </c>
      <c r="D423" s="30" t="s">
        <v>132</v>
      </c>
      <c r="E423" s="31">
        <v>9.6000000000000002E-2</v>
      </c>
      <c r="F423" s="31">
        <v>0.192</v>
      </c>
      <c r="G423" s="31">
        <v>0.192</v>
      </c>
      <c r="H423" s="31">
        <v>0.28799999999999998</v>
      </c>
      <c r="I423" s="31">
        <v>0.38400000000000001</v>
      </c>
      <c r="J423" s="32">
        <v>0.38400000000000001</v>
      </c>
    </row>
    <row r="424" spans="1:10" x14ac:dyDescent="0.2">
      <c r="B424" t="s">
        <v>281</v>
      </c>
    </row>
    <row r="425" spans="1:10" ht="15" x14ac:dyDescent="0.2">
      <c r="A425" cm="1">
        <f t="array" ref="A425">_xlfn.IFS(AND(C15&gt;=1,C15&lt;20),C425,AND(C15&gt;=20,C15&lt;40),D425,AND(C15&gt;=40,C15&lt;50),E425,AND(C15&gt;=50,C15&lt;60),F425,AND(C15&gt;=60,C15&lt;70),G425,AND(C15&gt;=70,C15&lt;80),H425,AND(C15&gt;=80,C15&lt;90),I425,C15=90,J425)</f>
        <v>12858</v>
      </c>
      <c r="B425" s="15" t="s">
        <v>125</v>
      </c>
      <c r="C425" s="16">
        <v>1001</v>
      </c>
      <c r="D425" s="35">
        <v>3455</v>
      </c>
      <c r="E425" s="35">
        <v>5779</v>
      </c>
      <c r="F425" s="35">
        <v>8341</v>
      </c>
      <c r="G425" s="35">
        <v>9838</v>
      </c>
      <c r="H425" s="17">
        <v>10448</v>
      </c>
      <c r="I425" s="17">
        <v>11954</v>
      </c>
      <c r="J425" s="16">
        <v>12858</v>
      </c>
    </row>
    <row r="426" spans="1:10" ht="15" x14ac:dyDescent="0.2">
      <c r="A426" cm="1">
        <f t="array" ref="A426">_xlfn.IFS(AND(C15&gt;=1,C15&lt;20),C426,AND(C15&gt;=20,C15&lt;40),D426,AND(C15&gt;=40,C15&lt;50),E426,AND(C15&gt;=50,C15&lt;60),F426,AND(C15&gt;=60,C15&lt;70),G426,AND(C15&gt;=70,C15&lt;80),H426,AND(C15&gt;=80,C15&lt;90),I426,C15=90,J426)</f>
        <v>959</v>
      </c>
      <c r="B426" s="15" t="s">
        <v>128</v>
      </c>
      <c r="C426" s="19">
        <v>75</v>
      </c>
      <c r="D426" s="36">
        <v>258</v>
      </c>
      <c r="E426" s="36">
        <v>431</v>
      </c>
      <c r="F426" s="36">
        <v>557</v>
      </c>
      <c r="G426" s="36">
        <v>668</v>
      </c>
      <c r="H426" s="18">
        <v>779</v>
      </c>
      <c r="I426" s="18">
        <v>892</v>
      </c>
      <c r="J426" s="19">
        <v>959</v>
      </c>
    </row>
    <row r="427" spans="1:10" ht="15" x14ac:dyDescent="0.2">
      <c r="A427" cm="1">
        <f t="array" ref="A427">_xlfn.IFS(AND(C15&gt;=1,C15&lt;20),C427,AND(C15&gt;=20,C15&lt;40),D427,AND(C15&gt;=40,C15&lt;50),E427,AND(C15&gt;=50,C15&lt;60),F427,AND(C15&gt;=60,C15&lt;70),G427,AND(C15&gt;=70,C15&lt;80),H427,AND(C15&gt;=80,C15&lt;90),I427,C15=90,J427)</f>
        <v>227</v>
      </c>
      <c r="B427" s="15" t="s">
        <v>130</v>
      </c>
      <c r="C427" s="19">
        <v>18</v>
      </c>
      <c r="D427" s="36">
        <v>61</v>
      </c>
      <c r="E427" s="36">
        <v>102</v>
      </c>
      <c r="F427" s="36">
        <v>132</v>
      </c>
      <c r="G427" s="36">
        <v>158</v>
      </c>
      <c r="H427" s="18">
        <v>185</v>
      </c>
      <c r="I427" s="18">
        <v>211</v>
      </c>
      <c r="J427" s="19">
        <v>227</v>
      </c>
    </row>
    <row r="428" spans="1:10" ht="15" x14ac:dyDescent="0.2">
      <c r="A428" cm="1">
        <f t="array" ref="A428">_xlfn.IFS(AND(C15&gt;=1,C15&lt;20),C428,AND(C15&gt;=20,C15&lt;40),D428,AND(C15&gt;=40,C15&lt;50),E428,AND(C15&gt;=50,C15&lt;60),F428,AND(C15&gt;=60,C15&lt;70),G428,AND(C15&gt;=70,C15&lt;80),H428,AND(C15&gt;=80,C15&lt;90),I428,C15=90,J428)</f>
        <v>0.192</v>
      </c>
      <c r="B428" s="15" t="s">
        <v>37</v>
      </c>
      <c r="C428" s="20" t="s">
        <v>132</v>
      </c>
      <c r="D428" s="21" t="s">
        <v>132</v>
      </c>
      <c r="E428" s="22">
        <v>4.8000000000000001E-2</v>
      </c>
      <c r="F428" s="22">
        <v>9.6000000000000002E-2</v>
      </c>
      <c r="G428" s="22">
        <v>9.6000000000000002E-2</v>
      </c>
      <c r="H428" s="22">
        <v>0.14399999999999999</v>
      </c>
      <c r="I428" s="22">
        <v>0.192</v>
      </c>
      <c r="J428" s="23">
        <v>0.192</v>
      </c>
    </row>
    <row r="429" spans="1:10" x14ac:dyDescent="0.2">
      <c r="B429" t="s">
        <v>277</v>
      </c>
    </row>
    <row r="430" spans="1:10" x14ac:dyDescent="0.15">
      <c r="A430" cm="1">
        <f t="array" ref="A430">_xlfn.IFS(AND(C15&gt;=1,C15&lt;20),C430,AND(C15&gt;=20,C15&lt;40),D430,AND(C15&gt;=40,C15&lt;50),E430,AND(C15&gt;=50,C15&lt;60),F430,AND(C15&gt;=60,C15&lt;70),G430,AND(C15&gt;=70,C15&lt;80),H430,AND(C15&gt;=80,C15&lt;90),I430,C15=90,J430)</f>
        <v>13226</v>
      </c>
      <c r="B430" s="24" t="s">
        <v>125</v>
      </c>
      <c r="C430" s="26">
        <v>1030</v>
      </c>
      <c r="D430" s="27">
        <v>3554</v>
      </c>
      <c r="E430" s="27">
        <v>5944</v>
      </c>
      <c r="F430" s="27">
        <v>7675</v>
      </c>
      <c r="G430" s="27">
        <v>9207</v>
      </c>
      <c r="H430" s="27">
        <v>10746</v>
      </c>
      <c r="I430" s="33">
        <v>12296</v>
      </c>
      <c r="J430" s="26">
        <v>13226</v>
      </c>
    </row>
    <row r="431" spans="1:10" x14ac:dyDescent="0.15">
      <c r="A431" cm="1">
        <f t="array" ref="A431">_xlfn.IFS(AND(C15&gt;=1,C15&lt;20),C431,AND(C15&gt;=20,C15&lt;40),D431,AND(C15&gt;=40,C15&lt;50),E431,AND(C15&gt;=50,C15&lt;60),F431,AND(C15&gt;=60,C15&lt;70),G431,AND(C15&gt;=70,C15&lt;80),H431,AND(C15&gt;=80,C15&lt;90),I431,C15=90,J431)</f>
        <v>876</v>
      </c>
      <c r="B431" s="24" t="s">
        <v>128</v>
      </c>
      <c r="C431" s="25">
        <v>68</v>
      </c>
      <c r="D431" s="28">
        <v>235</v>
      </c>
      <c r="E431" s="28">
        <v>394</v>
      </c>
      <c r="F431" s="28">
        <v>508</v>
      </c>
      <c r="G431" s="28">
        <v>610</v>
      </c>
      <c r="H431" s="28">
        <v>712</v>
      </c>
      <c r="I431" s="34">
        <v>815</v>
      </c>
      <c r="J431" s="25">
        <v>876</v>
      </c>
    </row>
    <row r="432" spans="1:10" x14ac:dyDescent="0.15">
      <c r="A432" cm="1">
        <f t="array" ref="A432">_xlfn.IFS(AND(C15&gt;=1,C15&lt;20),C432,AND(C15&gt;=20,C15&lt;40),D432,AND(C15&gt;=40,C15&lt;50),E432,AND(C15&gt;=50,C15&lt;60),F432,AND(C15&gt;=60,C15&lt;70),G432,AND(C15&gt;=70,C15&lt;80),H432,AND(C15&gt;=80,C15&lt;90),I432,C15=90,J432)</f>
        <v>251</v>
      </c>
      <c r="B432" s="24" t="s">
        <v>130</v>
      </c>
      <c r="C432" s="25">
        <v>20</v>
      </c>
      <c r="D432" s="28">
        <v>68</v>
      </c>
      <c r="E432" s="28">
        <v>113</v>
      </c>
      <c r="F432" s="28">
        <v>146</v>
      </c>
      <c r="G432" s="28">
        <v>175</v>
      </c>
      <c r="H432" s="28">
        <v>204</v>
      </c>
      <c r="I432" s="34">
        <v>233</v>
      </c>
      <c r="J432" s="25">
        <v>251</v>
      </c>
    </row>
    <row r="433" spans="1:10" x14ac:dyDescent="0.15">
      <c r="A433" cm="1">
        <f t="array" ref="A433">_xlfn.IFS(AND(C15&gt;=1,C15&lt;20),C433,AND(C15&gt;=20,C15&lt;40),D433,AND(C15&gt;=40,C15&lt;50),E433,AND(C15&gt;=50,C15&lt;60),F433,AND(C15&gt;=60,C15&lt;70),G433,AND(C15&gt;=70,C15&lt;80),H433,AND(C15&gt;=80,C15&lt;90),I433,C15=90,J433)</f>
        <v>0.28799999999999998</v>
      </c>
      <c r="B433" s="24" t="s">
        <v>468</v>
      </c>
      <c r="C433" s="29" t="s">
        <v>132</v>
      </c>
      <c r="D433" s="30" t="s">
        <v>132</v>
      </c>
      <c r="E433" s="31">
        <v>7.1999999999999995E-2</v>
      </c>
      <c r="F433" s="31">
        <v>0.14399999999999999</v>
      </c>
      <c r="G433" s="31">
        <v>0.14399999999999999</v>
      </c>
      <c r="H433" s="31">
        <v>0.216</v>
      </c>
      <c r="I433" s="31">
        <v>0.28799999999999998</v>
      </c>
      <c r="J433" s="32">
        <v>0.28799999999999998</v>
      </c>
    </row>
    <row r="434" spans="1:10" x14ac:dyDescent="0.2">
      <c r="B434" t="s">
        <v>282</v>
      </c>
    </row>
    <row r="435" spans="1:10" x14ac:dyDescent="0.15">
      <c r="A435" cm="1">
        <f t="array" ref="A435">_xlfn.IFS(AND(C15&gt;=1,C15&lt;20),C435,AND(C15&gt;=20,C15&lt;40),D435,AND(C15&gt;=40,C15&lt;50),E435,AND(C15&gt;=50,C15&lt;60),F435,AND(C15&gt;=60,C15&lt;70),G435,AND(C15&gt;=70,C15&lt;80),H435,AND(C15&gt;=80,C15&lt;90),I435,C15=90,J435)</f>
        <v>14695</v>
      </c>
      <c r="B435" s="24" t="s">
        <v>125</v>
      </c>
      <c r="C435" s="26">
        <v>1144</v>
      </c>
      <c r="D435" s="27">
        <v>3948</v>
      </c>
      <c r="E435" s="27">
        <v>6605</v>
      </c>
      <c r="F435" s="27">
        <v>8528</v>
      </c>
      <c r="G435" s="27">
        <v>10230</v>
      </c>
      <c r="H435" s="27">
        <v>11940</v>
      </c>
      <c r="I435" s="27">
        <v>13662</v>
      </c>
      <c r="J435" s="26">
        <v>14695</v>
      </c>
    </row>
    <row r="436" spans="1:10" x14ac:dyDescent="0.15">
      <c r="A436" cm="1">
        <f t="array" ref="A436">_xlfn.IFS(AND(C15&gt;=1,C15&lt;20),C436,AND(C15&gt;=20,C15&lt;40),D436,AND(C15&gt;=40,C15&lt;50),E436,AND(C15&gt;=50,C15&lt;60),F436,AND(C15&gt;=60,C15&lt;70),G436,AND(C15&gt;=70,C15&lt;80),H436,AND(C15&gt;=80,C15&lt;90),I436,C15=90,J436)</f>
        <v>738</v>
      </c>
      <c r="B436" s="24" t="s">
        <v>128</v>
      </c>
      <c r="C436" s="25">
        <v>57</v>
      </c>
      <c r="D436" s="28">
        <v>198</v>
      </c>
      <c r="E436" s="28">
        <v>332</v>
      </c>
      <c r="F436" s="28">
        <v>428</v>
      </c>
      <c r="G436" s="28">
        <v>514</v>
      </c>
      <c r="H436" s="28">
        <v>599</v>
      </c>
      <c r="I436" s="28">
        <v>686</v>
      </c>
      <c r="J436" s="25">
        <v>738</v>
      </c>
    </row>
    <row r="437" spans="1:10" x14ac:dyDescent="0.15">
      <c r="A437" cm="1">
        <f t="array" ref="A437">_xlfn.IFS(AND(C15&gt;=1,C15&lt;20),C437,AND(C15&gt;=20,C15&lt;40),D437,AND(C15&gt;=40,C15&lt;50),E437,AND(C15&gt;=50,C15&lt;60),F437,AND(C15&gt;=60,C15&lt;70),G437,AND(C15&gt;=70,C15&lt;80),H437,AND(C15&gt;=80,C15&lt;90),I437,C15=90,J437)</f>
        <v>251</v>
      </c>
      <c r="B437" s="24" t="s">
        <v>130</v>
      </c>
      <c r="C437" s="25">
        <v>19</v>
      </c>
      <c r="D437" s="28">
        <v>67</v>
      </c>
      <c r="E437" s="28">
        <v>112</v>
      </c>
      <c r="F437" s="28">
        <v>145</v>
      </c>
      <c r="G437" s="28">
        <v>174</v>
      </c>
      <c r="H437" s="28">
        <v>204</v>
      </c>
      <c r="I437" s="28">
        <v>233</v>
      </c>
      <c r="J437" s="25">
        <v>251</v>
      </c>
    </row>
    <row r="438" spans="1:10" x14ac:dyDescent="0.15">
      <c r="A438" cm="1">
        <f t="array" ref="A438">_xlfn.IFS(AND(C15&gt;=1,C15&lt;20),C438,AND(C15&gt;=20,C15&lt;40),D438,AND(C15&gt;=40,C15&lt;50),E438,AND(C15&gt;=50,C15&lt;60),F438,AND(C15&gt;=60,C15&lt;70),G438,AND(C15&gt;=70,C15&lt;80),H438,AND(C15&gt;=80,C15&lt;90),I438,C15=90,J438)</f>
        <v>0.28799999999999998</v>
      </c>
      <c r="B438" s="24" t="s">
        <v>468</v>
      </c>
      <c r="C438" s="29" t="s">
        <v>132</v>
      </c>
      <c r="D438" s="30" t="s">
        <v>132</v>
      </c>
      <c r="E438" s="31">
        <v>7.1999999999999995E-2</v>
      </c>
      <c r="F438" s="31">
        <v>0.14399999999999999</v>
      </c>
      <c r="G438" s="31">
        <v>0.14399999999999999</v>
      </c>
      <c r="H438" s="31">
        <v>0.216</v>
      </c>
      <c r="I438" s="31">
        <v>0.28799999999999998</v>
      </c>
      <c r="J438" s="32">
        <v>0.28799999999999998</v>
      </c>
    </row>
    <row r="439" spans="1:10" x14ac:dyDescent="0.2">
      <c r="B439" t="s">
        <v>278</v>
      </c>
    </row>
    <row r="440" spans="1:10" x14ac:dyDescent="0.15">
      <c r="A440" cm="1">
        <f t="array" ref="A440">_xlfn.IFS(AND(C15&gt;=1,C15&lt;20),C440,AND(C15&gt;=20,C15&lt;40),D440,AND(C15&gt;=40,C15&lt;50),E440,AND(C15&gt;=50,C15&lt;60),F440,AND(C15&gt;=60,C15&lt;70),G440,AND(C15&gt;=70,C15&lt;80),H440,AND(C15&gt;=80,C15&lt;90),I440,C15=90,J440)</f>
        <v>11799</v>
      </c>
      <c r="B440" s="24" t="s">
        <v>125</v>
      </c>
      <c r="C440" s="25">
        <v>989</v>
      </c>
      <c r="D440" s="27">
        <v>3281</v>
      </c>
      <c r="E440" s="27">
        <v>5439</v>
      </c>
      <c r="F440" s="27">
        <v>6956</v>
      </c>
      <c r="G440" s="27">
        <v>8299</v>
      </c>
      <c r="H440" s="27">
        <v>9640</v>
      </c>
      <c r="I440" s="27">
        <v>10982</v>
      </c>
      <c r="J440" s="26">
        <v>11799</v>
      </c>
    </row>
    <row r="441" spans="1:10" x14ac:dyDescent="0.15">
      <c r="A441" cm="1">
        <f t="array" ref="A441">_xlfn.IFS(AND(C15&gt;=1,C15&lt;20),C441,AND(C15&gt;=20,C15&lt;40),D441,AND(C15&gt;=40,C15&lt;50),E441,AND(C15&gt;=50,C15&lt;60),F441,AND(C15&gt;=60,C15&lt;70),G441,AND(C15&gt;=70,C15&lt;80),H441,AND(C15&gt;=80,C15&lt;90),I441,C15=90,J441)</f>
        <v>792</v>
      </c>
      <c r="B441" s="24" t="s">
        <v>128</v>
      </c>
      <c r="C441" s="25">
        <v>66</v>
      </c>
      <c r="D441" s="28">
        <v>220</v>
      </c>
      <c r="E441" s="28">
        <v>365</v>
      </c>
      <c r="F441" s="28">
        <v>467</v>
      </c>
      <c r="G441" s="28">
        <v>557</v>
      </c>
      <c r="H441" s="28">
        <v>647</v>
      </c>
      <c r="I441" s="28">
        <v>738</v>
      </c>
      <c r="J441" s="25">
        <v>792</v>
      </c>
    </row>
    <row r="442" spans="1:10" x14ac:dyDescent="0.15">
      <c r="A442" cm="1">
        <f t="array" ref="A442">_xlfn.IFS(AND(C15&gt;=1,C15&lt;20),C442,AND(C15&gt;=20,C15&lt;40),D442,AND(C15&gt;=40,C15&lt;50),E442,AND(C15&gt;=50,C15&lt;60),F442,AND(C15&gt;=60,C15&lt;70),G442,AND(C15&gt;=70,C15&lt;80),H442,AND(C15&gt;=80,C15&lt;90),I442,C15=90,J442)</f>
        <v>216</v>
      </c>
      <c r="B442" s="24" t="s">
        <v>130</v>
      </c>
      <c r="C442" s="25">
        <v>18</v>
      </c>
      <c r="D442" s="28">
        <v>60</v>
      </c>
      <c r="E442" s="28">
        <v>99</v>
      </c>
      <c r="F442" s="28">
        <v>128</v>
      </c>
      <c r="G442" s="28">
        <v>152</v>
      </c>
      <c r="H442" s="28">
        <v>177</v>
      </c>
      <c r="I442" s="28">
        <v>201</v>
      </c>
      <c r="J442" s="25">
        <v>216</v>
      </c>
    </row>
    <row r="443" spans="1:10" x14ac:dyDescent="0.15">
      <c r="A443" cm="1">
        <f t="array" ref="A443">_xlfn.IFS(AND(C15&gt;=1,C15&lt;20),C443,AND(C15&gt;=20,C15&lt;40),D443,AND(C15&gt;=40,C15&lt;50),E443,AND(C15&gt;=50,C15&lt;60),F443,AND(C15&gt;=60,C15&lt;70),G443,AND(C15&gt;=70,C15&lt;80),H443,AND(C15&gt;=80,C15&lt;90),I443,C15=90,J443)</f>
        <v>0.24</v>
      </c>
      <c r="B443" s="24" t="s">
        <v>468</v>
      </c>
      <c r="C443" s="29" t="s">
        <v>132</v>
      </c>
      <c r="D443" s="30" t="s">
        <v>132</v>
      </c>
      <c r="E443" s="31">
        <v>0.06</v>
      </c>
      <c r="F443" s="31">
        <v>0.12</v>
      </c>
      <c r="G443" s="31">
        <v>0.12</v>
      </c>
      <c r="H443" s="31">
        <v>0.18</v>
      </c>
      <c r="I443" s="31">
        <v>0.24</v>
      </c>
      <c r="J443" s="47">
        <v>0.24</v>
      </c>
    </row>
    <row r="444" spans="1:10" x14ac:dyDescent="0.2">
      <c r="B444" t="s">
        <v>283</v>
      </c>
    </row>
    <row r="445" spans="1:10" x14ac:dyDescent="0.15">
      <c r="A445" cm="1">
        <f t="array" ref="A445">_xlfn.IFS(AND(C15&gt;=1,C15&lt;20),C445,AND(C15&gt;=20,C15&lt;40),D445,AND(C15&gt;=40,C15&lt;50),E445,AND(C15&gt;=50,C15&lt;60),F445,AND(C15&gt;=60,C15&lt;70),G445,AND(C15&gt;=70,C15&lt;80),H445,AND(C15&gt;=80,C15&lt;90),I445,C15=90,J445)</f>
        <v>10657</v>
      </c>
      <c r="B445" s="24" t="s">
        <v>125</v>
      </c>
      <c r="C445" s="25">
        <v>894</v>
      </c>
      <c r="D445" s="27">
        <v>2963</v>
      </c>
      <c r="E445" s="27">
        <v>4913</v>
      </c>
      <c r="F445" s="27">
        <v>6283</v>
      </c>
      <c r="G445" s="27">
        <v>7495</v>
      </c>
      <c r="H445" s="27">
        <v>8707</v>
      </c>
      <c r="I445" s="27">
        <v>9919</v>
      </c>
      <c r="J445" s="26">
        <v>10657</v>
      </c>
    </row>
    <row r="446" spans="1:10" x14ac:dyDescent="0.15">
      <c r="A446" cm="1">
        <f t="array" ref="A446">_xlfn.IFS(AND(C15&gt;=1,C15&lt;20),C446,AND(C15&gt;=20,C15&lt;40),D446,AND(C15&gt;=40,C15&lt;50),E446,AND(C15&gt;=50,C15&lt;60),F446,AND(C15&gt;=60,C15&lt;70),G446,AND(C15&gt;=70,C15&lt;80),H446,AND(C15&gt;=80,C15&lt;90),I446,C15=90,J446)</f>
        <v>734</v>
      </c>
      <c r="B446" s="24" t="s">
        <v>128</v>
      </c>
      <c r="C446" s="25">
        <v>62</v>
      </c>
      <c r="D446" s="28">
        <v>204</v>
      </c>
      <c r="E446" s="28">
        <v>339</v>
      </c>
      <c r="F446" s="28">
        <v>433</v>
      </c>
      <c r="G446" s="28">
        <v>517</v>
      </c>
      <c r="H446" s="28">
        <v>600</v>
      </c>
      <c r="I446" s="28">
        <v>684</v>
      </c>
      <c r="J446" s="25">
        <v>734</v>
      </c>
    </row>
    <row r="447" spans="1:10" x14ac:dyDescent="0.15">
      <c r="A447" cm="1">
        <f t="array" ref="A447">_xlfn.IFS(AND(C15&gt;=1,C15&lt;20),C447,AND(C15&gt;=20,C15&lt;40),D447,AND(C15&gt;=40,C15&lt;50),E447,AND(C15&gt;=50,C15&lt;60),F447,AND(C15&gt;=60,C15&lt;70),G447,AND(C15&gt;=70,C15&lt;80),H447,AND(C15&gt;=80,C15&lt;90),I447,C15=90,J447)</f>
        <v>191</v>
      </c>
      <c r="B447" s="24" t="s">
        <v>130</v>
      </c>
      <c r="C447" s="25">
        <v>16</v>
      </c>
      <c r="D447" s="28">
        <v>53</v>
      </c>
      <c r="E447" s="28">
        <v>88</v>
      </c>
      <c r="F447" s="28">
        <v>113</v>
      </c>
      <c r="G447" s="28">
        <v>135</v>
      </c>
      <c r="H447" s="28">
        <v>156</v>
      </c>
      <c r="I447" s="28">
        <v>178</v>
      </c>
      <c r="J447" s="25">
        <v>191</v>
      </c>
    </row>
    <row r="448" spans="1:10" x14ac:dyDescent="0.15">
      <c r="A448" cm="1">
        <f t="array" ref="A448">_xlfn.IFS(AND(C15&gt;=1,C15&lt;20),C448,AND(C15&gt;=20,C15&lt;40),D448,AND(C15&gt;=40,C15&lt;50),E448,AND(C15&gt;=50,C15&lt;60),F448,AND(C15&gt;=60,C15&lt;70),G448,AND(C15&gt;=70,C15&lt;80),H448,AND(C15&gt;=80,C15&lt;90),I448,C15=90,J448)</f>
        <v>0.26700000000000002</v>
      </c>
      <c r="B448" s="24" t="s">
        <v>39</v>
      </c>
      <c r="C448" s="29" t="s">
        <v>132</v>
      </c>
      <c r="D448" s="30" t="s">
        <v>132</v>
      </c>
      <c r="E448" s="31">
        <v>6.7000000000000004E-2</v>
      </c>
      <c r="F448" s="31">
        <v>0.13300000000000001</v>
      </c>
      <c r="G448" s="31">
        <v>0.13300000000000001</v>
      </c>
      <c r="H448" s="31">
        <v>0.2</v>
      </c>
      <c r="I448" s="31">
        <v>0.26700000000000002</v>
      </c>
      <c r="J448" s="32">
        <v>0.26700000000000002</v>
      </c>
    </row>
    <row r="449" spans="1:10" x14ac:dyDescent="0.2">
      <c r="B449" t="s">
        <v>284</v>
      </c>
    </row>
    <row r="450" spans="1:10" x14ac:dyDescent="0.15">
      <c r="A450" cm="1">
        <f t="array" ref="A450">_xlfn.IFS(AND(C15&gt;=1,C15&lt;20),C450,AND(C15&gt;=20,C15&lt;40),D450,AND(C15&gt;=40,C15&lt;50),E450,AND(C15&gt;=50,C15&lt;60),F450,AND(C15&gt;=60,C15&lt;70),G450,AND(C15&gt;=70,C15&lt;80),H450,AND(C15&gt;=80,C15&lt;90),I450,C15=90,J450)</f>
        <v>9570</v>
      </c>
      <c r="B450" s="24" t="s">
        <v>125</v>
      </c>
      <c r="C450" s="25">
        <v>802</v>
      </c>
      <c r="D450" s="27">
        <v>2661</v>
      </c>
      <c r="E450" s="27">
        <v>4411</v>
      </c>
      <c r="F450" s="27">
        <v>5642</v>
      </c>
      <c r="G450" s="27">
        <v>6731</v>
      </c>
      <c r="H450" s="27">
        <v>7818</v>
      </c>
      <c r="I450" s="27">
        <v>8907</v>
      </c>
      <c r="J450" s="26">
        <v>9570</v>
      </c>
    </row>
    <row r="451" spans="1:10" x14ac:dyDescent="0.15">
      <c r="A451" cm="1">
        <f t="array" ref="A451">_xlfn.IFS(AND(C15&gt;=1,C15&lt;20),C451,AND(C15&gt;=20,C15&lt;40),D451,AND(C15&gt;=40,C15&lt;50),E451,AND(C15&gt;=50,C15&lt;60),F451,AND(C15&gt;=60,C15&lt;70),G451,AND(C15&gt;=70,C15&lt;80),H451,AND(C15&gt;=80,C15&lt;90),I451,C15=90,J451)</f>
        <v>648</v>
      </c>
      <c r="B451" s="24" t="s">
        <v>128</v>
      </c>
      <c r="C451" s="25">
        <v>54</v>
      </c>
      <c r="D451" s="28">
        <v>180</v>
      </c>
      <c r="E451" s="28">
        <v>299</v>
      </c>
      <c r="F451" s="28">
        <v>382</v>
      </c>
      <c r="G451" s="28">
        <v>456</v>
      </c>
      <c r="H451" s="28">
        <v>530</v>
      </c>
      <c r="I451" s="28">
        <v>603</v>
      </c>
      <c r="J451" s="25">
        <v>648</v>
      </c>
    </row>
    <row r="452" spans="1:10" x14ac:dyDescent="0.15">
      <c r="A452" cm="1">
        <f t="array" ref="A452">_xlfn.IFS(AND(C15&gt;=1,C15&lt;20),C452,AND(C15&gt;=20,C15&lt;40),D452,AND(C15&gt;=40,C15&lt;50),E452,AND(C15&gt;=50,C15&lt;60),F452,AND(C15&gt;=60,C15&lt;70),G452,AND(C15&gt;=70,C15&lt;80),H452,AND(C15&gt;=80,C15&lt;90),I452,C15=90,J452)</f>
        <v>183</v>
      </c>
      <c r="B452" s="24" t="s">
        <v>130</v>
      </c>
      <c r="C452" s="25">
        <v>15</v>
      </c>
      <c r="D452" s="28">
        <v>51</v>
      </c>
      <c r="E452" s="28">
        <v>84</v>
      </c>
      <c r="F452" s="28">
        <v>108</v>
      </c>
      <c r="G452" s="28">
        <v>129</v>
      </c>
      <c r="H452" s="28">
        <v>149</v>
      </c>
      <c r="I452" s="28">
        <v>170</v>
      </c>
      <c r="J452" s="25">
        <v>183</v>
      </c>
    </row>
    <row r="453" spans="1:10" x14ac:dyDescent="0.15">
      <c r="A453" cm="1">
        <f t="array" ref="A453">_xlfn.IFS(AND(C15&gt;=1,C15&lt;20),C453,AND(C15&gt;=20,C15&lt;40),D453,AND(C15&gt;=40,C15&lt;50),E453,AND(C15&gt;=50,C15&lt;60),F453,AND(C15&gt;=60,C15&lt;70),G453,AND(C15&gt;=70,C15&lt;80),H453,AND(C15&gt;=80,C15&lt;90),I453,C15=90,J453)</f>
        <v>0.24</v>
      </c>
      <c r="B453" s="24" t="s">
        <v>468</v>
      </c>
      <c r="C453" s="29" t="s">
        <v>132</v>
      </c>
      <c r="D453" s="30" t="s">
        <v>132</v>
      </c>
      <c r="E453" s="31">
        <v>0.06</v>
      </c>
      <c r="F453" s="31">
        <v>0.12</v>
      </c>
      <c r="G453" s="31">
        <v>0.12</v>
      </c>
      <c r="H453" s="31">
        <v>0.18</v>
      </c>
      <c r="I453" s="31">
        <v>0.24</v>
      </c>
      <c r="J453" s="32">
        <v>0.24</v>
      </c>
    </row>
    <row r="454" spans="1:10" x14ac:dyDescent="0.2">
      <c r="B454" t="s">
        <v>285</v>
      </c>
    </row>
    <row r="455" spans="1:10" ht="15" x14ac:dyDescent="0.2">
      <c r="A455" cm="1">
        <f t="array" ref="A455">_xlfn.IFS(AND(C15&gt;=1,C15&lt;20),C455,AND(C15&gt;=20,C15&lt;40),D455,AND(C15&gt;=40,C15&lt;50),E455,AND(C15&gt;=50,C15&lt;60),F455,AND(C15&gt;=60,C15&lt;70),G455,AND(C15&gt;=70,C15&lt;80),H455,AND(C15&gt;=80,C15&lt;90),I455,C15=90,J455)</f>
        <v>12071</v>
      </c>
      <c r="B455" s="15" t="s">
        <v>125</v>
      </c>
      <c r="C455" s="16">
        <v>1012</v>
      </c>
      <c r="D455" s="17">
        <v>3356</v>
      </c>
      <c r="E455" s="17">
        <v>5564</v>
      </c>
      <c r="F455" s="17">
        <v>7117</v>
      </c>
      <c r="G455" s="17">
        <v>8490</v>
      </c>
      <c r="H455" s="17">
        <v>9862</v>
      </c>
      <c r="I455" s="17">
        <v>11235</v>
      </c>
      <c r="J455" s="16">
        <v>12071</v>
      </c>
    </row>
    <row r="456" spans="1:10" ht="15" x14ac:dyDescent="0.2">
      <c r="A456" cm="1">
        <f t="array" ref="A456">_xlfn.IFS(AND(C15&gt;=1,C15&lt;20),C456,AND(C15&gt;=20,C15&lt;40),D456,AND(C15&gt;=40,C15&lt;50),E456,AND(C15&gt;=50,C15&lt;60),F456,AND(C15&gt;=60,C15&lt;70),G456,AND(C15&gt;=70,C15&lt;80),H456,AND(C15&gt;=80,C15&lt;90),I456,C15=90,J456)</f>
        <v>799</v>
      </c>
      <c r="B456" s="15" t="s">
        <v>128</v>
      </c>
      <c r="C456" s="19">
        <v>67</v>
      </c>
      <c r="D456" s="18">
        <v>222</v>
      </c>
      <c r="E456" s="18">
        <v>368</v>
      </c>
      <c r="F456" s="18">
        <v>471</v>
      </c>
      <c r="G456" s="18">
        <v>562</v>
      </c>
      <c r="H456" s="18">
        <v>652</v>
      </c>
      <c r="I456" s="18">
        <v>743</v>
      </c>
      <c r="J456" s="19">
        <v>799</v>
      </c>
    </row>
    <row r="457" spans="1:10" ht="15" x14ac:dyDescent="0.2">
      <c r="A457" cm="1">
        <f t="array" ref="A457">_xlfn.IFS(AND(C15&gt;=1,C15&lt;20),C457,AND(C15&gt;=20,C15&lt;40),D457,AND(C15&gt;=40,C15&lt;50),E457,AND(C15&gt;=50,C15&lt;60),F457,AND(C15&gt;=60,C15&lt;70),G457,AND(C15&gt;=70,C15&lt;80),H457,AND(C15&gt;=80,C15&lt;90),I457,C15=90,J457)</f>
        <v>191</v>
      </c>
      <c r="B457" s="15" t="s">
        <v>130</v>
      </c>
      <c r="C457" s="19">
        <v>16</v>
      </c>
      <c r="D457" s="18">
        <v>53</v>
      </c>
      <c r="E457" s="18">
        <v>88</v>
      </c>
      <c r="F457" s="18">
        <v>113</v>
      </c>
      <c r="G457" s="18">
        <v>134</v>
      </c>
      <c r="H457" s="18">
        <v>156</v>
      </c>
      <c r="I457" s="18">
        <v>178</v>
      </c>
      <c r="J457" s="19">
        <v>191</v>
      </c>
    </row>
    <row r="458" spans="1:10" ht="15" x14ac:dyDescent="0.2">
      <c r="A458" cm="1">
        <f t="array" ref="A458">_xlfn.IFS(AND(C15&gt;=1,C15&lt;20),C458,AND(C15&gt;=20,C15&lt;40),D458,AND(C15&gt;=40,C15&lt;50),E458,AND(C15&gt;=50,C15&lt;60),F458,AND(C15&gt;=60,C15&lt;70),G458,AND(C15&gt;=70,C15&lt;80),H458,AND(C15&gt;=80,C15&lt;90),I458,C15=90,J458)</f>
        <v>0.3</v>
      </c>
      <c r="B458" s="15" t="s">
        <v>35</v>
      </c>
      <c r="C458" s="20" t="s">
        <v>132</v>
      </c>
      <c r="D458" s="21" t="s">
        <v>132</v>
      </c>
      <c r="E458" s="22">
        <v>7.4999999999999997E-2</v>
      </c>
      <c r="F458" s="22">
        <v>0.15</v>
      </c>
      <c r="G458" s="22">
        <v>0.15</v>
      </c>
      <c r="H458" s="22">
        <v>0.22500000000000001</v>
      </c>
      <c r="I458" s="22">
        <v>0.3</v>
      </c>
      <c r="J458" s="23">
        <v>0.3</v>
      </c>
    </row>
    <row r="459" spans="1:10" x14ac:dyDescent="0.2">
      <c r="B459" t="s">
        <v>286</v>
      </c>
    </row>
    <row r="460" spans="1:10" x14ac:dyDescent="0.15">
      <c r="A460" cm="1">
        <f t="array" ref="A460">_xlfn.IFS(AND(C15&gt;=1,C15&lt;20),C460,AND(C15&gt;=20,C15&lt;40),D460,AND(C15&gt;=40,C15&lt;50),E460,AND(C15&gt;=50,C15&lt;60),F460,AND(C15&gt;=60,C15&lt;70),G460,AND(C15&gt;=70,C15&lt;80),H460,AND(C15&gt;=80,C15&lt;90),I460,C15=90,J460)</f>
        <v>9787</v>
      </c>
      <c r="B460" s="24" t="s">
        <v>125</v>
      </c>
      <c r="C460" s="25">
        <v>821</v>
      </c>
      <c r="D460" s="27">
        <v>2721</v>
      </c>
      <c r="E460" s="27">
        <v>4512</v>
      </c>
      <c r="F460" s="27">
        <v>5770</v>
      </c>
      <c r="G460" s="27">
        <v>6884</v>
      </c>
      <c r="H460" s="27">
        <v>7996</v>
      </c>
      <c r="I460" s="27">
        <v>9110</v>
      </c>
      <c r="J460" s="26">
        <v>9787</v>
      </c>
    </row>
    <row r="461" spans="1:10" x14ac:dyDescent="0.15">
      <c r="A461" cm="1">
        <f t="array" ref="A461">_xlfn.IFS(AND(C15&gt;=1,C15&lt;20),C461,AND(C15&gt;=20,C15&lt;40),D461,AND(C15&gt;=40,C15&lt;50),E461,AND(C15&gt;=50,C15&lt;60),F461,AND(C15&gt;=60,C15&lt;70),G461,AND(C15&gt;=70,C15&lt;80),H461,AND(C15&gt;=80,C15&lt;90),I461,C15=90,J461)</f>
        <v>573</v>
      </c>
      <c r="B461" s="24" t="s">
        <v>128</v>
      </c>
      <c r="C461" s="25">
        <v>48</v>
      </c>
      <c r="D461" s="28">
        <v>159</v>
      </c>
      <c r="E461" s="28">
        <v>264</v>
      </c>
      <c r="F461" s="28">
        <v>338</v>
      </c>
      <c r="G461" s="28">
        <v>403</v>
      </c>
      <c r="H461" s="28">
        <v>468</v>
      </c>
      <c r="I461" s="28">
        <v>534</v>
      </c>
      <c r="J461" s="25">
        <v>573</v>
      </c>
    </row>
    <row r="462" spans="1:10" x14ac:dyDescent="0.15">
      <c r="A462" cm="1">
        <f t="array" ref="A462">_xlfn.IFS(AND(C15&gt;=1,C15&lt;20),C462,AND(C15&gt;=20,C15&lt;40),D462,AND(C15&gt;=40,C15&lt;50),E462,AND(C15&gt;=50,C15&lt;60),F462,AND(C15&gt;=60,C15&lt;70),G462,AND(C15&gt;=70,C15&lt;80),H462,AND(C15&gt;=80,C15&lt;90),I462,C15=90,J462)</f>
        <v>212</v>
      </c>
      <c r="B462" s="24" t="s">
        <v>130</v>
      </c>
      <c r="C462" s="25">
        <v>17</v>
      </c>
      <c r="D462" s="28">
        <v>59</v>
      </c>
      <c r="E462" s="28">
        <v>97</v>
      </c>
      <c r="F462" s="28">
        <v>125</v>
      </c>
      <c r="G462" s="28">
        <v>149</v>
      </c>
      <c r="H462" s="28">
        <v>173</v>
      </c>
      <c r="I462" s="28">
        <v>198</v>
      </c>
      <c r="J462" s="25">
        <v>212</v>
      </c>
    </row>
    <row r="463" spans="1:10" x14ac:dyDescent="0.15">
      <c r="A463" cm="1">
        <f t="array" ref="A463">_xlfn.IFS(AND(C15&gt;=1,C15&lt;20),C463,AND(C15&gt;=20,C15&lt;40),D463,AND(C15&gt;=40,C15&lt;50),E463,AND(C15&gt;=50,C15&lt;60),F463,AND(C15&gt;=60,C15&lt;70),G463,AND(C15&gt;=70,C15&lt;80),H463,AND(C15&gt;=80,C15&lt;90),I463,C15=90,J463)</f>
        <v>0.24</v>
      </c>
      <c r="B463" s="24" t="s">
        <v>468</v>
      </c>
      <c r="C463" s="29" t="s">
        <v>132</v>
      </c>
      <c r="D463" s="30" t="s">
        <v>132</v>
      </c>
      <c r="E463" s="31">
        <v>0.06</v>
      </c>
      <c r="F463" s="31">
        <v>0.12</v>
      </c>
      <c r="G463" s="31">
        <v>0.12</v>
      </c>
      <c r="H463" s="31">
        <v>0.18</v>
      </c>
      <c r="I463" s="31">
        <v>0.24</v>
      </c>
      <c r="J463" s="32">
        <v>0.24</v>
      </c>
    </row>
    <row r="464" spans="1:10" x14ac:dyDescent="0.2">
      <c r="B464" t="s">
        <v>287</v>
      </c>
    </row>
    <row r="465" spans="1:10" x14ac:dyDescent="0.15">
      <c r="A465" cm="1">
        <f t="array" ref="A465">_xlfn.IFS(AND(C15&gt;=1,C15&lt;20),C465,AND(C15&gt;=20,C15&lt;40),D465,AND(C15&gt;=40,C15&lt;50),E465,AND(C15&gt;=50,C15&lt;60),F465,AND(C15&gt;=60,C15&lt;70),G465,AND(C15&gt;=70,C15&lt;80),H465,AND(C15&gt;=80,C15&lt;90),I465,C15=90,J465)</f>
        <v>12858</v>
      </c>
      <c r="B465" s="24" t="s">
        <v>125</v>
      </c>
      <c r="C465" s="26">
        <v>1001</v>
      </c>
      <c r="D465" s="27">
        <v>3455</v>
      </c>
      <c r="E465" s="27">
        <v>5779</v>
      </c>
      <c r="F465" s="27">
        <v>7462</v>
      </c>
      <c r="G465" s="27">
        <v>8951</v>
      </c>
      <c r="H465" s="27">
        <v>10448</v>
      </c>
      <c r="I465" s="27">
        <v>11954</v>
      </c>
      <c r="J465" s="26">
        <v>12858</v>
      </c>
    </row>
    <row r="466" spans="1:10" x14ac:dyDescent="0.15">
      <c r="A466" cm="1">
        <f t="array" ref="A466">_xlfn.IFS(AND(C15&gt;=1,C15&lt;20),C466,AND(C15&gt;=20,C15&lt;40),D466,AND(C15&gt;=40,C15&lt;50),E466,AND(C15&gt;=50,C15&lt;60),F466,AND(C15&gt;=60,C15&lt;70),G466,AND(C15&gt;=70,C15&lt;80),H466,AND(C15&gt;=80,C15&lt;90),I466,C15=90,J466)</f>
        <v>802</v>
      </c>
      <c r="B466" s="24" t="s">
        <v>128</v>
      </c>
      <c r="C466" s="25">
        <v>62</v>
      </c>
      <c r="D466" s="28">
        <v>215</v>
      </c>
      <c r="E466" s="28">
        <v>360</v>
      </c>
      <c r="F466" s="28">
        <v>465</v>
      </c>
      <c r="G466" s="28">
        <v>558</v>
      </c>
      <c r="H466" s="28">
        <v>651</v>
      </c>
      <c r="I466" s="28">
        <v>745</v>
      </c>
      <c r="J466" s="25">
        <v>802</v>
      </c>
    </row>
    <row r="467" spans="1:10" x14ac:dyDescent="0.15">
      <c r="A467" cm="1">
        <f t="array" ref="A467">_xlfn.IFS(AND(C15&gt;=1,C15&lt;20),C467,AND(C15&gt;=20,C15&lt;40),D467,AND(C15&gt;=40,C15&lt;50),E467,AND(C15&gt;=50,C15&lt;60),F467,AND(C15&gt;=60,C15&lt;70),G467,AND(C15&gt;=70,C15&lt;80),H467,AND(C15&gt;=80,C15&lt;90),I467,C15=90,J467)</f>
        <v>332</v>
      </c>
      <c r="B467" s="24" t="s">
        <v>130</v>
      </c>
      <c r="C467" s="25">
        <v>25</v>
      </c>
      <c r="D467" s="28">
        <v>89</v>
      </c>
      <c r="E467" s="28">
        <v>149</v>
      </c>
      <c r="F467" s="28">
        <v>193</v>
      </c>
      <c r="G467" s="28">
        <v>231</v>
      </c>
      <c r="H467" s="28">
        <v>270</v>
      </c>
      <c r="I467" s="28">
        <v>309</v>
      </c>
      <c r="J467" s="25">
        <v>332</v>
      </c>
    </row>
    <row r="468" spans="1:10" x14ac:dyDescent="0.15">
      <c r="A468" cm="1">
        <f t="array" ref="A468">_xlfn.IFS(AND(C15&gt;=1,C15&lt;20),C468,AND(C15&gt;=20,C15&lt;40),D468,AND(C15&gt;=40,C15&lt;50),E468,AND(C15&gt;=50,C15&lt;60),F468,AND(C15&gt;=60,C15&lt;70),G468,AND(C15&gt;=70,C15&lt;80),H468,AND(C15&gt;=80,C15&lt;90),I468,C15=90,J468)</f>
        <v>0.38400000000000001</v>
      </c>
      <c r="B468" s="24" t="s">
        <v>38</v>
      </c>
      <c r="C468" s="29" t="s">
        <v>132</v>
      </c>
      <c r="D468" s="30" t="s">
        <v>132</v>
      </c>
      <c r="E468" s="31">
        <v>9.6000000000000002E-2</v>
      </c>
      <c r="F468" s="31">
        <v>0.192</v>
      </c>
      <c r="G468" s="31">
        <v>0.192</v>
      </c>
      <c r="H468" s="31">
        <v>0.28799999999999998</v>
      </c>
      <c r="I468" s="31">
        <v>0.38400000000000001</v>
      </c>
      <c r="J468" s="32">
        <v>0.38400000000000001</v>
      </c>
    </row>
    <row r="469" spans="1:10" x14ac:dyDescent="0.2">
      <c r="B469" t="s">
        <v>288</v>
      </c>
    </row>
    <row r="470" spans="1:10" x14ac:dyDescent="0.15">
      <c r="A470" cm="1">
        <f t="array" ref="A470">_xlfn.IFS(AND(C15&gt;=1,C15&lt;20),C470,AND(C15&gt;=20,C15&lt;40),D470,AND(C15&gt;=40,C15&lt;50),E470,AND(C15&gt;=50,C15&lt;60),F470,AND(C15&gt;=60,C15&lt;70),G470,AND(C15&gt;=70,C15&lt;80),H470,AND(C15&gt;=80,C15&lt;90),I470,C15=90,J470)</f>
        <v>13568</v>
      </c>
      <c r="B470" s="24" t="s">
        <v>125</v>
      </c>
      <c r="C470" s="26">
        <v>1056</v>
      </c>
      <c r="D470" s="27">
        <v>3646</v>
      </c>
      <c r="E470" s="27">
        <v>6099</v>
      </c>
      <c r="F470" s="27">
        <v>7874</v>
      </c>
      <c r="G470" s="27">
        <v>9445</v>
      </c>
      <c r="H470" s="27">
        <v>11025</v>
      </c>
      <c r="I470" s="27">
        <v>12615</v>
      </c>
      <c r="J470" s="26">
        <v>13568</v>
      </c>
    </row>
    <row r="471" spans="1:10" x14ac:dyDescent="0.15">
      <c r="A471" cm="1">
        <f t="array" ref="A471">_xlfn.IFS(AND(C15&gt;=1,C15&lt;20),C471,AND(C15&gt;=20,C15&lt;40),D471,AND(C15&gt;=40,C15&lt;50),E471,AND(C15&gt;=50,C15&lt;60),F471,AND(C15&gt;=60,C15&lt;70),G471,AND(C15&gt;=70,C15&lt;80),H471,AND(C15&gt;=80,C15&lt;90),I471,C15=90,J471)</f>
        <v>730</v>
      </c>
      <c r="B471" s="24" t="s">
        <v>128</v>
      </c>
      <c r="C471" s="25">
        <v>57</v>
      </c>
      <c r="D471" s="28">
        <v>196</v>
      </c>
      <c r="E471" s="28">
        <v>328</v>
      </c>
      <c r="F471" s="28">
        <v>424</v>
      </c>
      <c r="G471" s="28">
        <v>508</v>
      </c>
      <c r="H471" s="28">
        <v>593</v>
      </c>
      <c r="I471" s="28">
        <v>679</v>
      </c>
      <c r="J471" s="25">
        <v>730</v>
      </c>
    </row>
    <row r="472" spans="1:10" x14ac:dyDescent="0.15">
      <c r="A472" cm="1">
        <f t="array" ref="A472">_xlfn.IFS(AND(C15&gt;=1,C15&lt;20),C472,AND(C15&gt;=20,C15&lt;40),D472,AND(C15&gt;=40,C15&lt;50),E472,AND(C15&gt;=50,C15&lt;60),F472,AND(C15&gt;=60,C15&lt;70),G472,AND(C15&gt;=70,C15&lt;80),H472,AND(C15&gt;=80,C15&lt;90),I472,C15=90,J472)</f>
        <v>335</v>
      </c>
      <c r="B472" s="24" t="s">
        <v>130</v>
      </c>
      <c r="C472" s="25">
        <v>26</v>
      </c>
      <c r="D472" s="28">
        <v>90</v>
      </c>
      <c r="E472" s="28">
        <v>150</v>
      </c>
      <c r="F472" s="28">
        <v>194</v>
      </c>
      <c r="G472" s="28">
        <v>233</v>
      </c>
      <c r="H472" s="28">
        <v>272</v>
      </c>
      <c r="I472" s="28">
        <v>311</v>
      </c>
      <c r="J472" s="25">
        <v>335</v>
      </c>
    </row>
    <row r="473" spans="1:10" x14ac:dyDescent="0.15">
      <c r="A473" cm="1">
        <f t="array" ref="A473">_xlfn.IFS(AND(C15&gt;=1,C15&lt;20),C473,AND(C15&gt;=20,C15&lt;40),D473,AND(C15&gt;=40,C15&lt;50),E473,AND(C15&gt;=50,C15&lt;60),F473,AND(C15&gt;=60,C15&lt;70),G473,AND(C15&gt;=70,C15&lt;80),H473,AND(C15&gt;=80,C15&lt;90),I473,C15=90,J473)</f>
        <v>0.38400000000000001</v>
      </c>
      <c r="B473" s="24" t="s">
        <v>38</v>
      </c>
      <c r="C473" s="29" t="s">
        <v>132</v>
      </c>
      <c r="D473" s="30" t="s">
        <v>132</v>
      </c>
      <c r="E473" s="31">
        <v>9.6000000000000002E-2</v>
      </c>
      <c r="F473" s="31">
        <v>0.192</v>
      </c>
      <c r="G473" s="31">
        <v>0.192</v>
      </c>
      <c r="H473" s="31">
        <v>0.28799999999999998</v>
      </c>
      <c r="I473" s="31">
        <v>0.38400000000000001</v>
      </c>
      <c r="J473" s="32">
        <v>0.38400000000000001</v>
      </c>
    </row>
    <row r="474" spans="1:10" x14ac:dyDescent="0.2">
      <c r="B474" t="s">
        <v>289</v>
      </c>
    </row>
    <row r="475" spans="1:10" x14ac:dyDescent="0.15">
      <c r="A475" cm="1">
        <f t="array" ref="A475">_xlfn.IFS(AND(C15&gt;=1,C15&lt;20),C475,AND(C15&gt;=20,C15&lt;40),D475,AND(C15&gt;=40,C15&lt;50),E475,AND(C15&gt;=50,C15&lt;60),F475,AND(C15&gt;=60,C15&lt;70),G475,AND(C15&gt;=70,C15&lt;80),H475,AND(C15&gt;=80,C15&lt;90),I475,C15=90,J475)</f>
        <v>13348</v>
      </c>
      <c r="B475" s="24" t="s">
        <v>125</v>
      </c>
      <c r="C475" s="26">
        <v>1039</v>
      </c>
      <c r="D475" s="27">
        <v>3586</v>
      </c>
      <c r="E475" s="27">
        <v>5999</v>
      </c>
      <c r="F475" s="27">
        <v>7747</v>
      </c>
      <c r="G475" s="27">
        <v>9292</v>
      </c>
      <c r="H475" s="27">
        <v>10846</v>
      </c>
      <c r="I475" s="27">
        <v>12410</v>
      </c>
      <c r="J475" s="26">
        <v>13348</v>
      </c>
    </row>
    <row r="476" spans="1:10" x14ac:dyDescent="0.15">
      <c r="A476" cm="1">
        <f t="array" ref="A476">_xlfn.IFS(AND(C15&gt;=1,C15&lt;20),C476,AND(C15&gt;=20,C15&lt;40),D476,AND(C15&gt;=40,C15&lt;50),E476,AND(C15&gt;=50,C15&lt;60),F476,AND(C15&gt;=60,C15&lt;70),G476,AND(C15&gt;=70,C15&lt;80),H476,AND(C15&gt;=80,C15&lt;90),I476,C15=90,J476)</f>
        <v>500</v>
      </c>
      <c r="B476" s="24" t="s">
        <v>128</v>
      </c>
      <c r="C476" s="25">
        <v>39</v>
      </c>
      <c r="D476" s="28">
        <v>134</v>
      </c>
      <c r="E476" s="28">
        <v>225</v>
      </c>
      <c r="F476" s="28">
        <v>290</v>
      </c>
      <c r="G476" s="28">
        <v>348</v>
      </c>
      <c r="H476" s="28">
        <v>406</v>
      </c>
      <c r="I476" s="28">
        <v>464</v>
      </c>
      <c r="J476" s="25">
        <v>500</v>
      </c>
    </row>
    <row r="477" spans="1:10" x14ac:dyDescent="0.15">
      <c r="A477" cm="1">
        <f t="array" ref="A477">_xlfn.IFS(AND(C15&gt;=1,C15&lt;20),C477,AND(C15&gt;=20,C15&lt;40),D477,AND(C15&gt;=40,C15&lt;50),E477,AND(C15&gt;=50,C15&lt;60),F477,AND(C15&gt;=60,C15&lt;70),G477,AND(C15&gt;=70,C15&lt;80),H477,AND(C15&gt;=80,C15&lt;90),I477,C15=90,J477)</f>
        <v>192</v>
      </c>
      <c r="B477" s="24" t="s">
        <v>130</v>
      </c>
      <c r="C477" s="25">
        <v>15</v>
      </c>
      <c r="D477" s="28">
        <v>51</v>
      </c>
      <c r="E477" s="28">
        <v>86</v>
      </c>
      <c r="F477" s="28">
        <v>111</v>
      </c>
      <c r="G477" s="28">
        <v>134</v>
      </c>
      <c r="H477" s="28">
        <v>156</v>
      </c>
      <c r="I477" s="28">
        <v>179</v>
      </c>
      <c r="J477" s="25">
        <v>192</v>
      </c>
    </row>
    <row r="478" spans="1:10" x14ac:dyDescent="0.2">
      <c r="A478" cm="1">
        <f t="array" ref="A478">_xlfn.IFS(AND(C15&gt;=1,C15&lt;20),C478,AND(C15&gt;=20,C15&lt;40),D478,AND(C15&gt;=40,C15&lt;50),E478,AND(C15&gt;=50,C15&lt;60),F478,AND(C15&gt;=60,C15&lt;70),G478,AND(C15&gt;=70,C15&lt;80),H478,AND(C15&gt;=80,C15&lt;90),I478,C15=90,J478)</f>
        <v>0.28799999999999998</v>
      </c>
      <c r="B478" s="24" t="s">
        <v>159</v>
      </c>
      <c r="C478" s="29" t="s">
        <v>132</v>
      </c>
      <c r="D478" s="30" t="s">
        <v>132</v>
      </c>
      <c r="E478" s="31">
        <v>7.1999999999999995E-2</v>
      </c>
      <c r="F478" s="31">
        <v>0.14399999999999999</v>
      </c>
      <c r="G478" s="31">
        <v>0.14399999999999999</v>
      </c>
      <c r="H478" s="31">
        <v>0.216</v>
      </c>
      <c r="I478" s="31">
        <v>0.28799999999999998</v>
      </c>
      <c r="J478" s="32">
        <v>0.28799999999999998</v>
      </c>
    </row>
    <row r="479" spans="1:10" x14ac:dyDescent="0.2">
      <c r="B479" t="s">
        <v>290</v>
      </c>
    </row>
    <row r="480" spans="1:10" ht="15" x14ac:dyDescent="0.2">
      <c r="A480" cm="1">
        <f t="array" ref="A480">_xlfn.IFS(AND(C15&gt;=1,C15&lt;20),C480,AND(C15&gt;=20,C15&lt;40),D480,AND(C15&gt;=40,C15&lt;50),E480,AND(C15&gt;=50,C15&lt;60),F480,AND(C15&gt;=60,C15&lt;70),G480,AND(C15&gt;=70,C15&lt;80),H480,AND(C15&gt;=80,C15&lt;90),I480,C15=90,J480)</f>
        <v>13348</v>
      </c>
      <c r="B480" s="15" t="s">
        <v>125</v>
      </c>
      <c r="C480" s="16">
        <v>1039</v>
      </c>
      <c r="D480" s="17">
        <v>3586</v>
      </c>
      <c r="E480" s="17">
        <v>5999</v>
      </c>
      <c r="F480" s="17">
        <v>7747</v>
      </c>
      <c r="G480" s="17">
        <v>9292</v>
      </c>
      <c r="H480" s="17">
        <v>10846</v>
      </c>
      <c r="I480" s="17">
        <v>12410</v>
      </c>
      <c r="J480" s="16">
        <v>13348</v>
      </c>
    </row>
    <row r="481" spans="1:10" ht="15" x14ac:dyDescent="0.2">
      <c r="A481" cm="1">
        <f t="array" ref="A481">_xlfn.IFS(AND(C15&gt;=1,C15&lt;20),C481,AND(C15&gt;=20,C15&lt;40),D481,AND(C15&gt;=40,C15&lt;50),E481,AND(C15&gt;=50,C15&lt;60),F481,AND(C15&gt;=60,C15&lt;70),G481,AND(C15&gt;=70,C15&lt;80),H481,AND(C15&gt;=80,C15&lt;90),I481,C15=90,J481)</f>
        <v>782</v>
      </c>
      <c r="B481" s="15" t="s">
        <v>128</v>
      </c>
      <c r="C481" s="19">
        <v>61</v>
      </c>
      <c r="D481" s="18">
        <v>210</v>
      </c>
      <c r="E481" s="18">
        <v>351</v>
      </c>
      <c r="F481" s="18">
        <v>454</v>
      </c>
      <c r="G481" s="18">
        <v>544</v>
      </c>
      <c r="H481" s="18">
        <v>635</v>
      </c>
      <c r="I481" s="18">
        <v>727</v>
      </c>
      <c r="J481" s="19">
        <v>782</v>
      </c>
    </row>
    <row r="482" spans="1:10" ht="15" x14ac:dyDescent="0.2">
      <c r="A482" cm="1">
        <f t="array" ref="A482">_xlfn.IFS(AND(C15&gt;=1,C15&lt;20),C482,AND(C15&gt;=20,C15&lt;40),D482,AND(C15&gt;=40,C15&lt;50),E482,AND(C15&gt;=50,C15&lt;60),F482,AND(C15&gt;=60,C15&lt;70),G482,AND(C15&gt;=70,C15&lt;80),H482,AND(C15&gt;=80,C15&lt;90),I482,C15=90,J482)</f>
        <v>313</v>
      </c>
      <c r="B482" s="15" t="s">
        <v>130</v>
      </c>
      <c r="C482" s="19">
        <v>24</v>
      </c>
      <c r="D482" s="18">
        <v>84</v>
      </c>
      <c r="E482" s="18">
        <v>141</v>
      </c>
      <c r="F482" s="18">
        <v>182</v>
      </c>
      <c r="G482" s="18">
        <v>218</v>
      </c>
      <c r="H482" s="18">
        <v>255</v>
      </c>
      <c r="I482" s="18">
        <v>291</v>
      </c>
      <c r="J482" s="19">
        <v>313</v>
      </c>
    </row>
    <row r="483" spans="1:10" ht="15" x14ac:dyDescent="0.2">
      <c r="A483" cm="1">
        <f t="array" ref="A483">_xlfn.IFS(AND(C15&gt;=1,C15&lt;20),C483,AND(C15&gt;=20,C15&lt;40),D483,AND(C15&gt;=40,C15&lt;50),E483,AND(C15&gt;=50,C15&lt;60),F483,AND(C15&gt;=60,C15&lt;70),G483,AND(C15&gt;=70,C15&lt;80),H483,AND(C15&gt;=80,C15&lt;90),I483,C15=90,J483)</f>
        <v>0.28799999999999998</v>
      </c>
      <c r="B483" s="15" t="s">
        <v>469</v>
      </c>
      <c r="C483" s="20" t="s">
        <v>132</v>
      </c>
      <c r="D483" s="21" t="s">
        <v>132</v>
      </c>
      <c r="E483" s="22">
        <v>7.1999999999999995E-2</v>
      </c>
      <c r="F483" s="22">
        <v>0.14399999999999999</v>
      </c>
      <c r="G483" s="22">
        <v>0.14399999999999999</v>
      </c>
      <c r="H483" s="22">
        <v>0.216</v>
      </c>
      <c r="I483" s="22">
        <v>0.28799999999999998</v>
      </c>
      <c r="J483" s="23">
        <v>0.28799999999999998</v>
      </c>
    </row>
    <row r="484" spans="1:10" x14ac:dyDescent="0.2">
      <c r="B484" t="s">
        <v>291</v>
      </c>
    </row>
    <row r="485" spans="1:10" x14ac:dyDescent="0.15">
      <c r="A485" cm="1">
        <f t="array" ref="A485">_xlfn.IFS(AND(C15&gt;=1,C15&lt;20),C485,AND(C15&gt;=20,C15&lt;40),D485,AND(C15&gt;=40,C15&lt;50),E485,AND(C15&gt;=50,C15&lt;60),F485,AND(C15&gt;=60,C15&lt;70),G485,AND(C15&gt;=70,C15&lt;80),H485,AND(C15&gt;=80,C15&lt;90),I485,C15=90,J485)</f>
        <v>10360</v>
      </c>
      <c r="B485" s="24" t="s">
        <v>125</v>
      </c>
      <c r="C485" s="25">
        <v>807</v>
      </c>
      <c r="D485" s="27">
        <v>2784</v>
      </c>
      <c r="E485" s="27">
        <v>4656</v>
      </c>
      <c r="F485" s="27">
        <v>6012</v>
      </c>
      <c r="G485" s="27">
        <v>7212</v>
      </c>
      <c r="H485" s="27">
        <v>8418</v>
      </c>
      <c r="I485" s="27">
        <v>9632</v>
      </c>
      <c r="J485" s="26">
        <v>10360</v>
      </c>
    </row>
    <row r="486" spans="1:10" x14ac:dyDescent="0.15">
      <c r="A486" cm="1">
        <f t="array" ref="A486">_xlfn.IFS(AND(C15&gt;=1,C15&lt;20),C486,AND(C15&gt;=20,C15&lt;40),D486,AND(C15&gt;=40,C15&lt;50),E486,AND(C15&gt;=50,C15&lt;60),F486,AND(C15&gt;=60,C15&lt;70),G486,AND(C15&gt;=70,C15&lt;80),H486,AND(C15&gt;=80,C15&lt;90),I486,C15=90,J486)</f>
        <v>630</v>
      </c>
      <c r="B486" s="24" t="s">
        <v>128</v>
      </c>
      <c r="C486" s="25">
        <v>49</v>
      </c>
      <c r="D486" s="28">
        <v>169</v>
      </c>
      <c r="E486" s="28">
        <v>283</v>
      </c>
      <c r="F486" s="28">
        <v>366</v>
      </c>
      <c r="G486" s="28">
        <v>439</v>
      </c>
      <c r="H486" s="28">
        <v>512</v>
      </c>
      <c r="I486" s="28">
        <v>586</v>
      </c>
      <c r="J486" s="25">
        <v>630</v>
      </c>
    </row>
    <row r="487" spans="1:10" x14ac:dyDescent="0.15">
      <c r="A487" cm="1">
        <f t="array" ref="A487">_xlfn.IFS(AND(C15&gt;=1,C15&lt;20),C487,AND(C15&gt;=20,C15&lt;40),D487,AND(C15&gt;=40,C15&lt;50),E487,AND(C15&gt;=50,C15&lt;60),F487,AND(C15&gt;=60,C15&lt;70),G487,AND(C15&gt;=70,C15&lt;80),H487,AND(C15&gt;=80,C15&lt;90),I487,C15=90,J487)</f>
        <v>299</v>
      </c>
      <c r="B487" s="24" t="s">
        <v>130</v>
      </c>
      <c r="C487" s="25">
        <v>23</v>
      </c>
      <c r="D487" s="28">
        <v>80</v>
      </c>
      <c r="E487" s="28">
        <v>134</v>
      </c>
      <c r="F487" s="28">
        <v>174</v>
      </c>
      <c r="G487" s="28">
        <v>208</v>
      </c>
      <c r="H487" s="28">
        <v>243</v>
      </c>
      <c r="I487" s="28">
        <v>278</v>
      </c>
      <c r="J487" s="25">
        <v>299</v>
      </c>
    </row>
    <row r="488" spans="1:10" x14ac:dyDescent="0.15">
      <c r="A488" cm="1">
        <f t="array" ref="A488">_xlfn.IFS(AND(C15&gt;=1,C15&lt;20),C488,AND(C15&gt;=20,C15&lt;40),D488,AND(C15&gt;=40,C15&lt;50),E488,AND(C15&gt;=50,C15&lt;60),F488,AND(C15&gt;=60,C15&lt;70),G488,AND(C15&gt;=70,C15&lt;80),H488,AND(C15&gt;=80,C15&lt;90),I488,C15=90,J488)</f>
        <v>115</v>
      </c>
      <c r="B488" s="24" t="s">
        <v>74</v>
      </c>
      <c r="C488" s="29" t="s">
        <v>132</v>
      </c>
      <c r="D488" s="30" t="s">
        <v>132</v>
      </c>
      <c r="E488" s="28">
        <v>29</v>
      </c>
      <c r="F488" s="28">
        <v>58</v>
      </c>
      <c r="G488" s="28">
        <v>58</v>
      </c>
      <c r="H488" s="28">
        <v>86</v>
      </c>
      <c r="I488" s="28">
        <v>115</v>
      </c>
      <c r="J488" s="25">
        <v>115</v>
      </c>
    </row>
    <row r="489" spans="1:10" x14ac:dyDescent="0.2">
      <c r="B489" t="s">
        <v>292</v>
      </c>
    </row>
    <row r="490" spans="1:10" x14ac:dyDescent="0.15">
      <c r="A490" cm="1">
        <f t="array" ref="A490">_xlfn.IFS(AND(C15&gt;=1,C15&lt;20),C490,AND(C15&gt;=20,C15&lt;40),D490,AND(C15&gt;=40,C15&lt;50),E490,AND(C15&gt;=50,C15&lt;60),F490,AND(C15&gt;=60,C15&lt;70),G490,AND(C15&gt;=70,C15&lt;80),H490,AND(C15&gt;=80,C15&lt;90),I490,C15=90,J490)</f>
        <v>10850</v>
      </c>
      <c r="B490" s="24" t="s">
        <v>125</v>
      </c>
      <c r="C490" s="25">
        <v>845</v>
      </c>
      <c r="D490" s="27">
        <v>2915</v>
      </c>
      <c r="E490" s="27">
        <v>4877</v>
      </c>
      <c r="F490" s="27">
        <v>6297</v>
      </c>
      <c r="G490" s="27">
        <v>7553</v>
      </c>
      <c r="H490" s="27">
        <v>8816</v>
      </c>
      <c r="I490" s="27">
        <v>10087</v>
      </c>
      <c r="J490" s="26">
        <v>10850</v>
      </c>
    </row>
    <row r="491" spans="1:10" x14ac:dyDescent="0.15">
      <c r="A491" cm="1">
        <f t="array" ref="A491">_xlfn.IFS(AND(C15&gt;=1,C15&lt;20),C491,AND(C15&gt;=20,C15&lt;40),D491,AND(C15&gt;=40,C15&lt;50),E491,AND(C15&gt;=50,C15&lt;60),F491,AND(C15&gt;=60,C15&lt;70),G491,AND(C15&gt;=70,C15&lt;80),H491,AND(C15&gt;=80,C15&lt;90),I491,C15=90,J491)</f>
        <v>630</v>
      </c>
      <c r="B491" s="24" t="s">
        <v>128</v>
      </c>
      <c r="C491" s="25">
        <v>49</v>
      </c>
      <c r="D491" s="28">
        <v>169</v>
      </c>
      <c r="E491" s="28">
        <v>283</v>
      </c>
      <c r="F491" s="28">
        <v>366</v>
      </c>
      <c r="G491" s="28">
        <v>439</v>
      </c>
      <c r="H491" s="28">
        <v>512</v>
      </c>
      <c r="I491" s="28">
        <v>586</v>
      </c>
      <c r="J491" s="25">
        <v>630</v>
      </c>
    </row>
    <row r="492" spans="1:10" x14ac:dyDescent="0.15">
      <c r="A492" cm="1">
        <f t="array" ref="A492">_xlfn.IFS(AND(C15&gt;=1,C15&lt;20),C492,AND(C15&gt;=20,C15&lt;40),D492,AND(C15&gt;=40,C15&lt;50),E492,AND(C15&gt;=50,C15&lt;60),F492,AND(C15&gt;=60,C15&lt;70),G492,AND(C15&gt;=70,C15&lt;80),H492,AND(C15&gt;=80,C15&lt;90),I492,C15=90,J492)</f>
        <v>268</v>
      </c>
      <c r="B492" s="24" t="s">
        <v>130</v>
      </c>
      <c r="C492" s="25">
        <v>21</v>
      </c>
      <c r="D492" s="28">
        <v>72</v>
      </c>
      <c r="E492" s="28">
        <v>120</v>
      </c>
      <c r="F492" s="28">
        <v>155</v>
      </c>
      <c r="G492" s="28">
        <v>186</v>
      </c>
      <c r="H492" s="28">
        <v>218</v>
      </c>
      <c r="I492" s="28">
        <v>249</v>
      </c>
      <c r="J492" s="25">
        <v>268</v>
      </c>
    </row>
    <row r="493" spans="1:10" x14ac:dyDescent="0.15">
      <c r="A493" cm="1">
        <f t="array" ref="A493">_xlfn.IFS(AND(C15&gt;=1,C15&lt;20),C493,AND(C15&gt;=20,C15&lt;40),D493,AND(C15&gt;=40,C15&lt;50),E493,AND(C15&gt;=50,C15&lt;60),F493,AND(C15&gt;=60,C15&lt;70),G493,AND(C15&gt;=70,C15&lt;80),H493,AND(C15&gt;=80,C15&lt;90),I493,C15=90,J493)</f>
        <v>0.28799999999999998</v>
      </c>
      <c r="B493" s="24" t="s">
        <v>469</v>
      </c>
      <c r="C493" s="29" t="s">
        <v>132</v>
      </c>
      <c r="D493" s="30" t="s">
        <v>132</v>
      </c>
      <c r="E493" s="31">
        <v>7.1999999999999995E-2</v>
      </c>
      <c r="F493" s="31">
        <v>0.14399999999999999</v>
      </c>
      <c r="G493" s="31">
        <v>0.14399999999999999</v>
      </c>
      <c r="H493" s="31">
        <v>0.216</v>
      </c>
      <c r="I493" s="31">
        <v>0.28799999999999998</v>
      </c>
      <c r="J493" s="32">
        <v>0.28799999999999998</v>
      </c>
    </row>
    <row r="494" spans="1:10" x14ac:dyDescent="0.2">
      <c r="B494" t="s">
        <v>293</v>
      </c>
    </row>
    <row r="495" spans="1:10" x14ac:dyDescent="0.15">
      <c r="A495" cm="1">
        <f t="array" ref="A495">_xlfn.IFS(AND(C15&gt;=1,C15&lt;20),C495,AND(C15&gt;=20,C15&lt;40),D495,AND(C15&gt;=40,C15&lt;50),E495,AND(C15&gt;=50,C15&lt;60),F495,AND(C15&gt;=60,C15&lt;70),G495,AND(C15&gt;=70,C15&lt;80),H495,AND(C15&gt;=80,C15&lt;90),I495,C15=90,J495)</f>
        <v>12180</v>
      </c>
      <c r="B495" s="24" t="s">
        <v>125</v>
      </c>
      <c r="C495" s="26">
        <v>1021</v>
      </c>
      <c r="D495" s="27">
        <v>3386</v>
      </c>
      <c r="E495" s="27">
        <v>5614</v>
      </c>
      <c r="F495" s="27">
        <v>7181</v>
      </c>
      <c r="G495" s="27">
        <v>8566</v>
      </c>
      <c r="H495" s="28">
        <v>9951</v>
      </c>
      <c r="I495" s="28">
        <v>11336</v>
      </c>
      <c r="J495" s="25">
        <v>12180</v>
      </c>
    </row>
    <row r="496" spans="1:10" x14ac:dyDescent="0.15">
      <c r="A496" cm="1">
        <f t="array" ref="A496">_xlfn.IFS(AND(C15&gt;=1,C15&lt;20),C496,AND(C15&gt;=20,C15&lt;40),D496,AND(C15&gt;=40,C15&lt;50),E496,AND(C15&gt;=50,C15&lt;60),F496,AND(C15&gt;=60,C15&lt;70),G496,AND(C15&gt;=70,C15&lt;80),H496,AND(C15&gt;=80,C15&lt;90),I496,C15=90,J496)</f>
        <v>546</v>
      </c>
      <c r="B496" s="24" t="s">
        <v>128</v>
      </c>
      <c r="C496" s="25">
        <v>46</v>
      </c>
      <c r="D496" s="28">
        <v>152</v>
      </c>
      <c r="E496" s="28">
        <v>252</v>
      </c>
      <c r="F496" s="28">
        <v>322</v>
      </c>
      <c r="G496" s="28">
        <v>384</v>
      </c>
      <c r="H496" s="28">
        <v>446</v>
      </c>
      <c r="I496" s="28">
        <v>508</v>
      </c>
      <c r="J496" s="25">
        <v>546</v>
      </c>
    </row>
    <row r="497" spans="1:10" x14ac:dyDescent="0.15">
      <c r="A497" cm="1">
        <f t="array" ref="A497">_xlfn.IFS(AND(C15&gt;=1,C15&lt;20),C497,AND(C15&gt;=20,C15&lt;40),D497,AND(C15&gt;=40,C15&lt;50),E497,AND(C15&gt;=50,C15&lt;60),F497,AND(C15&gt;=60,C15&lt;70),G497,AND(C15&gt;=70,C15&lt;80),H497,AND(C15&gt;=80,C15&lt;90),I497,C15=90,J497)</f>
        <v>223</v>
      </c>
      <c r="B497" s="24" t="s">
        <v>130</v>
      </c>
      <c r="C497" s="25">
        <v>19</v>
      </c>
      <c r="D497" s="28">
        <v>62</v>
      </c>
      <c r="E497" s="28">
        <v>103</v>
      </c>
      <c r="F497" s="28">
        <v>132</v>
      </c>
      <c r="G497" s="28">
        <v>157</v>
      </c>
      <c r="H497" s="28">
        <v>182</v>
      </c>
      <c r="I497" s="28">
        <v>208</v>
      </c>
      <c r="J497" s="25">
        <v>223</v>
      </c>
    </row>
    <row r="498" spans="1:10" x14ac:dyDescent="0.2">
      <c r="A498" cm="1">
        <f t="array" ref="A498">_xlfn.IFS(AND(C15&gt;=1,C15&lt;20),C498,AND(C15&gt;=20,C15&lt;40),D498,AND(C15&gt;=40,C15&lt;50),E498,AND(C15&gt;=50,C15&lt;60),F498,AND(C15&gt;=60,C15&lt;70),G498,AND(C15&gt;=70,C15&lt;80),H498,AND(C15&gt;=80,C15&lt;90),I498,C15=90,J498)</f>
        <v>0.24</v>
      </c>
      <c r="B498" s="24" t="s">
        <v>159</v>
      </c>
      <c r="C498" s="29" t="s">
        <v>132</v>
      </c>
      <c r="D498" s="30" t="s">
        <v>132</v>
      </c>
      <c r="E498" s="31">
        <v>0.06</v>
      </c>
      <c r="F498" s="31">
        <v>0.12</v>
      </c>
      <c r="G498" s="31">
        <v>0.12</v>
      </c>
      <c r="H498" s="31">
        <v>0.18</v>
      </c>
      <c r="I498" s="31">
        <v>0.24</v>
      </c>
      <c r="J498" s="32">
        <v>0.24</v>
      </c>
    </row>
    <row r="499" spans="1:10" x14ac:dyDescent="0.2">
      <c r="B499" t="s">
        <v>294</v>
      </c>
    </row>
    <row r="500" spans="1:10" x14ac:dyDescent="0.15">
      <c r="A500" cm="1">
        <f t="array" ref="A500">_xlfn.IFS(AND(C15&gt;=1,C15&lt;20),C500,AND(C15&gt;=20,C15&lt;40),D500,AND(C15&gt;=40,C15&lt;50),E500,AND(C15&gt;=50,C15&lt;60),F500,AND(C15&gt;=60,C15&lt;70),G500,AND(C15&gt;=70,C15&lt;80),H500,AND(C15&gt;=80,C15&lt;90),I500,C15=90,J500)</f>
        <v>11962</v>
      </c>
      <c r="B500" s="24" t="s">
        <v>125</v>
      </c>
      <c r="C500" s="26">
        <v>1003</v>
      </c>
      <c r="D500" s="27">
        <v>3326</v>
      </c>
      <c r="E500" s="27">
        <v>5514</v>
      </c>
      <c r="F500" s="27">
        <v>7052</v>
      </c>
      <c r="G500" s="27">
        <v>8413</v>
      </c>
      <c r="H500" s="27">
        <v>9773</v>
      </c>
      <c r="I500" s="27">
        <v>11134</v>
      </c>
      <c r="J500" s="25">
        <v>11962</v>
      </c>
    </row>
    <row r="501" spans="1:10" x14ac:dyDescent="0.15">
      <c r="A501" cm="1">
        <f t="array" ref="A501">_xlfn.IFS(AND(C15&gt;=1,C15&lt;20),C501,AND(C15&gt;=20,C15&lt;40),D501,AND(C15&gt;=40,C15&lt;50),E501,AND(C15&gt;=50,C15&lt;60),F501,AND(C15&gt;=60,C15&lt;70),G501,AND(C15&gt;=70,C15&lt;80),H501,AND(C15&gt;=80,C15&lt;90),I501,C15=90,J501)</f>
        <v>751</v>
      </c>
      <c r="B501" s="24" t="s">
        <v>128</v>
      </c>
      <c r="C501" s="25">
        <v>63</v>
      </c>
      <c r="D501" s="28">
        <v>209</v>
      </c>
      <c r="E501" s="28">
        <v>346</v>
      </c>
      <c r="F501" s="28">
        <v>443</v>
      </c>
      <c r="G501" s="28">
        <v>528</v>
      </c>
      <c r="H501" s="28">
        <v>613</v>
      </c>
      <c r="I501" s="28">
        <v>699</v>
      </c>
      <c r="J501" s="25">
        <v>751</v>
      </c>
    </row>
    <row r="502" spans="1:10" x14ac:dyDescent="0.15">
      <c r="A502" cm="1">
        <f t="array" ref="A502">_xlfn.IFS(AND(C15&gt;=1,C15&lt;20),C502,AND(C15&gt;=20,C15&lt;40),D502,AND(C15&gt;=40,C15&lt;50),E502,AND(C15&gt;=50,C15&lt;60),F502,AND(C15&gt;=60,C15&lt;70),G502,AND(C15&gt;=70,C15&lt;80),H502,AND(C15&gt;=80,C15&lt;90),I502,C15=90,J502)</f>
        <v>234</v>
      </c>
      <c r="B502" s="24" t="s">
        <v>130</v>
      </c>
      <c r="C502" s="25">
        <v>19</v>
      </c>
      <c r="D502" s="28">
        <v>65</v>
      </c>
      <c r="E502" s="28">
        <v>108</v>
      </c>
      <c r="F502" s="28">
        <v>137</v>
      </c>
      <c r="G502" s="28">
        <v>164</v>
      </c>
      <c r="H502" s="28">
        <v>191</v>
      </c>
      <c r="I502" s="28">
        <v>218</v>
      </c>
      <c r="J502" s="25">
        <v>234</v>
      </c>
    </row>
    <row r="503" spans="1:10" x14ac:dyDescent="0.15">
      <c r="A503" cm="1">
        <f t="array" ref="A503">_xlfn.IFS(AND(C15&gt;=1,C15&lt;20),C503,AND(C15&gt;=20,C15&lt;40),D503,AND(C15&gt;=40,C15&lt;50),E503,AND(C15&gt;=50,C15&lt;60),F503,AND(C15&gt;=60,C15&lt;70),G503,AND(C15&gt;=70,C15&lt;80),H503,AND(C15&gt;=80,C15&lt;90),I503,C15=90,J503)</f>
        <v>96</v>
      </c>
      <c r="B503" s="24" t="s">
        <v>74</v>
      </c>
      <c r="C503" s="29" t="s">
        <v>132</v>
      </c>
      <c r="D503" s="30" t="s">
        <v>132</v>
      </c>
      <c r="E503" s="28">
        <v>24</v>
      </c>
      <c r="F503" s="28">
        <v>48</v>
      </c>
      <c r="G503" s="28">
        <v>48</v>
      </c>
      <c r="H503" s="28">
        <v>72</v>
      </c>
      <c r="I503" s="28">
        <v>96</v>
      </c>
      <c r="J503" s="25">
        <v>96</v>
      </c>
    </row>
    <row r="504" spans="1:10" x14ac:dyDescent="0.2">
      <c r="B504" t="s">
        <v>295</v>
      </c>
    </row>
    <row r="505" spans="1:10" x14ac:dyDescent="0.15">
      <c r="A505" cm="1">
        <f t="array" ref="A505">_xlfn.IFS(AND(C15&gt;=1,C15&lt;20),C505,AND(C15&gt;=20,C15&lt;40),D505,AND(C15&gt;=40,C15&lt;50),E505,AND(C15&gt;=50,C15&lt;60),F505,AND(C15&gt;=60,C15&lt;70),G505,AND(C15&gt;=70,C15&lt;80),H505,AND(C15&gt;=80,C15&lt;90),I505,C15=90,J505)</f>
        <v>12289</v>
      </c>
      <c r="B505" s="24" t="s">
        <v>125</v>
      </c>
      <c r="C505" s="26">
        <v>1030</v>
      </c>
      <c r="D505" s="27">
        <v>3417</v>
      </c>
      <c r="E505" s="27">
        <v>5665</v>
      </c>
      <c r="F505" s="27">
        <v>7245</v>
      </c>
      <c r="G505" s="27">
        <v>8643</v>
      </c>
      <c r="H505" s="27">
        <v>10040</v>
      </c>
      <c r="I505" s="27">
        <v>11438</v>
      </c>
      <c r="J505" s="26">
        <v>12289</v>
      </c>
    </row>
    <row r="506" spans="1:10" x14ac:dyDescent="0.15">
      <c r="A506" cm="1">
        <f t="array" ref="A506">_xlfn.IFS(AND(C15&gt;=1,C15&lt;20),C506,AND(C15&gt;=20,C15&lt;40),D506,AND(C15&gt;=40,C15&lt;50),E506,AND(C15&gt;=50,C15&lt;60),F506,AND(C15&gt;=60,C15&lt;70),G506,AND(C15&gt;=70,C15&lt;80),H506,AND(C15&gt;=80,C15&lt;90),I506,C15=90,J506)</f>
        <v>751</v>
      </c>
      <c r="B506" s="24" t="s">
        <v>128</v>
      </c>
      <c r="C506" s="25">
        <v>63</v>
      </c>
      <c r="D506" s="28">
        <v>209</v>
      </c>
      <c r="E506" s="28">
        <v>346</v>
      </c>
      <c r="F506" s="28">
        <v>443</v>
      </c>
      <c r="G506" s="28">
        <v>528</v>
      </c>
      <c r="H506" s="28">
        <v>613</v>
      </c>
      <c r="I506" s="28">
        <v>699</v>
      </c>
      <c r="J506" s="25">
        <v>751</v>
      </c>
    </row>
    <row r="507" spans="1:10" x14ac:dyDescent="0.15">
      <c r="A507" cm="1">
        <f t="array" ref="A507">_xlfn.IFS(AND(C15&gt;=1,C15&lt;20),C507,AND(C15&gt;=20,C15&lt;40),D507,AND(C15&gt;=40,C15&lt;50),E507,AND(C15&gt;=50,C15&lt;60),F507,AND(C15&gt;=60,C15&lt;70),G507,AND(C15&gt;=70,C15&lt;80),H507,AND(C15&gt;=80,C15&lt;90),I507,C15=90,J507)</f>
        <v>213</v>
      </c>
      <c r="B507" s="24" t="s">
        <v>130</v>
      </c>
      <c r="C507" s="25">
        <v>17</v>
      </c>
      <c r="D507" s="28">
        <v>59</v>
      </c>
      <c r="E507" s="28">
        <v>98</v>
      </c>
      <c r="F507" s="28">
        <v>125</v>
      </c>
      <c r="G507" s="28">
        <v>149</v>
      </c>
      <c r="H507" s="28">
        <v>173</v>
      </c>
      <c r="I507" s="28">
        <v>198</v>
      </c>
      <c r="J507" s="25">
        <v>213</v>
      </c>
    </row>
    <row r="508" spans="1:10" x14ac:dyDescent="0.2">
      <c r="A508" cm="1">
        <f t="array" ref="A508">_xlfn.IFS(AND(C15&gt;=1,C15&lt;20),C508,AND(C15&gt;=20,C15&lt;40),D508,AND(C15&gt;=40,C15&lt;50),E508,AND(C15&gt;=50,C15&lt;60),F508,AND(C15&gt;=60,C15&lt;70),G508,AND(C15&gt;=70,C15&lt;80),H508,AND(C15&gt;=80,C15&lt;90),I508,C15=90,J508)</f>
        <v>0.24</v>
      </c>
      <c r="B508" s="24" t="s">
        <v>159</v>
      </c>
      <c r="C508" s="29" t="s">
        <v>132</v>
      </c>
      <c r="D508" s="30" t="s">
        <v>132</v>
      </c>
      <c r="E508" s="31">
        <v>0.06</v>
      </c>
      <c r="F508" s="31">
        <v>0.12</v>
      </c>
      <c r="G508" s="31">
        <v>0.12</v>
      </c>
      <c r="H508" s="31">
        <v>0.18</v>
      </c>
      <c r="I508" s="31">
        <v>0.24</v>
      </c>
      <c r="J508" s="32">
        <v>0.24</v>
      </c>
    </row>
    <row r="509" spans="1:10" x14ac:dyDescent="0.2">
      <c r="B509" t="s">
        <v>296</v>
      </c>
    </row>
    <row r="510" spans="1:10" x14ac:dyDescent="0.15">
      <c r="A510" cm="1">
        <f t="array" ref="A510">_xlfn.IFS(AND(C15&gt;=1,C15&lt;20),C510,AND(C15&gt;=20,C15&lt;40),D510,AND(C15&gt;=40,C15&lt;50),E510,AND(C15&gt;=50,C15&lt;60),F510,AND(C15&gt;=60,C15&lt;70),G510,AND(C15&gt;=70,C15&lt;80),H510,AND(C15&gt;=80,C15&lt;90),I510,C15=90,J510)</f>
        <v>9787</v>
      </c>
      <c r="B510" s="24" t="s">
        <v>125</v>
      </c>
      <c r="C510" s="25">
        <v>821</v>
      </c>
      <c r="D510" s="27">
        <v>2721</v>
      </c>
      <c r="E510" s="27">
        <v>4512</v>
      </c>
      <c r="F510" s="27">
        <v>5770</v>
      </c>
      <c r="G510" s="27">
        <v>6884</v>
      </c>
      <c r="H510" s="27">
        <v>7996</v>
      </c>
      <c r="I510" s="27">
        <v>9110</v>
      </c>
      <c r="J510" s="25">
        <v>9787</v>
      </c>
    </row>
    <row r="511" spans="1:10" x14ac:dyDescent="0.15">
      <c r="A511" cm="1">
        <f t="array" ref="A511">_xlfn.IFS(AND(C15&gt;=1,C15&lt;20),C511,AND(C15&gt;=20,C15&lt;40),D511,AND(C15&gt;=40,C15&lt;50),E511,AND(C15&gt;=50,C15&lt;60),F511,AND(C15&gt;=60,C15&lt;70),G511,AND(C15&gt;=70,C15&lt;80),H511,AND(C15&gt;=80,C15&lt;90),I511,C15=90,J511)</f>
        <v>601</v>
      </c>
      <c r="B511" s="24" t="s">
        <v>128</v>
      </c>
      <c r="C511" s="25">
        <v>50</v>
      </c>
      <c r="D511" s="28">
        <v>167</v>
      </c>
      <c r="E511" s="28">
        <v>277</v>
      </c>
      <c r="F511" s="28">
        <v>354</v>
      </c>
      <c r="G511" s="28">
        <v>422</v>
      </c>
      <c r="H511" s="28">
        <v>491</v>
      </c>
      <c r="I511" s="28">
        <v>559</v>
      </c>
      <c r="J511" s="25">
        <v>601</v>
      </c>
    </row>
    <row r="512" spans="1:10" x14ac:dyDescent="0.15">
      <c r="A512" cm="1">
        <f t="array" ref="A512">_xlfn.IFS(AND(C15&gt;=1,C15&lt;20),C512,AND(C15&gt;=20,C15&lt;40),D512,AND(C15&gt;=40,C15&lt;50),E512,AND(C15&gt;=50,C15&lt;60),F512,AND(C15&gt;=60,C15&lt;70),G512,AND(C15&gt;=70,C15&lt;80),H512,AND(C15&gt;=80,C15&lt;90),I512,C15=90,J512)</f>
        <v>200</v>
      </c>
      <c r="B512" s="24" t="s">
        <v>130</v>
      </c>
      <c r="C512" s="25">
        <v>16</v>
      </c>
      <c r="D512" s="28">
        <v>55</v>
      </c>
      <c r="E512" s="28">
        <v>92</v>
      </c>
      <c r="F512" s="28">
        <v>117</v>
      </c>
      <c r="G512" s="28">
        <v>140</v>
      </c>
      <c r="H512" s="28">
        <v>163</v>
      </c>
      <c r="I512" s="28">
        <v>186</v>
      </c>
      <c r="J512" s="25">
        <v>200</v>
      </c>
    </row>
    <row r="513" spans="1:10" x14ac:dyDescent="0.15">
      <c r="A513" cm="1">
        <f t="array" ref="A513">_xlfn.IFS(AND(C15&gt;=1,C15&lt;20),C513,AND(C15&gt;=20,C15&lt;40),D513,AND(C15&gt;=40,C15&lt;50),E513,AND(C15&gt;=50,C15&lt;60),F513,AND(C15&gt;=60,C15&lt;70),G513,AND(C15&gt;=70,C15&lt;80),H513,AND(C15&gt;=80,C15&lt;90),I513,C15=90,J513)</f>
        <v>0.24</v>
      </c>
      <c r="B513" s="24" t="s">
        <v>36</v>
      </c>
      <c r="C513" s="29" t="s">
        <v>132</v>
      </c>
      <c r="D513" s="30" t="s">
        <v>132</v>
      </c>
      <c r="E513" s="31">
        <v>0.06</v>
      </c>
      <c r="F513" s="31">
        <v>0.12</v>
      </c>
      <c r="G513" s="31">
        <v>0.12</v>
      </c>
      <c r="H513" s="31">
        <v>0.18</v>
      </c>
      <c r="I513" s="31">
        <v>0.24</v>
      </c>
      <c r="J513" s="32">
        <v>0.24</v>
      </c>
    </row>
  </sheetData>
  <phoneticPr fontId="1" alignment="center"/>
  <dataValidations count="23">
    <dataValidation type="list" allowBlank="1" showInputMessage="1" showErrorMessage="1" sqref="L5:L7" xr:uid="{54EEB281-06D5-4A97-B9B1-7931974F029B}">
      <formula1>$L$5:$L$7</formula1>
    </dataValidation>
    <dataValidation type="list" allowBlank="1" showInputMessage="1" showErrorMessage="1" sqref="C28:F28" xr:uid="{2E5C7F7A-589F-4C93-8835-36D62FE287BF}">
      <formula1>$M$201:$M$364</formula1>
    </dataValidation>
    <dataValidation type="list" allowBlank="1" showInputMessage="1" showErrorMessage="1" sqref="E39" xr:uid="{39999B1F-DBC9-43AD-977B-D4D11A981D11}">
      <formula1>$O$201:$O$205</formula1>
    </dataValidation>
    <dataValidation type="list" allowBlank="1" showInputMessage="1" showErrorMessage="1" sqref="F39" xr:uid="{CB8BBE80-073E-4426-9CDA-FA25F79C2E04}">
      <formula1>$P$201:$P$211</formula1>
    </dataValidation>
    <dataValidation type="list" allowBlank="1" showInputMessage="1" showErrorMessage="1" sqref="G39" xr:uid="{6869EE7A-C3FC-446E-92D1-12BB553D6639}">
      <formula1>$Q$201:$Q$206</formula1>
    </dataValidation>
    <dataValidation type="list" allowBlank="1" showInputMessage="1" showErrorMessage="1" sqref="C14:F14" xr:uid="{8F5F186C-FC4C-4587-8B0E-AA2609F9B29F}">
      <formula1>$M$94:$M$181</formula1>
    </dataValidation>
    <dataValidation type="list" allowBlank="1" showInputMessage="1" showErrorMessage="1" sqref="C17" xr:uid="{B01B5A76-4750-4CDD-BF83-6B12DB126FBB}">
      <formula1>$O$210:$O$215</formula1>
    </dataValidation>
    <dataValidation type="list" allowBlank="1" showInputMessage="1" showErrorMessage="1" sqref="C27:F27" xr:uid="{5787DAD2-7D64-43A9-BB03-F2AFA515AB0E}">
      <formula1>$O$218:$O$223</formula1>
    </dataValidation>
    <dataValidation type="list" allowBlank="1" showInputMessage="1" showErrorMessage="1" sqref="C32:F34" xr:uid="{A71255B6-5728-42B4-A2A2-2A88FA187DE6}">
      <formula1>$O$218:$O$230</formula1>
    </dataValidation>
    <dataValidation type="list" allowBlank="1" showInputMessage="1" showErrorMessage="1" sqref="C47:G47" xr:uid="{1C4770DD-65AA-4437-B24C-EB3CF8BAA7CA}">
      <formula1>$P$218:$P$286</formula1>
    </dataValidation>
    <dataValidation type="list" allowBlank="1" showInputMessage="1" showErrorMessage="1" sqref="C41:G41" xr:uid="{A15EC634-1299-48D2-BCEE-890E27CA7C66}">
      <formula1>$V$218:$V$286</formula1>
    </dataValidation>
    <dataValidation type="list" allowBlank="1" showInputMessage="1" showErrorMessage="1" sqref="C43:G43" xr:uid="{2301C72F-1594-439E-A96E-0F4F49DFCFD8}">
      <formula1>$U$218:$U$300</formula1>
    </dataValidation>
    <dataValidation type="list" allowBlank="1" showInputMessage="1" showErrorMessage="1" sqref="C44:G44" xr:uid="{3E333296-8C61-40D0-B233-9DFF95D4DF81}">
      <formula1>$T$218:$T$270</formula1>
    </dataValidation>
    <dataValidation type="list" allowBlank="1" showInputMessage="1" showErrorMessage="1" sqref="C48:G48" xr:uid="{7CEA4A76-69BA-40EE-99A7-F8B2B107462A}">
      <formula1>$Q$218:$Q$286</formula1>
    </dataValidation>
    <dataValidation type="list" allowBlank="1" showInputMessage="1" showErrorMessage="1" sqref="C49:G49" xr:uid="{B07A92AD-9B6F-445B-8E5E-EA18D00A430B}">
      <formula1>$R$218:$R$313</formula1>
    </dataValidation>
    <dataValidation type="list" allowBlank="1" showInputMessage="1" showErrorMessage="1" sqref="C46:G46" xr:uid="{D5C0B8BE-CA0C-48C7-B370-887906A7227A}">
      <formula1>$S$218:$S$337</formula1>
    </dataValidation>
    <dataValidation type="list" allowBlank="1" showInputMessage="1" showErrorMessage="1" sqref="C29:F29" xr:uid="{D36A0305-DCC9-41AA-9606-41458F289681}">
      <formula1>$O$218:$O$222</formula1>
    </dataValidation>
    <dataValidation type="list" allowBlank="1" showInputMessage="1" showErrorMessage="1" sqref="E10" xr:uid="{5CE90A3F-69EF-4D7F-B8F7-71958B689789}">
      <formula1>$O$231:$O$233</formula1>
    </dataValidation>
    <dataValidation type="list" allowBlank="1" showInputMessage="1" showErrorMessage="1" sqref="F10" xr:uid="{061B54C5-7028-49F2-AD0B-AC4BA7F3D640}">
      <formula1>$O$235:$O$237</formula1>
    </dataValidation>
    <dataValidation type="list" allowBlank="1" showInputMessage="1" showErrorMessage="1" sqref="C40:G40 C42:G42" xr:uid="{ADF7F403-DE4C-4594-A679-8B4BF027E074}">
      <formula1>$W$218:$W$354</formula1>
    </dataValidation>
    <dataValidation type="list" allowBlank="1" showInputMessage="1" showErrorMessage="1" sqref="C30:F31" xr:uid="{0CA5B6BE-699B-41B7-A1E8-28214D8903E8}">
      <formula1>$Y$217:$Y$289</formula1>
    </dataValidation>
    <dataValidation type="list" allowBlank="1" showInputMessage="1" showErrorMessage="1" sqref="C45:G45" xr:uid="{8874A36C-053E-4DBB-83F0-71BD66DC9D68}">
      <formula1>$X$218:$X$313</formula1>
    </dataValidation>
    <dataValidation type="list" allowBlank="1" showInputMessage="1" showErrorMessage="1" sqref="G17" xr:uid="{A4F94724-6011-457D-8CE4-9407F1C3B5DF}">
      <formula1>$Q$208:$Q$209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賀戸 紘灯</dc:creator>
  <cp:keywords/>
  <dc:description/>
  <cp:lastModifiedBy>賀戸 紘灯</cp:lastModifiedBy>
  <cp:revision/>
  <dcterms:created xsi:type="dcterms:W3CDTF">2023-10-27T13:07:03Z</dcterms:created>
  <dcterms:modified xsi:type="dcterms:W3CDTF">2024-11-12T02:47:19Z</dcterms:modified>
  <cp:category/>
  <cp:contentStatus/>
</cp:coreProperties>
</file>