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ET1.cec.eu.int\HOMES\048\sturcma\Desktop\"/>
    </mc:Choice>
  </mc:AlternateContent>
  <bookViews>
    <workbookView xWindow="0" yWindow="0" windowWidth="16200" windowHeight="25185"/>
  </bookViews>
  <sheets>
    <sheet name="COVER" sheetId="3" r:id="rId1"/>
    <sheet name="2019" sheetId="52" r:id="rId2"/>
    <sheet name="2018" sheetId="51" r:id="rId3"/>
    <sheet name="2017" sheetId="50" r:id="rId4"/>
    <sheet name="2016" sheetId="49" r:id="rId5"/>
    <sheet name="2015" sheetId="48" r:id="rId6"/>
    <sheet name="2014" sheetId="47" r:id="rId7"/>
    <sheet name="2013" sheetId="46" r:id="rId8"/>
    <sheet name="2012" sheetId="45" r:id="rId9"/>
    <sheet name="2011" sheetId="37" r:id="rId10"/>
    <sheet name="2010" sheetId="39" r:id="rId11"/>
    <sheet name="2009" sheetId="40" r:id="rId12"/>
    <sheet name="2008" sheetId="41" r:id="rId13"/>
    <sheet name="2007" sheetId="42" r:id="rId14"/>
    <sheet name="2006" sheetId="43" r:id="rId15"/>
    <sheet name="2005" sheetId="44" r:id="rId16"/>
  </sheets>
  <externalReferences>
    <externalReference r:id="rId17"/>
  </externalReferences>
  <definedNames>
    <definedName name="_xlnm.Print_Area" localSheetId="0">COVER!$A$1:$I$31</definedName>
    <definedName name="UnitFactor">[1]Cover!$Q$121</definedName>
  </definedNames>
  <calcPr calcId="162913"/>
</workbook>
</file>

<file path=xl/calcChain.xml><?xml version="1.0" encoding="utf-8"?>
<calcChain xmlns="http://schemas.openxmlformats.org/spreadsheetml/2006/main">
  <c r="C41" i="51" l="1"/>
  <c r="C40" i="51"/>
  <c r="C66" i="50" l="1"/>
  <c r="B66" i="50"/>
  <c r="C65" i="50"/>
  <c r="B65" i="50"/>
  <c r="C64" i="50"/>
  <c r="B64" i="50"/>
  <c r="C63" i="50"/>
  <c r="B63" i="50"/>
  <c r="C62" i="50"/>
  <c r="B62" i="50"/>
  <c r="C61" i="50"/>
  <c r="B61" i="50"/>
  <c r="C60" i="50"/>
  <c r="B60" i="50"/>
  <c r="C59" i="50"/>
  <c r="B59" i="50"/>
  <c r="C58" i="50"/>
  <c r="B58" i="50"/>
  <c r="C57" i="50"/>
  <c r="B57" i="50"/>
  <c r="C55" i="50"/>
  <c r="B55" i="50"/>
  <c r="C50" i="50"/>
  <c r="B50" i="50"/>
  <c r="C49" i="50"/>
  <c r="B49" i="50"/>
  <c r="C48" i="50"/>
  <c r="B48" i="50"/>
  <c r="C47" i="50"/>
  <c r="B47" i="50"/>
  <c r="C45" i="50"/>
  <c r="B45" i="50"/>
  <c r="C44" i="50"/>
  <c r="C43" i="50"/>
  <c r="B43" i="50"/>
  <c r="C42" i="50"/>
  <c r="B42" i="50"/>
  <c r="C41" i="50"/>
  <c r="B41" i="50"/>
  <c r="C40" i="50"/>
  <c r="B40" i="50"/>
  <c r="C39" i="50"/>
  <c r="C38" i="50" s="1"/>
  <c r="B39" i="50"/>
  <c r="B38" i="50" s="1"/>
  <c r="L32" i="50"/>
  <c r="K32" i="50"/>
  <c r="J32" i="50"/>
  <c r="I32" i="50"/>
  <c r="H32" i="50"/>
  <c r="G32" i="50"/>
  <c r="F32" i="50"/>
  <c r="C32" i="50"/>
  <c r="B32" i="50"/>
  <c r="E32" i="50" s="1"/>
  <c r="L31" i="50"/>
  <c r="I31" i="50"/>
  <c r="H31" i="50"/>
  <c r="E31" i="50"/>
  <c r="L30" i="50"/>
  <c r="I30" i="50"/>
  <c r="H30" i="50"/>
  <c r="E30" i="50"/>
  <c r="B30" i="50"/>
  <c r="H29" i="50"/>
  <c r="E29" i="50"/>
  <c r="L28" i="50"/>
  <c r="K28" i="50"/>
  <c r="J28" i="50"/>
  <c r="I28" i="50"/>
  <c r="H28" i="50"/>
  <c r="G28" i="50"/>
  <c r="F28" i="50"/>
  <c r="E28" i="50"/>
  <c r="C28" i="50"/>
  <c r="B28" i="50"/>
  <c r="J27" i="50"/>
  <c r="H27" i="50"/>
  <c r="E27" i="50"/>
  <c r="L26" i="50"/>
  <c r="I26" i="50"/>
  <c r="H26" i="50"/>
  <c r="E26" i="50"/>
  <c r="L25" i="50"/>
  <c r="I25" i="50"/>
  <c r="H25" i="50"/>
  <c r="E25" i="50"/>
  <c r="L24" i="50"/>
  <c r="K24" i="50"/>
  <c r="J24" i="50"/>
  <c r="I24" i="50"/>
  <c r="H24" i="50"/>
  <c r="G24" i="50"/>
  <c r="F24" i="50"/>
  <c r="E24" i="50"/>
  <c r="C24" i="50"/>
  <c r="B24" i="50"/>
  <c r="L23" i="50"/>
  <c r="K23" i="50"/>
  <c r="J23" i="50"/>
  <c r="I23" i="50"/>
  <c r="H23" i="50"/>
  <c r="G23" i="50"/>
  <c r="F23" i="50"/>
  <c r="C23" i="50"/>
  <c r="B23" i="50"/>
  <c r="E23" i="50" s="1"/>
  <c r="E22" i="50"/>
  <c r="E21" i="50"/>
  <c r="E20" i="50"/>
  <c r="E19" i="50"/>
  <c r="E18" i="50"/>
  <c r="L17" i="50"/>
  <c r="K17" i="50"/>
  <c r="J17" i="50"/>
  <c r="I17" i="50"/>
  <c r="H17" i="50"/>
  <c r="G17" i="50"/>
  <c r="F17" i="50"/>
  <c r="C17" i="50"/>
  <c r="B17" i="50"/>
  <c r="E17" i="50" s="1"/>
  <c r="L16" i="50"/>
  <c r="I16" i="50"/>
  <c r="H16" i="50"/>
  <c r="E16" i="50"/>
  <c r="C16" i="50"/>
  <c r="B16" i="50"/>
  <c r="L15" i="50"/>
  <c r="K15" i="50"/>
  <c r="J15" i="50"/>
  <c r="I15" i="50"/>
  <c r="H15" i="50"/>
  <c r="G15" i="50"/>
  <c r="F15" i="50"/>
  <c r="C15" i="50"/>
  <c r="B15" i="50"/>
  <c r="E15" i="50" s="1"/>
  <c r="L14" i="50"/>
  <c r="K14" i="50"/>
  <c r="J14" i="50"/>
  <c r="I14" i="50"/>
  <c r="H14" i="50"/>
  <c r="G14" i="50"/>
  <c r="F14" i="50"/>
  <c r="E14" i="50"/>
  <c r="C14" i="50"/>
  <c r="B14" i="50"/>
  <c r="L13" i="50"/>
  <c r="I13" i="50"/>
  <c r="H13" i="50"/>
  <c r="E13" i="50"/>
  <c r="E12" i="50"/>
  <c r="K11" i="50"/>
  <c r="J11" i="50"/>
  <c r="I11" i="50"/>
  <c r="H11" i="50"/>
  <c r="G11" i="50"/>
  <c r="F11" i="50"/>
  <c r="C11" i="50"/>
  <c r="B11" i="50"/>
  <c r="E11" i="50" s="1"/>
  <c r="K10" i="50"/>
  <c r="I10" i="50"/>
  <c r="F10" i="50"/>
  <c r="G10" i="50" s="1"/>
  <c r="E10" i="50"/>
  <c r="C10" i="50"/>
  <c r="L9" i="50"/>
  <c r="K9" i="50"/>
  <c r="J9" i="50"/>
  <c r="I9" i="50"/>
  <c r="H9" i="50"/>
  <c r="G9" i="50"/>
  <c r="F9" i="50"/>
  <c r="C9" i="50"/>
  <c r="B9" i="50"/>
  <c r="E9" i="50" s="1"/>
  <c r="L8" i="50"/>
  <c r="K8" i="50"/>
  <c r="J8" i="50"/>
  <c r="I8" i="50"/>
  <c r="I4" i="50" s="1"/>
  <c r="H8" i="50"/>
  <c r="G8" i="50"/>
  <c r="F8" i="50"/>
  <c r="E8" i="50"/>
  <c r="C8" i="50"/>
  <c r="B8" i="50"/>
  <c r="L7" i="50"/>
  <c r="K7" i="50"/>
  <c r="J7" i="50"/>
  <c r="I7" i="50"/>
  <c r="H7" i="50"/>
  <c r="G7" i="50"/>
  <c r="F7" i="50"/>
  <c r="C7" i="50"/>
  <c r="B7" i="50"/>
  <c r="E7" i="50" s="1"/>
  <c r="I6" i="50"/>
  <c r="H6" i="50"/>
  <c r="E6" i="50"/>
  <c r="L5" i="50"/>
  <c r="L4" i="50" s="1"/>
  <c r="K5" i="50"/>
  <c r="J5" i="50"/>
  <c r="I5" i="50"/>
  <c r="H5" i="50"/>
  <c r="H4" i="50" s="1"/>
  <c r="G5" i="50"/>
  <c r="F5" i="50"/>
  <c r="C5" i="50"/>
  <c r="B5" i="50"/>
  <c r="E5" i="50" s="1"/>
  <c r="J4" i="50"/>
  <c r="F4" i="50"/>
  <c r="D4" i="50"/>
  <c r="B4" i="50"/>
  <c r="E4" i="50" s="1"/>
  <c r="C4" i="50" l="1"/>
  <c r="K4" i="50"/>
  <c r="G4" i="50"/>
  <c r="G4" i="46"/>
  <c r="F4" i="46"/>
  <c r="B4" i="46"/>
  <c r="J4" i="47"/>
  <c r="G4" i="47"/>
  <c r="F4" i="47"/>
  <c r="B4" i="47"/>
  <c r="B49" i="48" l="1"/>
  <c r="J17" i="48"/>
  <c r="G17" i="48"/>
  <c r="F17" i="48"/>
  <c r="B17" i="48"/>
  <c r="B4" i="48" s="1"/>
  <c r="I9" i="48" l="1"/>
  <c r="H9" i="48"/>
  <c r="D9" i="48"/>
  <c r="C9" i="48"/>
  <c r="I6" i="48" l="1"/>
  <c r="H6" i="48"/>
  <c r="D6" i="48"/>
  <c r="C6" i="48"/>
  <c r="B36" i="48"/>
  <c r="J4" i="48"/>
  <c r="G4" i="48"/>
  <c r="F4" i="48"/>
  <c r="C38" i="37" l="1"/>
  <c r="J4" i="39" l="1"/>
  <c r="G4" i="39"/>
  <c r="B4" i="39"/>
  <c r="B38" i="40" l="1"/>
  <c r="B36" i="45" l="1"/>
  <c r="J4" i="45" l="1"/>
  <c r="G4" i="45"/>
  <c r="F4" i="45"/>
  <c r="B4" i="45"/>
</calcChain>
</file>

<file path=xl/sharedStrings.xml><?xml version="1.0" encoding="utf-8"?>
<sst xmlns="http://schemas.openxmlformats.org/spreadsheetml/2006/main" count="1371" uniqueCount="163">
  <si>
    <t>Last updated:</t>
  </si>
  <si>
    <t>: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</si>
  <si>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</si>
  <si>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</si>
  <si>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</si>
  <si>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</si>
  <si>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</si>
  <si>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</si>
  <si>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</si>
  <si>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</si>
  <si>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Greece</t>
  </si>
  <si>
    <t>Spain</t>
  </si>
  <si>
    <t>Finland</t>
  </si>
  <si>
    <t>France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</si>
  <si>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</si>
  <si>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</si>
  <si>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</si>
  <si>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</si>
  <si>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</si>
  <si>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</si>
  <si>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</si>
  <si>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</si>
  <si>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</si>
  <si>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Norway</t>
  </si>
  <si>
    <t>Poland</t>
  </si>
  <si>
    <t>Portugal</t>
  </si>
  <si>
    <t>Romania</t>
  </si>
  <si>
    <t>Sweden</t>
  </si>
  <si>
    <t>Slovenia</t>
  </si>
  <si>
    <t>United Kingdom</t>
  </si>
  <si>
    <t>Combined Heat and Power (CHP) data</t>
  </si>
  <si>
    <t>Notes:</t>
  </si>
  <si>
    <t>The fuel input is based on Net Calorific Values.</t>
  </si>
  <si>
    <t>Category "Other fuels" includes amongst others industrial wastes and coal gases.</t>
  </si>
  <si>
    <t>The fuel input refers to fuel used for CHP heat and electricity generation,</t>
  </si>
  <si>
    <t>i.e. the fuel for non-CHP electricity and heat is excluded.</t>
  </si>
  <si>
    <t xml:space="preserve">The Main activity producers generate electricity and heat for sale as their primary activity. </t>
  </si>
  <si>
    <t xml:space="preserve">Auto producers generate electricity and heat wholly or partially for their own use </t>
  </si>
  <si>
    <t>as an activity which supports their primary activity.</t>
  </si>
  <si>
    <t xml:space="preserve">The share of CHP electricity generation is calculated as the CHP electricity generation </t>
  </si>
  <si>
    <t>divided by the total gross electricity generation, including</t>
  </si>
  <si>
    <t>the generation in pumped storage power stations.</t>
  </si>
  <si>
    <t>CHP data 2011</t>
  </si>
  <si>
    <t>CHP electricity generation, TWh</t>
  </si>
  <si>
    <t>Main activity producers</t>
  </si>
  <si>
    <t>Auto-producers</t>
  </si>
  <si>
    <t>Share of CHP in total electricity generation</t>
  </si>
  <si>
    <t>CHP Electrical capacity, GW</t>
  </si>
  <si>
    <t>CHP Heat production, PJ</t>
  </si>
  <si>
    <t>CHP Heat capacity, GW</t>
  </si>
  <si>
    <t>European Union (EU-27)</t>
  </si>
  <si>
    <t>Estonia*</t>
  </si>
  <si>
    <t>France*</t>
  </si>
  <si>
    <t>Italy*</t>
  </si>
  <si>
    <t>-</t>
  </si>
  <si>
    <t>Slovakia</t>
  </si>
  <si>
    <t>Turkey</t>
  </si>
  <si>
    <t>Fuel used for CHP PJ</t>
  </si>
  <si>
    <t>Solid fossil fuels and peat</t>
  </si>
  <si>
    <t>Oil and oil products</t>
  </si>
  <si>
    <t>Natural gas</t>
  </si>
  <si>
    <t>Renewables</t>
  </si>
  <si>
    <t>Other fuels</t>
  </si>
  <si>
    <t>Czech</t>
  </si>
  <si>
    <t>*2010 data</t>
  </si>
  <si>
    <t>CHP data 2010</t>
  </si>
  <si>
    <t>CHP data 2009</t>
  </si>
  <si>
    <t>Belgiuma</t>
  </si>
  <si>
    <t>CHP data 2007</t>
  </si>
  <si>
    <t>CHP data 2008</t>
  </si>
  <si>
    <t>CHP data 2006</t>
  </si>
  <si>
    <t>CHP data 2005</t>
  </si>
  <si>
    <t>Iceland</t>
  </si>
  <si>
    <t>CHP data 2012</t>
  </si>
  <si>
    <t>European Union (EU-28)</t>
  </si>
  <si>
    <t>CHP data 2013</t>
  </si>
  <si>
    <t>CHP data 2014</t>
  </si>
  <si>
    <t>non-CHP component' (= lower part of table 1). Therefore the comapability between the years 2013 and older with 2014 is restricted</t>
  </si>
  <si>
    <t>HR</t>
  </si>
  <si>
    <t>CHP data 2015</t>
  </si>
  <si>
    <t>This data collection is based on Directive 2012/27/EU and the implementation guidelines.</t>
  </si>
  <si>
    <r>
      <t xml:space="preserve">For any questions or comments with respect to data in this file,
please contact </t>
    </r>
    <r>
      <rPr>
        <b/>
        <sz val="9"/>
        <color theme="1"/>
        <rFont val="Arial"/>
        <family val="2"/>
      </rPr>
      <t>ESTAT-ENERGY@EC.EUROPA.EU</t>
    </r>
  </si>
  <si>
    <r>
      <t>European Union (EU-28)</t>
    </r>
    <r>
      <rPr>
        <b/>
        <vertAlign val="superscript"/>
        <sz val="9"/>
        <rFont val="Arial"/>
        <family val="2"/>
      </rPr>
      <t>3</t>
    </r>
  </si>
  <si>
    <r>
      <t>Germany</t>
    </r>
    <r>
      <rPr>
        <b/>
        <vertAlign val="superscript"/>
        <sz val="9"/>
        <rFont val="Arial"/>
        <family val="2"/>
      </rPr>
      <t>1</t>
    </r>
  </si>
  <si>
    <r>
      <t>Slovakia</t>
    </r>
    <r>
      <rPr>
        <b/>
        <vertAlign val="superscript"/>
        <sz val="9"/>
        <rFont val="Arial"/>
        <family val="2"/>
      </rPr>
      <t>3</t>
    </r>
  </si>
  <si>
    <r>
      <t>Sweden</t>
    </r>
    <r>
      <rPr>
        <b/>
        <vertAlign val="superscript"/>
        <sz val="9"/>
        <rFont val="Arial"/>
        <family val="2"/>
      </rPr>
      <t>2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</si>
  <si>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Germany reported until 2013 only 'completely CHP units' (= upper part of table 1) and since 2014 also 'units with a </t>
    </r>
  </si>
  <si>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These Member States don't report heat produced by auto-producers and consumed by themselves (= unsold heat).</t>
    </r>
  </si>
  <si>
    <r>
      <rPr>
        <vertAlign val="superscript"/>
        <sz val="9"/>
        <color theme="1"/>
        <rFont val="Arial"/>
        <family val="2"/>
      </rPr>
      <t>3</t>
    </r>
    <r>
      <rPr>
        <sz val="9"/>
        <color theme="1"/>
        <rFont val="Arial"/>
        <family val="2"/>
      </rPr>
      <t xml:space="preserve"> Data for Slovakia are still under revision and therefore preliminary. Changes affect of course the EU aggregate.</t>
    </r>
  </si>
  <si>
    <r>
      <t>Germany</t>
    </r>
    <r>
      <rPr>
        <b/>
        <vertAlign val="superscript"/>
        <sz val="9"/>
        <rFont val="Arial"/>
        <family val="2"/>
      </rPr>
      <t>1, 2</t>
    </r>
  </si>
  <si>
    <r>
      <t>Greece</t>
    </r>
    <r>
      <rPr>
        <b/>
        <vertAlign val="superscript"/>
        <sz val="9"/>
        <rFont val="Arial"/>
        <family val="2"/>
      </rPr>
      <t>2</t>
    </r>
  </si>
  <si>
    <r>
      <rPr>
        <vertAlign val="superscript"/>
        <sz val="9"/>
        <color theme="1"/>
        <rFont val="Arial"/>
        <family val="2"/>
      </rPr>
      <t>3</t>
    </r>
    <r>
      <rPr>
        <sz val="9"/>
        <color theme="1"/>
        <rFont val="Arial"/>
        <family val="2"/>
      </rPr>
      <t xml:space="preserve"> Data for Slovakia are still under revision and therefore not presented. This affects of course the EU aggregate.</t>
    </r>
  </si>
  <si>
    <r>
      <t>Belgium</t>
    </r>
    <r>
      <rPr>
        <b/>
        <vertAlign val="superscript"/>
        <sz val="9"/>
        <rFont val="Arial"/>
        <family val="2"/>
      </rPr>
      <t>a</t>
    </r>
  </si>
  <si>
    <r>
      <t>Estonia</t>
    </r>
    <r>
      <rPr>
        <b/>
        <vertAlign val="superscript"/>
        <sz val="9"/>
        <rFont val="Arial"/>
        <family val="2"/>
      </rPr>
      <t>b</t>
    </r>
  </si>
  <si>
    <r>
      <t>Ireland</t>
    </r>
    <r>
      <rPr>
        <b/>
        <vertAlign val="superscript"/>
        <sz val="9"/>
        <rFont val="Arial"/>
        <family val="2"/>
      </rPr>
      <t>c</t>
    </r>
  </si>
  <si>
    <r>
      <t>Luxembourg</t>
    </r>
    <r>
      <rPr>
        <b/>
        <vertAlign val="superscript"/>
        <sz val="9"/>
        <rFont val="Arial"/>
        <family val="2"/>
      </rPr>
      <t>d</t>
    </r>
  </si>
  <si>
    <r>
      <t>Romania</t>
    </r>
    <r>
      <rPr>
        <b/>
        <vertAlign val="superscript"/>
        <sz val="9"/>
        <rFont val="Arial"/>
        <family val="2"/>
      </rPr>
      <t>b</t>
    </r>
  </si>
  <si>
    <r>
      <t>Turkey</t>
    </r>
    <r>
      <rPr>
        <b/>
        <vertAlign val="superscript"/>
        <sz val="9"/>
        <rFont val="Arial"/>
        <family val="2"/>
      </rPr>
      <t>b</t>
    </r>
  </si>
  <si>
    <r>
      <t>a</t>
    </r>
    <r>
      <rPr>
        <sz val="9"/>
        <rFont val="Arial"/>
        <family val="2"/>
      </rPr>
      <t xml:space="preserve"> - 2007 figures</t>
    </r>
  </si>
  <si>
    <r>
      <t>b</t>
    </r>
    <r>
      <rPr>
        <sz val="9"/>
        <rFont val="Arial"/>
        <family val="2"/>
      </rPr>
      <t xml:space="preserve"> - CHP electrical capacity reported equal to gross capacity</t>
    </r>
  </si>
  <si>
    <r>
      <t>c</t>
    </r>
    <r>
      <rPr>
        <sz val="9"/>
        <rFont val="Arial"/>
        <family val="2"/>
      </rPr>
      <t xml:space="preserve"> - CHP electrical capacity and electricity generation reported equal to gross capacity and generation</t>
    </r>
  </si>
  <si>
    <r>
      <t>d</t>
    </r>
    <r>
      <rPr>
        <sz val="9"/>
        <rFont val="Arial"/>
        <family val="2"/>
      </rPr>
      <t xml:space="preserve"> - no capacities reported</t>
    </r>
  </si>
  <si>
    <r>
      <t>Estonia</t>
    </r>
    <r>
      <rPr>
        <b/>
        <vertAlign val="superscript"/>
        <sz val="9"/>
        <rFont val="Arial"/>
        <family val="2"/>
      </rPr>
      <t>c</t>
    </r>
  </si>
  <si>
    <r>
      <t>Luxembourg</t>
    </r>
    <r>
      <rPr>
        <b/>
        <vertAlign val="superscript"/>
        <sz val="9"/>
        <rFont val="Arial"/>
        <family val="2"/>
      </rPr>
      <t>c</t>
    </r>
  </si>
  <si>
    <r>
      <t>Turkey</t>
    </r>
    <r>
      <rPr>
        <b/>
        <vertAlign val="superscript"/>
        <sz val="9"/>
        <rFont val="Arial"/>
        <family val="2"/>
      </rPr>
      <t>a</t>
    </r>
  </si>
  <si>
    <r>
      <t>Spain</t>
    </r>
    <r>
      <rPr>
        <b/>
        <vertAlign val="superscript"/>
        <sz val="9"/>
        <rFont val="Arial"/>
        <family val="2"/>
      </rPr>
      <t>d</t>
    </r>
  </si>
  <si>
    <r>
      <t>a</t>
    </r>
    <r>
      <rPr>
        <sz val="9"/>
        <rFont val="Arial"/>
        <family val="2"/>
      </rPr>
      <t xml:space="preserve"> - Only gross electrical capacity reported</t>
    </r>
  </si>
  <si>
    <r>
      <t>Czech Republic</t>
    </r>
    <r>
      <rPr>
        <b/>
        <vertAlign val="superscript"/>
        <sz val="9"/>
        <rFont val="Arial"/>
        <family val="2"/>
      </rPr>
      <t>b</t>
    </r>
  </si>
  <si>
    <r>
      <t>Germany</t>
    </r>
    <r>
      <rPr>
        <b/>
        <vertAlign val="superscript"/>
        <sz val="9"/>
        <rFont val="Arial"/>
        <family val="2"/>
      </rPr>
      <t>a</t>
    </r>
  </si>
  <si>
    <r>
      <t>Latvia</t>
    </r>
    <r>
      <rPr>
        <b/>
        <vertAlign val="superscript"/>
        <sz val="9"/>
        <rFont val="Arial"/>
        <family val="2"/>
      </rPr>
      <t>b</t>
    </r>
  </si>
  <si>
    <r>
      <t>Iceland</t>
    </r>
    <r>
      <rPr>
        <b/>
        <vertAlign val="superscript"/>
        <sz val="9"/>
        <rFont val="Arial"/>
        <family val="2"/>
      </rPr>
      <t>c</t>
    </r>
  </si>
  <si>
    <t>CHP data 2016</t>
  </si>
  <si>
    <t>Share of CHP in total gross electricity generation</t>
  </si>
  <si>
    <t>total CHP Electrical capacity, GW</t>
  </si>
  <si>
    <t>total CHP Heat production, PJ</t>
  </si>
  <si>
    <t>total CHP Heat capacity, GW</t>
  </si>
  <si>
    <t>Primary energy savings (PJ)</t>
  </si>
  <si>
    <t>of which for units with PES  ≥ 10%</t>
  </si>
  <si>
    <t>North Macedonia</t>
  </si>
  <si>
    <r>
      <t>Estonia</t>
    </r>
    <r>
      <rPr>
        <b/>
        <vertAlign val="superscript"/>
        <sz val="9"/>
        <rFont val="Arial"/>
        <family val="2"/>
      </rPr>
      <t>2</t>
    </r>
  </si>
  <si>
    <r>
      <t>Hungary</t>
    </r>
    <r>
      <rPr>
        <b/>
        <vertAlign val="superscript"/>
        <sz val="9"/>
        <rFont val="Arial"/>
        <family val="2"/>
      </rPr>
      <t>3</t>
    </r>
  </si>
  <si>
    <r>
      <t>Norway</t>
    </r>
    <r>
      <rPr>
        <b/>
        <vertAlign val="superscript"/>
        <sz val="9"/>
        <rFont val="Arial"/>
        <family val="2"/>
      </rPr>
      <t>2</t>
    </r>
  </si>
  <si>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>data from annual electricity and heat questionnaire</t>
    </r>
  </si>
  <si>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open validation issues</t>
    </r>
  </si>
  <si>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contains negative PES figures</t>
    </r>
  </si>
  <si>
    <r>
      <t>gross electricity generation  TWh</t>
    </r>
    <r>
      <rPr>
        <b/>
        <vertAlign val="superscript"/>
        <sz val="9"/>
        <rFont val="Arial"/>
        <family val="2"/>
      </rPr>
      <t>1</t>
    </r>
  </si>
  <si>
    <t>of which from units with PES  
≥ 10%</t>
  </si>
  <si>
    <t>CHP data 2017</t>
  </si>
  <si>
    <t>of which from units with PES  ≥ 10%</t>
  </si>
  <si>
    <t>gross electricity generation TWh²</t>
  </si>
  <si>
    <r>
      <t>European Union (EU-28)</t>
    </r>
    <r>
      <rPr>
        <b/>
        <vertAlign val="superscript"/>
        <sz val="9"/>
        <rFont val="Arial"/>
        <family val="2"/>
      </rPr>
      <t>1</t>
    </r>
  </si>
  <si>
    <r>
      <t>Belgium</t>
    </r>
    <r>
      <rPr>
        <b/>
        <vertAlign val="superscript"/>
        <sz val="9"/>
        <rFont val="Arial"/>
        <family val="2"/>
      </rPr>
      <t>1</t>
    </r>
  </si>
  <si>
    <t>Czechia</t>
  </si>
  <si>
    <r>
      <t>Ireland</t>
    </r>
    <r>
      <rPr>
        <b/>
        <vertAlign val="superscript"/>
        <sz val="9"/>
        <rFont val="Arial"/>
        <family val="2"/>
      </rPr>
      <t>1</t>
    </r>
  </si>
  <si>
    <r>
      <t>Hungary</t>
    </r>
    <r>
      <rPr>
        <b/>
        <vertAlign val="superscript"/>
        <sz val="9"/>
        <rFont val="Arial"/>
        <family val="2"/>
      </rPr>
      <t>1</t>
    </r>
  </si>
  <si>
    <r>
      <t>Portugal</t>
    </r>
    <r>
      <rPr>
        <b/>
        <vertAlign val="superscript"/>
        <sz val="9"/>
        <rFont val="Arial"/>
        <family val="2"/>
      </rPr>
      <t>1</t>
    </r>
  </si>
  <si>
    <r>
      <t>Slovenia</t>
    </r>
    <r>
      <rPr>
        <b/>
        <vertAlign val="superscript"/>
        <sz val="9"/>
        <rFont val="Arial"/>
        <family val="2"/>
      </rPr>
      <t>1</t>
    </r>
  </si>
  <si>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>contains negative PES figures</t>
    </r>
  </si>
  <si>
    <r>
      <rPr>
        <b/>
        <vertAlign val="superscript"/>
        <sz val="9"/>
        <color indexed="8"/>
        <rFont val="Arial"/>
        <family val="2"/>
      </rPr>
      <t>2</t>
    </r>
    <r>
      <rPr>
        <b/>
        <sz val="9"/>
        <color indexed="8"/>
        <rFont val="Arial"/>
        <family val="2"/>
      </rPr>
      <t>obtained from Annual electricity and heat questionnaire 2017</t>
    </r>
  </si>
  <si>
    <t>CHP data 2018</t>
  </si>
  <si>
    <t>3 contains negative PES figures</t>
  </si>
  <si>
    <t>2 open validation issues</t>
  </si>
  <si>
    <r>
      <t>gross electricity generation TWh</t>
    </r>
    <r>
      <rPr>
        <b/>
        <vertAlign val="superscript"/>
        <sz val="9"/>
        <rFont val="Arial"/>
        <family val="2"/>
      </rPr>
      <t>1</t>
    </r>
  </si>
  <si>
    <r>
      <t>1</t>
    </r>
    <r>
      <rPr>
        <b/>
        <vertAlign val="superscript"/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obtained from annual electricity and heat questionnaire 2018</t>
    </r>
  </si>
  <si>
    <r>
      <t>Belgium</t>
    </r>
    <r>
      <rPr>
        <b/>
        <vertAlign val="superscript"/>
        <sz val="9"/>
        <rFont val="Arial"/>
        <family val="2"/>
      </rPr>
      <t>3</t>
    </r>
  </si>
  <si>
    <r>
      <t>Ireland</t>
    </r>
    <r>
      <rPr>
        <b/>
        <vertAlign val="superscript"/>
        <sz val="9"/>
        <rFont val="Arial"/>
        <family val="2"/>
      </rPr>
      <t>3</t>
    </r>
  </si>
  <si>
    <r>
      <t>Portugal</t>
    </r>
    <r>
      <rPr>
        <b/>
        <vertAlign val="superscript"/>
        <sz val="9"/>
        <rFont val="Arial"/>
        <family val="2"/>
      </rPr>
      <t>3</t>
    </r>
  </si>
  <si>
    <r>
      <t>Slovenia</t>
    </r>
    <r>
      <rPr>
        <b/>
        <vertAlign val="superscript"/>
        <sz val="9"/>
        <rFont val="Arial"/>
        <family val="2"/>
      </rPr>
      <t>3</t>
    </r>
  </si>
  <si>
    <r>
      <t>European Union - 27 countries (from 2020)</t>
    </r>
    <r>
      <rPr>
        <b/>
        <vertAlign val="superscript"/>
        <sz val="9"/>
        <rFont val="Arial"/>
        <family val="2"/>
      </rPr>
      <t>3</t>
    </r>
  </si>
  <si>
    <r>
      <t>European Union - 28 countries (2013-2020)</t>
    </r>
    <r>
      <rPr>
        <b/>
        <vertAlign val="superscript"/>
        <sz val="9"/>
        <rFont val="Arial"/>
        <family val="2"/>
      </rPr>
      <t>3</t>
    </r>
  </si>
  <si>
    <t>CHP data 2019</t>
  </si>
  <si>
    <r>
      <t>Belgium</t>
    </r>
    <r>
      <rPr>
        <b/>
        <vertAlign val="superscript"/>
        <sz val="9"/>
        <rFont val="Arial"/>
        <family val="2"/>
      </rPr>
      <t>2</t>
    </r>
  </si>
  <si>
    <r>
      <t>Ireland</t>
    </r>
    <r>
      <rPr>
        <b/>
        <vertAlign val="superscript"/>
        <sz val="9"/>
        <rFont val="Arial"/>
        <family val="2"/>
      </rPr>
      <t>2</t>
    </r>
  </si>
  <si>
    <r>
      <t>Latvia</t>
    </r>
    <r>
      <rPr>
        <b/>
        <vertAlign val="superscript"/>
        <sz val="9"/>
        <rFont val="Arial"/>
        <family val="2"/>
      </rPr>
      <t>2</t>
    </r>
  </si>
  <si>
    <r>
      <t>Hungary</t>
    </r>
    <r>
      <rPr>
        <b/>
        <vertAlign val="superscript"/>
        <sz val="9"/>
        <rFont val="Arial"/>
        <family val="2"/>
      </rPr>
      <t>2</t>
    </r>
  </si>
  <si>
    <r>
      <t>European Union - 27 countries (from 2020)</t>
    </r>
    <r>
      <rPr>
        <b/>
        <vertAlign val="superscript"/>
        <sz val="9"/>
        <rFont val="Arial"/>
        <family val="2"/>
      </rPr>
      <t>2</t>
    </r>
  </si>
  <si>
    <r>
      <t>Netherlands</t>
    </r>
    <r>
      <rPr>
        <b/>
        <vertAlign val="superscript"/>
        <sz val="9"/>
        <rFont val="Arial"/>
        <family val="2"/>
      </rPr>
      <t>2</t>
    </r>
  </si>
  <si>
    <r>
      <t>Portugal</t>
    </r>
    <r>
      <rPr>
        <b/>
        <vertAlign val="superscript"/>
        <sz val="9"/>
        <rFont val="Arial"/>
        <family val="2"/>
      </rPr>
      <t>2</t>
    </r>
  </si>
  <si>
    <r>
      <t>Slovenia</t>
    </r>
    <r>
      <rPr>
        <b/>
        <vertAlign val="superscript"/>
        <sz val="9"/>
        <rFont val="Arial"/>
        <family val="2"/>
      </rPr>
      <t>2</t>
    </r>
  </si>
  <si>
    <r>
      <t>Finland</t>
    </r>
    <r>
      <rPr>
        <b/>
        <vertAlign val="superscript"/>
        <sz val="9"/>
        <rFont val="Arial"/>
        <family val="2"/>
      </rPr>
      <t>2</t>
    </r>
  </si>
  <si>
    <t>2 contains negative PES figures</t>
  </si>
  <si>
    <r>
      <t>1</t>
    </r>
    <r>
      <rPr>
        <b/>
        <vertAlign val="superscript"/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obtained from annual electricity and heat questionnaire 2019 (Eurobase: nrg_cb_e)</t>
    </r>
  </si>
  <si>
    <t>28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</si>
</sst>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_€_-;\-* #,##0.00\ _€_-;_-* &quot;-&quot;??\ _€_-;_-@_-"/>
    <numFmt numFmtId="165" formatCode="0.0%"/>
    <numFmt numFmtId="166" formatCode="#,##0.0_i"/>
    <numFmt numFmtId="167" formatCode="0.0"/>
    <numFmt numFmtId="168" formatCode="0.00000"/>
    <numFmt numFmtId="169" formatCode="0.0000"/>
    <numFmt numFmtId="170" formatCode="0.000"/>
    <numFmt numFmtId="171" formatCode="_-* #,##0.0\ _€_-;\-* #,##0.0\ _€_-;_-* &quot;-&quot;??\ _€_-;_-@_-"/>
    <numFmt numFmtId="172" formatCode="#,##0.0"/>
  </numFmts>
  <fonts count="17" x14ac:knownFonts="1"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vertAlign val="superscript"/>
      <sz val="9"/>
      <color theme="1"/>
      <name val="Arial"/>
      <family val="2"/>
    </font>
    <font>
      <b/>
      <sz val="12"/>
      <color theme="1"/>
      <name val="Arial"/>
      <family val="2"/>
    </font>
    <font>
      <sz val="10"/>
      <color theme="0" tint="-0.34998626667073579"/>
      <name val="Arial"/>
      <family val="2"/>
    </font>
    <font>
      <b/>
      <vertAlign val="superscript"/>
      <sz val="9"/>
      <color indexed="8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4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 style="thin">
        <color indexed="64"/>
      </left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/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hair">
        <color rgb="FFC0C0C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hair">
        <color rgb="FFA6A6A6"/>
      </left>
      <right style="hair">
        <color rgb="FFA6A6A6"/>
      </right>
      <top/>
      <bottom style="thin">
        <color rgb="FF000000"/>
      </bottom>
      <diagonal/>
    </border>
    <border>
      <left/>
      <right style="hair">
        <color rgb="FFA6A6A6"/>
      </right>
      <top/>
      <bottom style="thin">
        <color rgb="FF000000"/>
      </bottom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 style="hair">
        <color rgb="FFA6A6A6"/>
      </right>
      <top/>
      <bottom/>
      <diagonal/>
    </border>
    <border>
      <left/>
      <right style="hair">
        <color rgb="FFA6A6A6"/>
      </right>
      <top/>
      <bottom/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rgb="FFA6A6A6"/>
      </left>
      <right style="hair">
        <color rgb="FFA6A6A6"/>
      </right>
      <top/>
      <bottom style="hair">
        <color rgb="FFC0C0C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hair">
        <color rgb="FFC0C0C0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/>
      <bottom style="hair">
        <color rgb="FFC0C0C0"/>
      </bottom>
      <diagonal/>
    </border>
  </borders>
  <cellStyleXfs count="11">
    <xf numFmtId="0" fontId="0" fillId="0" borderId="0"/>
    <xf numFmtId="0" fontId="1" fillId="3" borderId="0" applyNumberFormat="0" applyFont="0" applyBorder="0" applyAlignment="0"/>
    <xf numFmtId="0" fontId="2" fillId="0" borderId="0"/>
    <xf numFmtId="9" fontId="1" fillId="0" borderId="0" applyFont="0" applyFill="0" applyBorder="0" applyAlignment="0" applyProtection="0"/>
    <xf numFmtId="166" fontId="3" fillId="0" borderId="0" applyFill="0" applyBorder="0" applyProtection="0">
      <alignment horizontal="right"/>
    </xf>
    <xf numFmtId="0" fontId="1" fillId="0" borderId="0"/>
    <xf numFmtId="0" fontId="1" fillId="0" borderId="0"/>
    <xf numFmtId="0" fontId="4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77">
    <xf numFmtId="0" fontId="0" fillId="0" borderId="0" xfId="0"/>
    <xf numFmtId="0" fontId="6" fillId="4" borderId="0" xfId="1" applyFont="1" applyFill="1" applyBorder="1" applyAlignment="1" applyProtection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7" fillId="4" borderId="0" xfId="1" applyFont="1" applyFill="1" applyBorder="1" applyAlignment="1">
      <alignment horizontal="centerContinuous" vertical="center"/>
    </xf>
    <xf numFmtId="0" fontId="6" fillId="4" borderId="0" xfId="1" applyFont="1" applyFill="1" applyBorder="1" applyAlignment="1">
      <alignment horizontal="centerContinuous" vertical="center"/>
    </xf>
    <xf numFmtId="0" fontId="7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49" fontId="6" fillId="4" borderId="0" xfId="0" applyNumberFormat="1" applyFont="1" applyFill="1" applyBorder="1" applyAlignment="1">
      <alignment vertical="center"/>
    </xf>
    <xf numFmtId="49" fontId="6" fillId="4" borderId="0" xfId="0" applyNumberFormat="1" applyFont="1" applyFill="1" applyBorder="1" applyAlignment="1">
      <alignment horizontal="right" vertical="center"/>
    </xf>
    <xf numFmtId="165" fontId="8" fillId="5" borderId="1" xfId="9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165" fontId="8" fillId="4" borderId="0" xfId="9" applyNumberFormat="1" applyFont="1" applyFill="1" applyBorder="1" applyAlignment="1">
      <alignment horizontal="center" vertical="center" wrapText="1"/>
    </xf>
    <xf numFmtId="171" fontId="8" fillId="4" borderId="0" xfId="8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/>
    </xf>
    <xf numFmtId="0" fontId="10" fillId="4" borderId="0" xfId="0" applyFont="1" applyFill="1" applyBorder="1"/>
    <xf numFmtId="165" fontId="8" fillId="4" borderId="0" xfId="9" applyNumberFormat="1" applyFont="1" applyFill="1" applyBorder="1" applyAlignment="1">
      <alignment horizontal="right" vertical="center" wrapText="1"/>
    </xf>
    <xf numFmtId="171" fontId="8" fillId="4" borderId="0" xfId="8" applyNumberFormat="1" applyFont="1" applyFill="1" applyBorder="1" applyAlignment="1">
      <alignment horizontal="right" vertical="center" wrapText="1"/>
    </xf>
    <xf numFmtId="165" fontId="8" fillId="4" borderId="0" xfId="0" applyNumberFormat="1" applyFont="1" applyFill="1" applyBorder="1" applyAlignment="1">
      <alignment horizontal="right" vertical="center" wrapText="1"/>
    </xf>
    <xf numFmtId="0" fontId="8" fillId="4" borderId="0" xfId="0" applyFont="1" applyFill="1" applyBorder="1" applyAlignment="1">
      <alignment horizontal="left"/>
    </xf>
    <xf numFmtId="171" fontId="10" fillId="4" borderId="0" xfId="8" applyNumberFormat="1" applyFont="1" applyFill="1" applyBorder="1" applyAlignment="1">
      <alignment horizontal="right"/>
    </xf>
    <xf numFmtId="165" fontId="10" fillId="4" borderId="0" xfId="9" applyNumberFormat="1" applyFont="1" applyFill="1" applyBorder="1" applyAlignment="1">
      <alignment horizontal="right"/>
    </xf>
    <xf numFmtId="2" fontId="10" fillId="4" borderId="0" xfId="0" applyNumberFormat="1" applyFont="1" applyFill="1" applyBorder="1" applyAlignment="1">
      <alignment horizontal="right"/>
    </xf>
    <xf numFmtId="167" fontId="10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left"/>
    </xf>
    <xf numFmtId="165" fontId="10" fillId="4" borderId="0" xfId="0" applyNumberFormat="1" applyFont="1" applyFill="1" applyBorder="1" applyAlignment="1">
      <alignment horizontal="right"/>
    </xf>
    <xf numFmtId="0" fontId="8" fillId="4" borderId="10" xfId="0" applyFont="1" applyFill="1" applyBorder="1" applyAlignment="1">
      <alignment horizontal="left"/>
    </xf>
    <xf numFmtId="165" fontId="6" fillId="4" borderId="3" xfId="9" applyNumberFormat="1" applyFont="1" applyFill="1" applyBorder="1"/>
    <xf numFmtId="165" fontId="6" fillId="4" borderId="4" xfId="9" applyNumberFormat="1" applyFont="1" applyFill="1" applyBorder="1"/>
    <xf numFmtId="171" fontId="6" fillId="4" borderId="0" xfId="8" applyNumberFormat="1" applyFont="1" applyFill="1" applyBorder="1"/>
    <xf numFmtId="165" fontId="6" fillId="4" borderId="0" xfId="9" applyNumberFormat="1" applyFont="1" applyFill="1" applyBorder="1"/>
    <xf numFmtId="164" fontId="6" fillId="4" borderId="0" xfId="8" applyNumberFormat="1" applyFont="1" applyFill="1" applyBorder="1"/>
    <xf numFmtId="0" fontId="6" fillId="4" borderId="0" xfId="0" applyFont="1" applyFill="1" applyBorder="1"/>
    <xf numFmtId="0" fontId="11" fillId="4" borderId="0" xfId="0" applyFont="1" applyFill="1" applyBorder="1"/>
    <xf numFmtId="167" fontId="6" fillId="4" borderId="0" xfId="0" applyNumberFormat="1" applyFont="1" applyFill="1" applyBorder="1"/>
    <xf numFmtId="168" fontId="6" fillId="4" borderId="0" xfId="0" applyNumberFormat="1" applyFont="1" applyFill="1" applyBorder="1"/>
    <xf numFmtId="165" fontId="6" fillId="4" borderId="0" xfId="0" applyNumberFormat="1" applyFont="1" applyFill="1" applyBorder="1"/>
    <xf numFmtId="9" fontId="6" fillId="4" borderId="0" xfId="0" applyNumberFormat="1" applyFont="1" applyFill="1" applyBorder="1"/>
    <xf numFmtId="165" fontId="6" fillId="4" borderId="0" xfId="9" applyNumberFormat="1" applyFont="1" applyFill="1" applyBorder="1" applyAlignment="1">
      <alignment horizontal="right"/>
    </xf>
    <xf numFmtId="171" fontId="6" fillId="4" borderId="0" xfId="8" applyNumberFormat="1" applyFont="1" applyFill="1" applyBorder="1" applyAlignment="1">
      <alignment horizontal="right"/>
    </xf>
    <xf numFmtId="0" fontId="6" fillId="4" borderId="0" xfId="0" applyFont="1" applyFill="1" applyBorder="1" applyAlignment="1">
      <alignment horizontal="right"/>
    </xf>
    <xf numFmtId="2" fontId="6" fillId="4" borderId="0" xfId="0" applyNumberFormat="1" applyFont="1" applyFill="1" applyBorder="1"/>
    <xf numFmtId="4" fontId="6" fillId="4" borderId="0" xfId="0" applyNumberFormat="1" applyFont="1" applyFill="1" applyBorder="1"/>
    <xf numFmtId="169" fontId="6" fillId="4" borderId="0" xfId="0" applyNumberFormat="1" applyFont="1" applyFill="1" applyBorder="1"/>
    <xf numFmtId="170" fontId="6" fillId="4" borderId="0" xfId="0" applyNumberFormat="1" applyFont="1" applyFill="1" applyBorder="1"/>
    <xf numFmtId="3" fontId="6" fillId="4" borderId="0" xfId="0" applyNumberFormat="1" applyFont="1" applyFill="1" applyBorder="1"/>
    <xf numFmtId="0" fontId="13" fillId="4" borderId="0" xfId="0" applyFont="1" applyFill="1" applyBorder="1" applyAlignment="1">
      <alignment horizontal="left"/>
    </xf>
    <xf numFmtId="0" fontId="0" fillId="4" borderId="0" xfId="0" applyFill="1" applyBorder="1"/>
    <xf numFmtId="0" fontId="8" fillId="5" borderId="1" xfId="0" applyFont="1" applyFill="1" applyBorder="1" applyAlignment="1">
      <alignment horizontal="center" vertical="center"/>
    </xf>
    <xf numFmtId="164" fontId="8" fillId="5" borderId="1" xfId="8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165" fontId="8" fillId="5" borderId="2" xfId="9" applyNumberFormat="1" applyFont="1" applyFill="1" applyBorder="1" applyAlignment="1">
      <alignment horizontal="center" vertical="center" wrapText="1"/>
    </xf>
    <xf numFmtId="164" fontId="8" fillId="5" borderId="2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/>
    </xf>
    <xf numFmtId="165" fontId="6" fillId="2" borderId="1" xfId="9" applyNumberFormat="1" applyFont="1" applyFill="1" applyBorder="1"/>
    <xf numFmtId="0" fontId="8" fillId="4" borderId="12" xfId="0" applyFont="1" applyFill="1" applyBorder="1" applyAlignment="1">
      <alignment horizontal="left"/>
    </xf>
    <xf numFmtId="165" fontId="6" fillId="4" borderId="12" xfId="9" applyNumberFormat="1" applyFont="1" applyFill="1" applyBorder="1"/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165" fontId="6" fillId="4" borderId="10" xfId="9" applyNumberFormat="1" applyFont="1" applyFill="1" applyBorder="1"/>
    <xf numFmtId="165" fontId="8" fillId="5" borderId="14" xfId="9" applyNumberFormat="1" applyFont="1" applyFill="1" applyBorder="1" applyAlignment="1">
      <alignment horizontal="center" vertical="center" wrapText="1"/>
    </xf>
    <xf numFmtId="165" fontId="6" fillId="2" borderId="14" xfId="9" applyNumberFormat="1" applyFont="1" applyFill="1" applyBorder="1"/>
    <xf numFmtId="165" fontId="6" fillId="4" borderId="15" xfId="9" applyNumberFormat="1" applyFont="1" applyFill="1" applyBorder="1"/>
    <xf numFmtId="165" fontId="6" fillId="4" borderId="16" xfId="9" applyNumberFormat="1" applyFont="1" applyFill="1" applyBorder="1"/>
    <xf numFmtId="165" fontId="6" fillId="4" borderId="17" xfId="9" applyNumberFormat="1" applyFont="1" applyFill="1" applyBorder="1"/>
    <xf numFmtId="171" fontId="8" fillId="5" borderId="14" xfId="8" applyNumberFormat="1" applyFont="1" applyFill="1" applyBorder="1" applyAlignment="1">
      <alignment horizontal="center" vertical="center" wrapText="1"/>
    </xf>
    <xf numFmtId="164" fontId="8" fillId="5" borderId="14" xfId="8" applyNumberFormat="1" applyFont="1" applyFill="1" applyBorder="1" applyAlignment="1">
      <alignment horizontal="center" vertical="center" wrapText="1"/>
    </xf>
    <xf numFmtId="165" fontId="6" fillId="2" borderId="19" xfId="9" applyNumberFormat="1" applyFont="1" applyFill="1" applyBorder="1"/>
    <xf numFmtId="165" fontId="6" fillId="4" borderId="20" xfId="9" applyNumberFormat="1" applyFont="1" applyFill="1" applyBorder="1"/>
    <xf numFmtId="165" fontId="6" fillId="4" borderId="21" xfId="9" applyNumberFormat="1" applyFont="1" applyFill="1" applyBorder="1"/>
    <xf numFmtId="165" fontId="6" fillId="4" borderId="22" xfId="9" applyNumberFormat="1" applyFont="1" applyFill="1" applyBorder="1"/>
    <xf numFmtId="4" fontId="6" fillId="2" borderId="14" xfId="8" applyNumberFormat="1" applyFont="1" applyFill="1" applyBorder="1"/>
    <xf numFmtId="4" fontId="6" fillId="4" borderId="12" xfId="8" applyNumberFormat="1" applyFont="1" applyFill="1" applyBorder="1"/>
    <xf numFmtId="4" fontId="6" fillId="4" borderId="3" xfId="8" applyNumberFormat="1" applyFont="1" applyFill="1" applyBorder="1"/>
    <xf numFmtId="4" fontId="6" fillId="4" borderId="10" xfId="8" applyNumberFormat="1" applyFont="1" applyFill="1" applyBorder="1"/>
    <xf numFmtId="4" fontId="6" fillId="4" borderId="15" xfId="8" applyNumberFormat="1" applyFont="1" applyFill="1" applyBorder="1"/>
    <xf numFmtId="4" fontId="6" fillId="4" borderId="16" xfId="8" applyNumberFormat="1" applyFont="1" applyFill="1" applyBorder="1"/>
    <xf numFmtId="4" fontId="6" fillId="4" borderId="17" xfId="8" applyNumberFormat="1" applyFont="1" applyFill="1" applyBorder="1"/>
    <xf numFmtId="4" fontId="6" fillId="2" borderId="1" xfId="8" applyNumberFormat="1" applyFont="1" applyFill="1" applyBorder="1"/>
    <xf numFmtId="164" fontId="8" fillId="5" borderId="19" xfId="8" applyNumberFormat="1" applyFont="1" applyFill="1" applyBorder="1" applyAlignment="1">
      <alignment horizontal="center" vertical="center" wrapText="1"/>
    </xf>
    <xf numFmtId="165" fontId="6" fillId="2" borderId="23" xfId="9" applyNumberFormat="1" applyFont="1" applyFill="1" applyBorder="1"/>
    <xf numFmtId="165" fontId="6" fillId="4" borderId="24" xfId="9" applyNumberFormat="1" applyFont="1" applyFill="1" applyBorder="1"/>
    <xf numFmtId="165" fontId="6" fillId="4" borderId="25" xfId="9" applyNumberFormat="1" applyFont="1" applyFill="1" applyBorder="1"/>
    <xf numFmtId="165" fontId="6" fillId="4" borderId="26" xfId="9" applyNumberFormat="1" applyFont="1" applyFill="1" applyBorder="1"/>
    <xf numFmtId="4" fontId="6" fillId="4" borderId="27" xfId="8" applyNumberFormat="1" applyFont="1" applyFill="1" applyBorder="1"/>
    <xf numFmtId="165" fontId="6" fillId="4" borderId="27" xfId="9" applyNumberFormat="1" applyFont="1" applyFill="1" applyBorder="1"/>
    <xf numFmtId="165" fontId="6" fillId="4" borderId="28" xfId="9" applyNumberFormat="1" applyFont="1" applyFill="1" applyBorder="1"/>
    <xf numFmtId="4" fontId="6" fillId="4" borderId="4" xfId="8" applyNumberFormat="1" applyFont="1" applyFill="1" applyBorder="1"/>
    <xf numFmtId="165" fontId="6" fillId="4" borderId="29" xfId="9" applyNumberFormat="1" applyFont="1" applyFill="1" applyBorder="1"/>
    <xf numFmtId="0" fontId="8" fillId="4" borderId="30" xfId="0" applyFont="1" applyFill="1" applyBorder="1" applyAlignment="1">
      <alignment horizontal="left"/>
    </xf>
    <xf numFmtId="4" fontId="6" fillId="4" borderId="31" xfId="8" applyNumberFormat="1" applyFont="1" applyFill="1" applyBorder="1"/>
    <xf numFmtId="165" fontId="6" fillId="4" borderId="31" xfId="9" applyNumberFormat="1" applyFont="1" applyFill="1" applyBorder="1"/>
    <xf numFmtId="165" fontId="6" fillId="4" borderId="32" xfId="9" applyNumberFormat="1" applyFont="1" applyFill="1" applyBorder="1"/>
    <xf numFmtId="165" fontId="6" fillId="4" borderId="30" xfId="9" applyNumberFormat="1" applyFont="1" applyFill="1" applyBorder="1"/>
    <xf numFmtId="4" fontId="6" fillId="4" borderId="30" xfId="8" applyNumberFormat="1" applyFont="1" applyFill="1" applyBorder="1"/>
    <xf numFmtId="165" fontId="6" fillId="4" borderId="33" xfId="9" applyNumberFormat="1" applyFont="1" applyFill="1" applyBorder="1"/>
    <xf numFmtId="0" fontId="8" fillId="5" borderId="1" xfId="0" applyFont="1" applyFill="1" applyBorder="1" applyAlignment="1">
      <alignment horizontal="center" vertical="center" wrapText="1"/>
    </xf>
    <xf numFmtId="164" fontId="8" fillId="5" borderId="13" xfId="8" applyNumberFormat="1" applyFont="1" applyFill="1" applyBorder="1" applyAlignment="1">
      <alignment horizontal="center" vertical="center" wrapText="1"/>
    </xf>
    <xf numFmtId="4" fontId="6" fillId="4" borderId="35" xfId="8" applyNumberFormat="1" applyFont="1" applyFill="1" applyBorder="1"/>
    <xf numFmtId="165" fontId="10" fillId="6" borderId="12" xfId="9" applyNumberFormat="1" applyFont="1" applyFill="1" applyBorder="1" applyProtection="1"/>
    <xf numFmtId="0" fontId="8" fillId="4" borderId="2" xfId="0" applyFont="1" applyFill="1" applyBorder="1" applyAlignment="1">
      <alignment horizontal="left"/>
    </xf>
    <xf numFmtId="4" fontId="6" fillId="4" borderId="13" xfId="8" applyNumberFormat="1" applyFont="1" applyFill="1" applyBorder="1"/>
    <xf numFmtId="165" fontId="6" fillId="4" borderId="2" xfId="9" applyNumberFormat="1" applyFont="1" applyFill="1" applyBorder="1"/>
    <xf numFmtId="165" fontId="10" fillId="6" borderId="15" xfId="9" applyNumberFormat="1" applyFont="1" applyFill="1" applyBorder="1" applyProtection="1"/>
    <xf numFmtId="165" fontId="6" fillId="4" borderId="13" xfId="9" applyNumberFormat="1" applyFont="1" applyFill="1" applyBorder="1"/>
    <xf numFmtId="4" fontId="6" fillId="2" borderId="19" xfId="8" applyNumberFormat="1" applyFont="1" applyFill="1" applyBorder="1"/>
    <xf numFmtId="4" fontId="6" fillId="4" borderId="20" xfId="8" applyNumberFormat="1" applyFont="1" applyFill="1" applyBorder="1"/>
    <xf numFmtId="4" fontId="6" fillId="4" borderId="21" xfId="8" applyNumberFormat="1" applyFont="1" applyFill="1" applyBorder="1"/>
    <xf numFmtId="4" fontId="6" fillId="4" borderId="28" xfId="8" applyNumberFormat="1" applyFont="1" applyFill="1" applyBorder="1"/>
    <xf numFmtId="4" fontId="6" fillId="4" borderId="22" xfId="8" applyNumberFormat="1" applyFont="1" applyFill="1" applyBorder="1"/>
    <xf numFmtId="4" fontId="6" fillId="4" borderId="32" xfId="8" applyNumberFormat="1" applyFont="1" applyFill="1" applyBorder="1"/>
    <xf numFmtId="4" fontId="6" fillId="4" borderId="16" xfId="8" applyNumberFormat="1" applyFont="1" applyFill="1" applyBorder="1" applyAlignment="1">
      <alignment horizontal="right"/>
    </xf>
    <xf numFmtId="165" fontId="6" fillId="4" borderId="16" xfId="9" applyNumberFormat="1" applyFont="1" applyFill="1" applyBorder="1" applyAlignment="1">
      <alignment horizontal="right"/>
    </xf>
    <xf numFmtId="165" fontId="6" fillId="4" borderId="21" xfId="9" applyNumberFormat="1" applyFont="1" applyFill="1" applyBorder="1" applyAlignment="1">
      <alignment horizontal="right"/>
    </xf>
    <xf numFmtId="165" fontId="6" fillId="4" borderId="3" xfId="9" applyNumberFormat="1" applyFont="1" applyFill="1" applyBorder="1" applyAlignment="1">
      <alignment horizontal="right"/>
    </xf>
    <xf numFmtId="4" fontId="6" fillId="4" borderId="21" xfId="8" applyNumberFormat="1" applyFont="1" applyFill="1" applyBorder="1" applyAlignment="1">
      <alignment horizontal="right"/>
    </xf>
    <xf numFmtId="165" fontId="6" fillId="4" borderId="25" xfId="9" applyNumberFormat="1" applyFont="1" applyFill="1" applyBorder="1" applyAlignment="1">
      <alignment horizontal="right"/>
    </xf>
    <xf numFmtId="4" fontId="6" fillId="4" borderId="3" xfId="8" applyNumberFormat="1" applyFont="1" applyFill="1" applyBorder="1" applyAlignment="1">
      <alignment horizontal="right"/>
    </xf>
    <xf numFmtId="165" fontId="6" fillId="4" borderId="17" xfId="9" applyNumberFormat="1" applyFont="1" applyFill="1" applyBorder="1" applyAlignment="1">
      <alignment horizontal="right"/>
    </xf>
    <xf numFmtId="165" fontId="6" fillId="4" borderId="22" xfId="9" applyNumberFormat="1" applyFont="1" applyFill="1" applyBorder="1" applyAlignment="1">
      <alignment horizontal="right"/>
    </xf>
    <xf numFmtId="165" fontId="6" fillId="4" borderId="10" xfId="9" applyNumberFormat="1" applyFont="1" applyFill="1" applyBorder="1" applyAlignment="1">
      <alignment horizontal="right"/>
    </xf>
    <xf numFmtId="4" fontId="6" fillId="4" borderId="17" xfId="8" applyNumberFormat="1" applyFont="1" applyFill="1" applyBorder="1" applyAlignment="1">
      <alignment horizontal="right"/>
    </xf>
    <xf numFmtId="4" fontId="6" fillId="4" borderId="22" xfId="8" applyNumberFormat="1" applyFont="1" applyFill="1" applyBorder="1" applyAlignment="1">
      <alignment horizontal="right"/>
    </xf>
    <xf numFmtId="165" fontId="6" fillId="4" borderId="26" xfId="9" applyNumberFormat="1" applyFont="1" applyFill="1" applyBorder="1" applyAlignment="1">
      <alignment horizontal="right"/>
    </xf>
    <xf numFmtId="4" fontId="6" fillId="2" borderId="14" xfId="8" applyNumberFormat="1" applyFont="1" applyFill="1" applyBorder="1" applyAlignment="1">
      <alignment horizontal="right"/>
    </xf>
    <xf numFmtId="165" fontId="6" fillId="2" borderId="14" xfId="9" applyNumberFormat="1" applyFont="1" applyFill="1" applyBorder="1" applyAlignment="1">
      <alignment horizontal="right"/>
    </xf>
    <xf numFmtId="165" fontId="6" fillId="2" borderId="19" xfId="9" applyNumberFormat="1" applyFont="1" applyFill="1" applyBorder="1" applyAlignment="1">
      <alignment horizontal="right"/>
    </xf>
    <xf numFmtId="165" fontId="6" fillId="2" borderId="1" xfId="9" applyNumberFormat="1" applyFont="1" applyFill="1" applyBorder="1" applyAlignment="1">
      <alignment horizontal="right"/>
    </xf>
    <xf numFmtId="4" fontId="6" fillId="2" borderId="19" xfId="8" applyNumberFormat="1" applyFont="1" applyFill="1" applyBorder="1" applyAlignment="1">
      <alignment horizontal="right"/>
    </xf>
    <xf numFmtId="165" fontId="6" fillId="2" borderId="23" xfId="9" applyNumberFormat="1" applyFont="1" applyFill="1" applyBorder="1" applyAlignment="1">
      <alignment horizontal="right"/>
    </xf>
    <xf numFmtId="4" fontId="6" fillId="2" borderId="1" xfId="8" applyNumberFormat="1" applyFont="1" applyFill="1" applyBorder="1" applyAlignment="1">
      <alignment horizontal="right"/>
    </xf>
    <xf numFmtId="4" fontId="6" fillId="4" borderId="15" xfId="8" applyNumberFormat="1" applyFont="1" applyFill="1" applyBorder="1" applyAlignment="1">
      <alignment horizontal="right"/>
    </xf>
    <xf numFmtId="165" fontId="6" fillId="4" borderId="15" xfId="9" applyNumberFormat="1" applyFont="1" applyFill="1" applyBorder="1" applyAlignment="1">
      <alignment horizontal="right"/>
    </xf>
    <xf numFmtId="165" fontId="6" fillId="4" borderId="20" xfId="9" applyNumberFormat="1" applyFont="1" applyFill="1" applyBorder="1" applyAlignment="1">
      <alignment horizontal="right"/>
    </xf>
    <xf numFmtId="165" fontId="6" fillId="4" borderId="12" xfId="9" applyNumberFormat="1" applyFont="1" applyFill="1" applyBorder="1" applyAlignment="1">
      <alignment horizontal="right"/>
    </xf>
    <xf numFmtId="4" fontId="6" fillId="4" borderId="20" xfId="8" applyNumberFormat="1" applyFont="1" applyFill="1" applyBorder="1" applyAlignment="1">
      <alignment horizontal="right"/>
    </xf>
    <xf numFmtId="165" fontId="6" fillId="4" borderId="24" xfId="9" applyNumberFormat="1" applyFont="1" applyFill="1" applyBorder="1" applyAlignment="1">
      <alignment horizontal="right"/>
    </xf>
    <xf numFmtId="4" fontId="6" fillId="4" borderId="12" xfId="8" applyNumberFormat="1" applyFont="1" applyFill="1" applyBorder="1" applyAlignment="1">
      <alignment horizontal="right"/>
    </xf>
    <xf numFmtId="4" fontId="6" fillId="4" borderId="27" xfId="8" applyNumberFormat="1" applyFont="1" applyFill="1" applyBorder="1" applyAlignment="1">
      <alignment horizontal="right"/>
    </xf>
    <xf numFmtId="165" fontId="6" fillId="4" borderId="27" xfId="9" applyNumberFormat="1" applyFont="1" applyFill="1" applyBorder="1" applyAlignment="1">
      <alignment horizontal="right"/>
    </xf>
    <xf numFmtId="165" fontId="6" fillId="4" borderId="28" xfId="9" applyNumberFormat="1" applyFont="1" applyFill="1" applyBorder="1" applyAlignment="1">
      <alignment horizontal="right"/>
    </xf>
    <xf numFmtId="165" fontId="6" fillId="4" borderId="4" xfId="9" applyNumberFormat="1" applyFont="1" applyFill="1" applyBorder="1" applyAlignment="1">
      <alignment horizontal="right"/>
    </xf>
    <xf numFmtId="4" fontId="6" fillId="4" borderId="28" xfId="8" applyNumberFormat="1" applyFont="1" applyFill="1" applyBorder="1" applyAlignment="1">
      <alignment horizontal="right"/>
    </xf>
    <xf numFmtId="165" fontId="6" fillId="4" borderId="29" xfId="9" applyNumberFormat="1" applyFont="1" applyFill="1" applyBorder="1" applyAlignment="1">
      <alignment horizontal="right"/>
    </xf>
    <xf numFmtId="4" fontId="6" fillId="4" borderId="4" xfId="8" applyNumberFormat="1" applyFont="1" applyFill="1" applyBorder="1" applyAlignment="1">
      <alignment horizontal="right"/>
    </xf>
    <xf numFmtId="4" fontId="6" fillId="4" borderId="10" xfId="8" applyNumberFormat="1" applyFont="1" applyFill="1" applyBorder="1" applyAlignment="1">
      <alignment horizontal="right"/>
    </xf>
    <xf numFmtId="4" fontId="6" fillId="4" borderId="31" xfId="8" applyNumberFormat="1" applyFont="1" applyFill="1" applyBorder="1" applyAlignment="1">
      <alignment horizontal="right"/>
    </xf>
    <xf numFmtId="165" fontId="6" fillId="4" borderId="31" xfId="9" applyNumberFormat="1" applyFont="1" applyFill="1" applyBorder="1" applyAlignment="1">
      <alignment horizontal="right"/>
    </xf>
    <xf numFmtId="165" fontId="6" fillId="4" borderId="32" xfId="9" applyNumberFormat="1" applyFont="1" applyFill="1" applyBorder="1" applyAlignment="1">
      <alignment horizontal="right"/>
    </xf>
    <xf numFmtId="165" fontId="6" fillId="4" borderId="30" xfId="9" applyNumberFormat="1" applyFont="1" applyFill="1" applyBorder="1" applyAlignment="1">
      <alignment horizontal="right"/>
    </xf>
    <xf numFmtId="4" fontId="6" fillId="4" borderId="32" xfId="8" applyNumberFormat="1" applyFont="1" applyFill="1" applyBorder="1" applyAlignment="1">
      <alignment horizontal="right"/>
    </xf>
    <xf numFmtId="165" fontId="6" fillId="4" borderId="33" xfId="9" applyNumberFormat="1" applyFont="1" applyFill="1" applyBorder="1" applyAlignment="1">
      <alignment horizontal="right"/>
    </xf>
    <xf numFmtId="4" fontId="6" fillId="4" borderId="30" xfId="8" applyNumberFormat="1" applyFont="1" applyFill="1" applyBorder="1" applyAlignment="1">
      <alignment horizontal="right"/>
    </xf>
    <xf numFmtId="4" fontId="6" fillId="4" borderId="34" xfId="8" applyNumberFormat="1" applyFont="1" applyFill="1" applyBorder="1" applyAlignment="1">
      <alignment horizontal="right"/>
    </xf>
    <xf numFmtId="165" fontId="6" fillId="4" borderId="34" xfId="9" applyNumberFormat="1" applyFont="1" applyFill="1" applyBorder="1" applyAlignment="1">
      <alignment horizontal="right"/>
    </xf>
    <xf numFmtId="165" fontId="6" fillId="4" borderId="36" xfId="9" applyNumberFormat="1" applyFont="1" applyFill="1" applyBorder="1" applyAlignment="1">
      <alignment horizontal="right"/>
    </xf>
    <xf numFmtId="4" fontId="6" fillId="4" borderId="36" xfId="8" applyNumberFormat="1" applyFont="1" applyFill="1" applyBorder="1" applyAlignment="1">
      <alignment horizontal="right"/>
    </xf>
    <xf numFmtId="165" fontId="6" fillId="4" borderId="37" xfId="9" applyNumberFormat="1" applyFont="1" applyFill="1" applyBorder="1" applyAlignment="1">
      <alignment horizontal="right"/>
    </xf>
    <xf numFmtId="4" fontId="6" fillId="4" borderId="0" xfId="8" applyNumberFormat="1" applyFont="1" applyFill="1" applyBorder="1" applyAlignment="1">
      <alignment horizontal="right"/>
    </xf>
    <xf numFmtId="4" fontId="6" fillId="4" borderId="13" xfId="8" applyNumberFormat="1" applyFont="1" applyFill="1" applyBorder="1" applyAlignment="1">
      <alignment horizontal="right"/>
    </xf>
    <xf numFmtId="165" fontId="6" fillId="4" borderId="13" xfId="9" applyNumberFormat="1" applyFont="1" applyFill="1" applyBorder="1" applyAlignment="1">
      <alignment horizontal="right"/>
    </xf>
    <xf numFmtId="165" fontId="6" fillId="4" borderId="18" xfId="9" applyNumberFormat="1" applyFont="1" applyFill="1" applyBorder="1" applyAlignment="1">
      <alignment horizontal="right"/>
    </xf>
    <xf numFmtId="165" fontId="6" fillId="4" borderId="2" xfId="9" applyNumberFormat="1" applyFont="1" applyFill="1" applyBorder="1" applyAlignment="1">
      <alignment horizontal="right"/>
    </xf>
    <xf numFmtId="4" fontId="6" fillId="4" borderId="18" xfId="8" applyNumberFormat="1" applyFont="1" applyFill="1" applyBorder="1" applyAlignment="1">
      <alignment horizontal="right"/>
    </xf>
    <xf numFmtId="165" fontId="6" fillId="4" borderId="38" xfId="9" applyNumberFormat="1" applyFont="1" applyFill="1" applyBorder="1" applyAlignment="1">
      <alignment horizontal="right"/>
    </xf>
    <xf numFmtId="4" fontId="6" fillId="4" borderId="2" xfId="8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4" fontId="6" fillId="4" borderId="14" xfId="8" applyNumberFormat="1" applyFont="1" applyFill="1" applyBorder="1"/>
    <xf numFmtId="165" fontId="6" fillId="4" borderId="14" xfId="9" applyNumberFormat="1" applyFont="1" applyFill="1" applyBorder="1"/>
    <xf numFmtId="165" fontId="6" fillId="4" borderId="1" xfId="9" applyNumberFormat="1" applyFont="1" applyFill="1" applyBorder="1"/>
    <xf numFmtId="4" fontId="6" fillId="4" borderId="34" xfId="8" applyNumberFormat="1" applyFont="1" applyFill="1" applyBorder="1"/>
    <xf numFmtId="165" fontId="6" fillId="4" borderId="34" xfId="9" applyNumberFormat="1" applyFont="1" applyFill="1" applyBorder="1"/>
    <xf numFmtId="4" fontId="6" fillId="4" borderId="0" xfId="8" applyNumberFormat="1" applyFont="1" applyFill="1" applyBorder="1"/>
    <xf numFmtId="165" fontId="6" fillId="4" borderId="18" xfId="9" applyNumberFormat="1" applyFont="1" applyFill="1" applyBorder="1"/>
    <xf numFmtId="4" fontId="6" fillId="4" borderId="18" xfId="8" applyNumberFormat="1" applyFont="1" applyFill="1" applyBorder="1"/>
    <xf numFmtId="165" fontId="6" fillId="4" borderId="38" xfId="9" applyNumberFormat="1" applyFont="1" applyFill="1" applyBorder="1"/>
    <xf numFmtId="0" fontId="7" fillId="4" borderId="0" xfId="0" applyFont="1" applyFill="1" applyBorder="1" applyAlignment="1">
      <alignment horizontal="center"/>
    </xf>
    <xf numFmtId="171" fontId="7" fillId="4" borderId="0" xfId="1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4" fontId="7" fillId="4" borderId="0" xfId="10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172" fontId="7" fillId="4" borderId="0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165" fontId="8" fillId="5" borderId="13" xfId="9" applyNumberFormat="1" applyFont="1" applyFill="1" applyBorder="1" applyAlignment="1">
      <alignment horizontal="center" vertical="center" wrapText="1"/>
    </xf>
    <xf numFmtId="164" fontId="8" fillId="5" borderId="18" xfId="8" applyNumberFormat="1" applyFont="1" applyFill="1" applyBorder="1" applyAlignment="1">
      <alignment horizontal="center" vertical="center" wrapText="1"/>
    </xf>
    <xf numFmtId="165" fontId="10" fillId="6" borderId="35" xfId="9" applyNumberFormat="1" applyFont="1" applyFill="1" applyBorder="1" applyProtection="1"/>
    <xf numFmtId="165" fontId="10" fillId="6" borderId="8" xfId="9" applyNumberFormat="1" applyFont="1" applyFill="1" applyBorder="1" applyProtection="1"/>
    <xf numFmtId="4" fontId="6" fillId="4" borderId="35" xfId="8" applyNumberFormat="1" applyFont="1" applyFill="1" applyBorder="1" applyAlignment="1">
      <alignment horizontal="right"/>
    </xf>
    <xf numFmtId="4" fontId="6" fillId="4" borderId="40" xfId="8" applyNumberFormat="1" applyFont="1" applyFill="1" applyBorder="1" applyAlignment="1">
      <alignment horizontal="right"/>
    </xf>
    <xf numFmtId="0" fontId="14" fillId="4" borderId="0" xfId="0" applyFont="1" applyFill="1" applyBorder="1"/>
    <xf numFmtId="4" fontId="6" fillId="4" borderId="25" xfId="8" applyNumberFormat="1" applyFont="1" applyFill="1" applyBorder="1" applyAlignment="1">
      <alignment horizontal="right"/>
    </xf>
    <xf numFmtId="4" fontId="6" fillId="4" borderId="26" xfId="8" applyNumberFormat="1" applyFont="1" applyFill="1" applyBorder="1" applyAlignment="1">
      <alignment horizontal="right"/>
    </xf>
    <xf numFmtId="0" fontId="8" fillId="2" borderId="30" xfId="0" applyFont="1" applyFill="1" applyBorder="1" applyAlignment="1">
      <alignment horizontal="left"/>
    </xf>
    <xf numFmtId="4" fontId="6" fillId="2" borderId="32" xfId="8" applyNumberFormat="1" applyFont="1" applyFill="1" applyBorder="1" applyAlignment="1">
      <alignment horizontal="right"/>
    </xf>
    <xf numFmtId="4" fontId="6" fillId="2" borderId="33" xfId="8" applyNumberFormat="1" applyFont="1" applyFill="1" applyBorder="1" applyAlignment="1">
      <alignment horizontal="right"/>
    </xf>
    <xf numFmtId="4" fontId="6" fillId="2" borderId="30" xfId="8" applyNumberFormat="1" applyFont="1" applyFill="1" applyBorder="1" applyAlignment="1">
      <alignment horizontal="right"/>
    </xf>
    <xf numFmtId="165" fontId="8" fillId="5" borderId="18" xfId="9" applyNumberFormat="1" applyFont="1" applyFill="1" applyBorder="1" applyAlignment="1">
      <alignment horizontal="center" vertical="center" wrapText="1"/>
    </xf>
    <xf numFmtId="165" fontId="6" fillId="2" borderId="31" xfId="9" applyNumberFormat="1" applyFont="1" applyFill="1" applyBorder="1" applyAlignment="1">
      <alignment horizontal="right"/>
    </xf>
    <xf numFmtId="165" fontId="6" fillId="2" borderId="30" xfId="9" applyNumberFormat="1" applyFont="1" applyFill="1" applyBorder="1" applyAlignment="1">
      <alignment horizontal="right"/>
    </xf>
    <xf numFmtId="165" fontId="6" fillId="4" borderId="35" xfId="9" applyNumberFormat="1" applyFont="1" applyFill="1" applyBorder="1"/>
    <xf numFmtId="4" fontId="6" fillId="2" borderId="31" xfId="8" applyNumberFormat="1" applyFont="1" applyFill="1" applyBorder="1"/>
    <xf numFmtId="165" fontId="8" fillId="5" borderId="38" xfId="9" applyNumberFormat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right" vertical="center"/>
    </xf>
    <xf numFmtId="4" fontId="6" fillId="4" borderId="8" xfId="8" applyNumberFormat="1" applyFont="1" applyFill="1" applyBorder="1" applyAlignment="1">
      <alignment horizontal="right"/>
    </xf>
    <xf numFmtId="165" fontId="6" fillId="2" borderId="32" xfId="9" applyNumberFormat="1" applyFont="1" applyFill="1" applyBorder="1" applyAlignment="1">
      <alignment horizontal="right"/>
    </xf>
    <xf numFmtId="165" fontId="6" fillId="4" borderId="40" xfId="9" applyNumberFormat="1" applyFont="1" applyFill="1" applyBorder="1" applyAlignment="1">
      <alignment horizontal="right"/>
    </xf>
    <xf numFmtId="0" fontId="8" fillId="4" borderId="41" xfId="0" applyFont="1" applyFill="1" applyBorder="1" applyAlignment="1">
      <alignment horizontal="center"/>
    </xf>
    <xf numFmtId="0" fontId="8" fillId="4" borderId="42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16" fillId="4" borderId="0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/>
    </xf>
    <xf numFmtId="4" fontId="6" fillId="4" borderId="33" xfId="8" applyNumberFormat="1" applyFont="1" applyFill="1" applyBorder="1" applyAlignment="1">
      <alignment horizontal="right"/>
    </xf>
    <xf numFmtId="0" fontId="8" fillId="4" borderId="43" xfId="0" applyFont="1" applyFill="1" applyBorder="1" applyAlignment="1">
      <alignment horizontal="left"/>
    </xf>
    <xf numFmtId="4" fontId="6" fillId="4" borderId="44" xfId="8" applyNumberFormat="1" applyFont="1" applyFill="1" applyBorder="1" applyAlignment="1">
      <alignment horizontal="right"/>
    </xf>
    <xf numFmtId="4" fontId="6" fillId="4" borderId="45" xfId="8" applyNumberFormat="1" applyFont="1" applyFill="1" applyBorder="1" applyAlignment="1">
      <alignment horizontal="right"/>
    </xf>
    <xf numFmtId="165" fontId="6" fillId="4" borderId="44" xfId="9" applyNumberFormat="1" applyFont="1" applyFill="1" applyBorder="1" applyAlignment="1">
      <alignment horizontal="right"/>
    </xf>
    <xf numFmtId="4" fontId="6" fillId="4" borderId="46" xfId="8" applyNumberFormat="1" applyFont="1" applyFill="1" applyBorder="1" applyAlignment="1">
      <alignment horizontal="right"/>
    </xf>
    <xf numFmtId="4" fontId="6" fillId="4" borderId="47" xfId="8" applyNumberFormat="1" applyFont="1" applyFill="1" applyBorder="1" applyAlignment="1">
      <alignment horizontal="right"/>
    </xf>
    <xf numFmtId="165" fontId="8" fillId="5" borderId="19" xfId="9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left"/>
    </xf>
    <xf numFmtId="4" fontId="6" fillId="2" borderId="20" xfId="8" applyNumberFormat="1" applyFont="1" applyFill="1" applyBorder="1" applyAlignment="1">
      <alignment horizontal="right"/>
    </xf>
    <xf numFmtId="165" fontId="6" fillId="2" borderId="20" xfId="9" applyNumberFormat="1" applyFont="1" applyFill="1" applyBorder="1" applyAlignment="1">
      <alignment horizontal="right"/>
    </xf>
    <xf numFmtId="0" fontId="8" fillId="2" borderId="10" xfId="0" applyFont="1" applyFill="1" applyBorder="1" applyAlignment="1">
      <alignment horizontal="left"/>
    </xf>
    <xf numFmtId="4" fontId="6" fillId="2" borderId="22" xfId="8" applyNumberFormat="1" applyFont="1" applyFill="1" applyBorder="1" applyAlignment="1">
      <alignment horizontal="right"/>
    </xf>
    <xf numFmtId="4" fontId="6" fillId="2" borderId="26" xfId="8" applyNumberFormat="1" applyFont="1" applyFill="1" applyBorder="1" applyAlignment="1">
      <alignment horizontal="right"/>
    </xf>
    <xf numFmtId="4" fontId="6" fillId="2" borderId="10" xfId="8" applyNumberFormat="1" applyFont="1" applyFill="1" applyBorder="1" applyAlignment="1">
      <alignment horizontal="right"/>
    </xf>
    <xf numFmtId="165" fontId="6" fillId="2" borderId="22" xfId="9" applyNumberFormat="1" applyFont="1" applyFill="1" applyBorder="1" applyAlignment="1">
      <alignment horizontal="right"/>
    </xf>
    <xf numFmtId="165" fontId="8" fillId="5" borderId="23" xfId="9" applyNumberFormat="1" applyFont="1" applyFill="1" applyBorder="1" applyAlignment="1">
      <alignment horizontal="center" vertical="center" wrapText="1"/>
    </xf>
    <xf numFmtId="4" fontId="6" fillId="2" borderId="15" xfId="8" applyNumberFormat="1" applyFont="1" applyFill="1" applyBorder="1"/>
    <xf numFmtId="165" fontId="6" fillId="2" borderId="15" xfId="9" applyNumberFormat="1" applyFont="1" applyFill="1" applyBorder="1" applyAlignment="1">
      <alignment horizontal="right"/>
    </xf>
    <xf numFmtId="165" fontId="6" fillId="2" borderId="12" xfId="9" applyNumberFormat="1" applyFont="1" applyFill="1" applyBorder="1" applyAlignment="1">
      <alignment horizontal="right"/>
    </xf>
    <xf numFmtId="4" fontId="6" fillId="2" borderId="17" xfId="8" applyNumberFormat="1" applyFont="1" applyFill="1" applyBorder="1"/>
    <xf numFmtId="165" fontId="6" fillId="2" borderId="17" xfId="9" applyNumberFormat="1" applyFont="1" applyFill="1" applyBorder="1" applyAlignment="1">
      <alignment horizontal="right"/>
    </xf>
    <xf numFmtId="165" fontId="6" fillId="2" borderId="10" xfId="9" applyNumberFormat="1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0" fontId="8" fillId="4" borderId="46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/>
    <xf numFmtId="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0" fillId="4" borderId="4" xfId="0" applyFill="1" applyBorder="1"/>
    <xf numFmtId="4" fontId="6" fillId="4" borderId="4" xfId="0" applyNumberFormat="1" applyFont="1" applyFill="1" applyBorder="1" applyAlignment="1">
      <alignment horizontal="center"/>
    </xf>
    <xf numFmtId="165" fontId="6" fillId="4" borderId="4" xfId="0" applyNumberFormat="1" applyFont="1" applyFill="1" applyBorder="1" applyAlignment="1">
      <alignment horizontal="center"/>
    </xf>
    <xf numFmtId="0" fontId="0" fillId="4" borderId="10" xfId="0" applyFill="1" applyBorder="1"/>
    <xf numFmtId="4" fontId="6" fillId="4" borderId="10" xfId="0" applyNumberFormat="1" applyFont="1" applyFill="1" applyBorder="1" applyAlignment="1">
      <alignment horizontal="center"/>
    </xf>
    <xf numFmtId="165" fontId="6" fillId="4" borderId="10" xfId="0" applyNumberFormat="1" applyFont="1" applyFill="1" applyBorder="1" applyAlignment="1">
      <alignment horizontal="center"/>
    </xf>
    <xf numFmtId="0" fontId="0" fillId="4" borderId="8" xfId="0" applyFill="1" applyBorder="1"/>
    <xf numFmtId="4" fontId="6" fillId="4" borderId="8" xfId="0" applyNumberFormat="1" applyFont="1" applyFill="1" applyBorder="1" applyAlignment="1">
      <alignment horizontal="center"/>
    </xf>
    <xf numFmtId="165" fontId="6" fillId="4" borderId="8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4" fontId="6" fillId="2" borderId="18" xfId="8" applyNumberFormat="1" applyFont="1" applyFill="1" applyBorder="1" applyAlignment="1">
      <alignment horizontal="center"/>
    </xf>
    <xf numFmtId="4" fontId="6" fillId="2" borderId="13" xfId="8" applyNumberFormat="1" applyFont="1" applyFill="1" applyBorder="1" applyAlignment="1">
      <alignment horizontal="center"/>
    </xf>
    <xf numFmtId="165" fontId="6" fillId="2" borderId="2" xfId="9" applyNumberFormat="1" applyFont="1" applyFill="1" applyBorder="1" applyAlignment="1">
      <alignment horizontal="center"/>
    </xf>
    <xf numFmtId="4" fontId="6" fillId="4" borderId="40" xfId="0" applyNumberFormat="1" applyFont="1" applyFill="1" applyBorder="1" applyAlignment="1">
      <alignment horizontal="center"/>
    </xf>
    <xf numFmtId="4" fontId="6" fillId="4" borderId="21" xfId="0" applyNumberFormat="1" applyFont="1" applyFill="1" applyBorder="1" applyAlignment="1">
      <alignment horizontal="center"/>
    </xf>
    <xf numFmtId="4" fontId="6" fillId="4" borderId="22" xfId="0" applyNumberFormat="1" applyFont="1" applyFill="1" applyBorder="1" applyAlignment="1">
      <alignment horizontal="center"/>
    </xf>
    <xf numFmtId="4" fontId="6" fillId="2" borderId="38" xfId="8" applyNumberFormat="1" applyFont="1" applyFill="1" applyBorder="1" applyAlignment="1">
      <alignment horizontal="center"/>
    </xf>
    <xf numFmtId="4" fontId="6" fillId="4" borderId="48" xfId="0" applyNumberFormat="1" applyFont="1" applyFill="1" applyBorder="1" applyAlignment="1">
      <alignment horizontal="center"/>
    </xf>
    <xf numFmtId="4" fontId="6" fillId="4" borderId="25" xfId="0" applyNumberFormat="1" applyFont="1" applyFill="1" applyBorder="1" applyAlignment="1">
      <alignment horizontal="center"/>
    </xf>
    <xf numFmtId="4" fontId="6" fillId="4" borderId="26" xfId="0" applyNumberFormat="1" applyFont="1" applyFill="1" applyBorder="1" applyAlignment="1">
      <alignment horizontal="center"/>
    </xf>
    <xf numFmtId="4" fontId="6" fillId="4" borderId="35" xfId="0" applyNumberFormat="1" applyFont="1" applyFill="1" applyBorder="1" applyAlignment="1">
      <alignment horizontal="center"/>
    </xf>
    <xf numFmtId="4" fontId="6" fillId="4" borderId="16" xfId="0" applyNumberFormat="1" applyFont="1" applyFill="1" applyBorder="1" applyAlignment="1">
      <alignment horizontal="center"/>
    </xf>
    <xf numFmtId="4" fontId="6" fillId="4" borderId="27" xfId="0" applyNumberFormat="1" applyFont="1" applyFill="1" applyBorder="1" applyAlignment="1">
      <alignment horizontal="center"/>
    </xf>
    <xf numFmtId="4" fontId="6" fillId="4" borderId="17" xfId="0" applyNumberFormat="1" applyFont="1" applyFill="1" applyBorder="1" applyAlignment="1">
      <alignment horizontal="center"/>
    </xf>
    <xf numFmtId="4" fontId="10" fillId="4" borderId="40" xfId="0" applyNumberFormat="1" applyFont="1" applyFill="1" applyBorder="1" applyAlignment="1">
      <alignment horizontal="center"/>
    </xf>
    <xf numFmtId="4" fontId="10" fillId="4" borderId="21" xfId="0" applyNumberFormat="1" applyFont="1" applyFill="1" applyBorder="1" applyAlignment="1">
      <alignment horizontal="center"/>
    </xf>
    <xf numFmtId="4" fontId="10" fillId="4" borderId="28" xfId="0" applyNumberFormat="1" applyFont="1" applyFill="1" applyBorder="1" applyAlignment="1">
      <alignment horizontal="center"/>
    </xf>
    <xf numFmtId="4" fontId="10" fillId="4" borderId="22" xfId="0" applyNumberFormat="1" applyFont="1" applyFill="1" applyBorder="1" applyAlignment="1">
      <alignment horizontal="center"/>
    </xf>
  </cellXfs>
  <cellStyles count="11">
    <cellStyle name="Comma" xfId="8" builtinId="3"/>
    <cellStyle name="Comma 2" xfId="10"/>
    <cellStyle name="Menu" xfId="1"/>
    <cellStyle name="Normal" xfId="0" builtinId="0"/>
    <cellStyle name="Normal 2" xfId="2"/>
    <cellStyle name="Normal 2 2" xfId="6"/>
    <cellStyle name="Normal 2 3" xfId="5"/>
    <cellStyle name="Normal 3" xfId="7"/>
    <cellStyle name="NumberCellStyle" xfId="4"/>
    <cellStyle name="Percent" xfId="9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306615</xdr:colOff>
      <xdr:row>7</xdr:row>
      <xdr:rowOff>228600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54865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pp.eurostat.ec.europa.eu/Energy/RENEWABLES%20(Marek)/SHARES%202011/Received/UK_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rget Calculation"/>
      <sheetName val="Additional information"/>
      <sheetName val="Transport (VOLUNTARY)"/>
      <sheetName val="R&amp;W"/>
      <sheetName val="T_R&amp;W"/>
      <sheetName val="Coal"/>
      <sheetName val="T_Coal"/>
      <sheetName val="Gas"/>
      <sheetName val="T_Gas"/>
      <sheetName val="Oil"/>
      <sheetName val="T_Oil"/>
      <sheetName val="El.&amp;H."/>
      <sheetName val="T_El.&amp;H."/>
      <sheetName val="LANGUAGE_MATRIX"/>
      <sheetName val="debug"/>
    </sheetNames>
    <sheetDataSet>
      <sheetData sheetId="0"/>
      <sheetData sheetId="1">
        <row r="15">
          <cell r="B15" t="str">
            <v>Use the EU27 average share of electricity from renewable sources</v>
          </cell>
        </row>
        <row r="121">
          <cell r="Q121">
            <v>1</v>
          </cell>
        </row>
      </sheetData>
      <sheetData sheetId="2">
        <row r="6">
          <cell r="J6" t="str">
            <v>United Kingdom</v>
          </cell>
        </row>
      </sheetData>
      <sheetData sheetId="3">
        <row r="9">
          <cell r="G9">
            <v>32688.515476474808</v>
          </cell>
        </row>
      </sheetData>
      <sheetData sheetId="4">
        <row r="7">
          <cell r="W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A1:I29"/>
  <sheetViews>
    <sheetView tabSelected="1" workbookViewId="0"/>
  </sheetViews>
  <sheetFormatPr defaultColWidth="9.140625" defaultRowHeight="17.25" customHeight="1" x14ac:dyDescent="0.2"/>
  <cols>
    <col min="1" max="3" width="9.140625" style="3"/>
    <col min="4" max="4" width="11.7109375" style="3" bestFit="1" customWidth="1"/>
    <col min="5" max="16384" width="9.140625" style="3"/>
  </cols>
  <sheetData>
    <row r="1" spans="1:9" ht="17.25" customHeight="1" x14ac:dyDescent="0.2">
      <c r="A1" s="1"/>
      <c r="B1" s="2"/>
      <c r="C1" s="2"/>
      <c r="D1" s="2"/>
      <c r="E1" s="2"/>
      <c r="F1" s="2"/>
      <c r="G1" s="2"/>
      <c r="H1" s="2"/>
      <c r="I1" s="2"/>
    </row>
    <row r="2" spans="1:9" ht="17.2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7.25" customHeight="1" x14ac:dyDescent="0.2">
      <c r="A3" s="2"/>
      <c r="B3" s="2"/>
      <c r="C3" s="4"/>
      <c r="D3" s="2"/>
      <c r="E3" s="5"/>
      <c r="F3" s="6"/>
      <c r="G3" s="6"/>
      <c r="H3" s="6"/>
      <c r="I3" s="6"/>
    </row>
    <row r="4" spans="1:9" ht="17.25" customHeight="1" x14ac:dyDescent="0.2">
      <c r="A4" s="2"/>
      <c r="B4" s="2"/>
      <c r="C4" s="4"/>
      <c r="D4" s="2"/>
      <c r="E4" s="5"/>
      <c r="F4" s="6"/>
      <c r="G4" s="6"/>
      <c r="H4" s="6"/>
      <c r="I4" s="6"/>
    </row>
    <row r="5" spans="1:9" ht="17.25" customHeight="1" x14ac:dyDescent="0.2">
      <c r="A5" s="2"/>
      <c r="B5" s="2"/>
      <c r="C5" s="4"/>
      <c r="D5" s="2"/>
      <c r="E5" s="5"/>
      <c r="F5" s="6"/>
      <c r="G5" s="6"/>
      <c r="H5" s="6"/>
      <c r="I5" s="6"/>
    </row>
    <row r="6" spans="1:9" ht="17.25" customHeight="1" x14ac:dyDescent="0.2">
      <c r="A6" s="2"/>
      <c r="B6" s="2"/>
      <c r="C6" s="4"/>
      <c r="D6" s="2"/>
      <c r="E6" s="6"/>
      <c r="F6" s="6"/>
      <c r="G6" s="6"/>
      <c r="H6" s="6"/>
      <c r="I6" s="6"/>
    </row>
    <row r="7" spans="1:9" ht="17.25" customHeight="1" x14ac:dyDescent="0.2">
      <c r="A7" s="2"/>
      <c r="B7" s="2"/>
      <c r="C7" s="2"/>
      <c r="D7" s="2"/>
      <c r="E7" s="2"/>
      <c r="F7" s="2"/>
      <c r="G7" s="2"/>
      <c r="H7" s="2"/>
      <c r="I7" s="2"/>
    </row>
    <row r="8" spans="1:9" ht="45.75" customHeight="1" x14ac:dyDescent="0.2">
      <c r="A8" s="4"/>
      <c r="B8" s="4"/>
      <c r="C8" s="4"/>
      <c r="D8" s="4"/>
      <c r="E8" s="208" t="s">
        <v>30</v>
      </c>
      <c r="F8" s="4"/>
      <c r="G8" s="4"/>
      <c r="H8" s="2"/>
      <c r="I8" s="2"/>
    </row>
    <row r="9" spans="1:9" ht="12" x14ac:dyDescent="0.2">
      <c r="A9" s="2" t="s">
        <v>31</v>
      </c>
      <c r="B9" s="2"/>
      <c r="C9" s="2"/>
      <c r="D9" s="2"/>
      <c r="E9" s="8"/>
      <c r="F9" s="2"/>
      <c r="G9" s="2"/>
      <c r="H9" s="2"/>
      <c r="I9" s="2"/>
    </row>
    <row r="10" spans="1:9" ht="12" x14ac:dyDescent="0.2">
      <c r="A10" s="3" t="s">
        <v>32</v>
      </c>
    </row>
    <row r="11" spans="1:9" ht="12" x14ac:dyDescent="0.2">
      <c r="A11" s="3" t="s">
        <v>33</v>
      </c>
    </row>
    <row r="12" spans="1:9" ht="12" x14ac:dyDescent="0.2">
      <c r="A12" s="3" t="s">
        <v>80</v>
      </c>
    </row>
    <row r="13" spans="1:9" ht="12" x14ac:dyDescent="0.2">
      <c r="A13" s="2" t="s">
        <v>34</v>
      </c>
      <c r="B13" s="9"/>
      <c r="C13" s="9"/>
      <c r="D13" s="9"/>
      <c r="E13" s="9"/>
      <c r="F13" s="9"/>
      <c r="G13" s="9"/>
      <c r="H13" s="9"/>
      <c r="I13" s="9"/>
    </row>
    <row r="14" spans="1:9" ht="12" x14ac:dyDescent="0.2">
      <c r="A14" s="3" t="s">
        <v>35</v>
      </c>
      <c r="B14" s="9"/>
      <c r="C14" s="9"/>
      <c r="D14" s="9"/>
      <c r="E14" s="9"/>
      <c r="F14" s="9"/>
      <c r="G14" s="9"/>
      <c r="H14" s="9"/>
      <c r="I14" s="9"/>
    </row>
    <row r="15" spans="1:9" ht="12" x14ac:dyDescent="0.2">
      <c r="A15" s="3" t="s">
        <v>36</v>
      </c>
      <c r="B15" s="9"/>
      <c r="C15" s="9"/>
      <c r="D15" s="9"/>
      <c r="E15" s="9"/>
      <c r="F15" s="9"/>
      <c r="G15" s="9"/>
      <c r="H15" s="9"/>
      <c r="I15" s="9"/>
    </row>
    <row r="16" spans="1:9" ht="12" x14ac:dyDescent="0.2">
      <c r="A16" s="3" t="s">
        <v>37</v>
      </c>
      <c r="B16" s="9"/>
      <c r="C16" s="9"/>
      <c r="D16" s="9"/>
      <c r="E16" s="9"/>
      <c r="F16" s="9"/>
      <c r="G16" s="9"/>
      <c r="H16" s="9"/>
      <c r="I16" s="9"/>
    </row>
    <row r="17" spans="1:9" ht="12" x14ac:dyDescent="0.2">
      <c r="A17" s="3" t="s">
        <v>38</v>
      </c>
      <c r="B17" s="9"/>
      <c r="C17" s="9"/>
      <c r="D17" s="9"/>
      <c r="E17" s="9"/>
      <c r="F17" s="9"/>
      <c r="G17" s="9"/>
      <c r="H17" s="9"/>
      <c r="I17" s="9"/>
    </row>
    <row r="18" spans="1:9" ht="12" x14ac:dyDescent="0.2">
      <c r="A18" s="3" t="s">
        <v>39</v>
      </c>
      <c r="B18" s="9"/>
      <c r="C18" s="9"/>
      <c r="D18" s="9"/>
      <c r="E18" s="9"/>
      <c r="F18" s="9"/>
      <c r="G18" s="9"/>
      <c r="H18" s="9"/>
      <c r="I18" s="9"/>
    </row>
    <row r="19" spans="1:9" ht="12" x14ac:dyDescent="0.2">
      <c r="A19" s="3" t="s">
        <v>40</v>
      </c>
      <c r="B19" s="9"/>
      <c r="C19" s="9"/>
      <c r="D19" s="9"/>
      <c r="E19" s="9"/>
      <c r="F19" s="9"/>
      <c r="G19" s="9"/>
      <c r="H19" s="9"/>
      <c r="I19" s="9"/>
    </row>
    <row r="20" spans="1:9" ht="12" x14ac:dyDescent="0.2">
      <c r="A20" s="3" t="s">
        <v>41</v>
      </c>
      <c r="B20" s="9"/>
      <c r="C20" s="9"/>
      <c r="D20" s="9"/>
      <c r="E20" s="9"/>
      <c r="F20" s="9"/>
      <c r="G20" s="9"/>
      <c r="H20" s="9"/>
      <c r="I20" s="9"/>
    </row>
    <row r="21" spans="1:9" ht="12" x14ac:dyDescent="0.2">
      <c r="B21" s="9"/>
      <c r="C21" s="9"/>
      <c r="D21" s="9"/>
      <c r="E21" s="9"/>
      <c r="F21" s="9"/>
      <c r="G21" s="9"/>
      <c r="H21" s="9"/>
      <c r="I21" s="9"/>
    </row>
    <row r="22" spans="1:9" ht="12" x14ac:dyDescent="0.2">
      <c r="B22" s="9"/>
      <c r="C22" s="9"/>
      <c r="D22" s="9"/>
      <c r="E22" s="9"/>
      <c r="F22" s="9"/>
      <c r="G22" s="9"/>
      <c r="H22" s="9"/>
      <c r="I22" s="9"/>
    </row>
    <row r="23" spans="1:9" ht="12" x14ac:dyDescent="0.2">
      <c r="B23" s="9"/>
      <c r="C23" s="9"/>
      <c r="D23" s="9"/>
      <c r="E23" s="9"/>
      <c r="F23" s="9"/>
      <c r="G23" s="9"/>
      <c r="H23" s="9"/>
      <c r="I23" s="9"/>
    </row>
    <row r="24" spans="1:9" ht="12" x14ac:dyDescent="0.2"/>
    <row r="25" spans="1:9" ht="12" x14ac:dyDescent="0.2">
      <c r="A25" s="244" t="s">
        <v>81</v>
      </c>
      <c r="B25" s="244"/>
      <c r="C25" s="244"/>
      <c r="D25" s="244"/>
      <c r="E25" s="244"/>
      <c r="F25" s="244"/>
      <c r="G25" s="244"/>
      <c r="H25" s="244"/>
      <c r="I25" s="244"/>
    </row>
    <row r="26" spans="1:9" ht="12" x14ac:dyDescent="0.2">
      <c r="A26" s="244"/>
      <c r="B26" s="244"/>
      <c r="C26" s="244"/>
      <c r="D26" s="244"/>
      <c r="E26" s="244"/>
      <c r="F26" s="244"/>
      <c r="G26" s="244"/>
      <c r="H26" s="244"/>
      <c r="I26" s="244"/>
    </row>
    <row r="27" spans="1:9" ht="12" x14ac:dyDescent="0.2">
      <c r="A27" s="244"/>
      <c r="B27" s="244"/>
      <c r="C27" s="244"/>
      <c r="D27" s="244"/>
      <c r="E27" s="244"/>
      <c r="F27" s="244"/>
      <c r="G27" s="244"/>
      <c r="H27" s="244"/>
      <c r="I27" s="244"/>
    </row>
    <row r="28" spans="1:9" ht="12" x14ac:dyDescent="0.2"/>
    <row r="29" spans="1:9" ht="12" x14ac:dyDescent="0.2">
      <c r="A29" s="10"/>
      <c r="B29" s="10"/>
      <c r="C29" s="11" t="s">
        <v>0</v>
      </c>
      <c r="D29" s="10" t="s">
        <v>162</v>
      </c>
      <c r="E29" s="10"/>
      <c r="F29" s="10"/>
      <c r="G29" s="10"/>
      <c r="H29" s="10"/>
    </row>
  </sheetData>
  <mergeCells count="1">
    <mergeCell ref="A25:I27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71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11" width="9.140625" style="38"/>
    <col min="12" max="12" width="10" style="38" bestFit="1" customWidth="1"/>
    <col min="13" max="256" width="9.140625" style="38"/>
    <col min="257" max="257" width="21.7109375" style="38" customWidth="1"/>
    <col min="258" max="258" width="9.7109375" style="38" customWidth="1"/>
    <col min="259" max="261" width="9.140625" style="38"/>
    <col min="262" max="262" width="10.7109375" style="38" customWidth="1"/>
    <col min="263" max="263" width="9.5703125" style="38" customWidth="1"/>
    <col min="264" max="512" width="9.140625" style="38"/>
    <col min="513" max="513" width="21.7109375" style="38" customWidth="1"/>
    <col min="514" max="514" width="9.7109375" style="38" customWidth="1"/>
    <col min="515" max="517" width="9.140625" style="38"/>
    <col min="518" max="518" width="10.7109375" style="38" customWidth="1"/>
    <col min="519" max="519" width="9.5703125" style="38" customWidth="1"/>
    <col min="520" max="768" width="9.140625" style="38"/>
    <col min="769" max="769" width="21.7109375" style="38" customWidth="1"/>
    <col min="770" max="770" width="9.7109375" style="38" customWidth="1"/>
    <col min="771" max="773" width="9.140625" style="38"/>
    <col min="774" max="774" width="10.7109375" style="38" customWidth="1"/>
    <col min="775" max="775" width="9.5703125" style="38" customWidth="1"/>
    <col min="776" max="1024" width="9.140625" style="38"/>
    <col min="1025" max="1025" width="21.7109375" style="38" customWidth="1"/>
    <col min="1026" max="1026" width="9.7109375" style="38" customWidth="1"/>
    <col min="1027" max="1029" width="9.140625" style="38"/>
    <col min="1030" max="1030" width="10.7109375" style="38" customWidth="1"/>
    <col min="1031" max="1031" width="9.5703125" style="38" customWidth="1"/>
    <col min="1032" max="1280" width="9.140625" style="38"/>
    <col min="1281" max="1281" width="21.7109375" style="38" customWidth="1"/>
    <col min="1282" max="1282" width="9.7109375" style="38" customWidth="1"/>
    <col min="1283" max="1285" width="9.140625" style="38"/>
    <col min="1286" max="1286" width="10.7109375" style="38" customWidth="1"/>
    <col min="1287" max="1287" width="9.5703125" style="38" customWidth="1"/>
    <col min="1288" max="1536" width="9.140625" style="38"/>
    <col min="1537" max="1537" width="21.7109375" style="38" customWidth="1"/>
    <col min="1538" max="1538" width="9.7109375" style="38" customWidth="1"/>
    <col min="1539" max="1541" width="9.140625" style="38"/>
    <col min="1542" max="1542" width="10.7109375" style="38" customWidth="1"/>
    <col min="1543" max="1543" width="9.5703125" style="38" customWidth="1"/>
    <col min="1544" max="1792" width="9.140625" style="38"/>
    <col min="1793" max="1793" width="21.7109375" style="38" customWidth="1"/>
    <col min="1794" max="1794" width="9.7109375" style="38" customWidth="1"/>
    <col min="1795" max="1797" width="9.140625" style="38"/>
    <col min="1798" max="1798" width="10.7109375" style="38" customWidth="1"/>
    <col min="1799" max="1799" width="9.5703125" style="38" customWidth="1"/>
    <col min="1800" max="2048" width="9.140625" style="38"/>
    <col min="2049" max="2049" width="21.7109375" style="38" customWidth="1"/>
    <col min="2050" max="2050" width="9.7109375" style="38" customWidth="1"/>
    <col min="2051" max="2053" width="9.140625" style="38"/>
    <col min="2054" max="2054" width="10.7109375" style="38" customWidth="1"/>
    <col min="2055" max="2055" width="9.5703125" style="38" customWidth="1"/>
    <col min="2056" max="2304" width="9.140625" style="38"/>
    <col min="2305" max="2305" width="21.7109375" style="38" customWidth="1"/>
    <col min="2306" max="2306" width="9.7109375" style="38" customWidth="1"/>
    <col min="2307" max="2309" width="9.140625" style="38"/>
    <col min="2310" max="2310" width="10.7109375" style="38" customWidth="1"/>
    <col min="2311" max="2311" width="9.5703125" style="38" customWidth="1"/>
    <col min="2312" max="2560" width="9.140625" style="38"/>
    <col min="2561" max="2561" width="21.7109375" style="38" customWidth="1"/>
    <col min="2562" max="2562" width="9.7109375" style="38" customWidth="1"/>
    <col min="2563" max="2565" width="9.140625" style="38"/>
    <col min="2566" max="2566" width="10.7109375" style="38" customWidth="1"/>
    <col min="2567" max="2567" width="9.5703125" style="38" customWidth="1"/>
    <col min="2568" max="2816" width="9.140625" style="38"/>
    <col min="2817" max="2817" width="21.7109375" style="38" customWidth="1"/>
    <col min="2818" max="2818" width="9.7109375" style="38" customWidth="1"/>
    <col min="2819" max="2821" width="9.140625" style="38"/>
    <col min="2822" max="2822" width="10.7109375" style="38" customWidth="1"/>
    <col min="2823" max="2823" width="9.5703125" style="38" customWidth="1"/>
    <col min="2824" max="3072" width="9.140625" style="38"/>
    <col min="3073" max="3073" width="21.7109375" style="38" customWidth="1"/>
    <col min="3074" max="3074" width="9.7109375" style="38" customWidth="1"/>
    <col min="3075" max="3077" width="9.140625" style="38"/>
    <col min="3078" max="3078" width="10.7109375" style="38" customWidth="1"/>
    <col min="3079" max="3079" width="9.5703125" style="38" customWidth="1"/>
    <col min="3080" max="3328" width="9.140625" style="38"/>
    <col min="3329" max="3329" width="21.7109375" style="38" customWidth="1"/>
    <col min="3330" max="3330" width="9.7109375" style="38" customWidth="1"/>
    <col min="3331" max="3333" width="9.140625" style="38"/>
    <col min="3334" max="3334" width="10.7109375" style="38" customWidth="1"/>
    <col min="3335" max="3335" width="9.5703125" style="38" customWidth="1"/>
    <col min="3336" max="3584" width="9.140625" style="38"/>
    <col min="3585" max="3585" width="21.7109375" style="38" customWidth="1"/>
    <col min="3586" max="3586" width="9.7109375" style="38" customWidth="1"/>
    <col min="3587" max="3589" width="9.140625" style="38"/>
    <col min="3590" max="3590" width="10.7109375" style="38" customWidth="1"/>
    <col min="3591" max="3591" width="9.5703125" style="38" customWidth="1"/>
    <col min="3592" max="3840" width="9.140625" style="38"/>
    <col min="3841" max="3841" width="21.7109375" style="38" customWidth="1"/>
    <col min="3842" max="3842" width="9.7109375" style="38" customWidth="1"/>
    <col min="3843" max="3845" width="9.140625" style="38"/>
    <col min="3846" max="3846" width="10.7109375" style="38" customWidth="1"/>
    <col min="3847" max="3847" width="9.5703125" style="38" customWidth="1"/>
    <col min="3848" max="4096" width="9.140625" style="38"/>
    <col min="4097" max="4097" width="21.7109375" style="38" customWidth="1"/>
    <col min="4098" max="4098" width="9.7109375" style="38" customWidth="1"/>
    <col min="4099" max="4101" width="9.140625" style="38"/>
    <col min="4102" max="4102" width="10.7109375" style="38" customWidth="1"/>
    <col min="4103" max="4103" width="9.5703125" style="38" customWidth="1"/>
    <col min="4104" max="4352" width="9.140625" style="38"/>
    <col min="4353" max="4353" width="21.7109375" style="38" customWidth="1"/>
    <col min="4354" max="4354" width="9.7109375" style="38" customWidth="1"/>
    <col min="4355" max="4357" width="9.140625" style="38"/>
    <col min="4358" max="4358" width="10.7109375" style="38" customWidth="1"/>
    <col min="4359" max="4359" width="9.5703125" style="38" customWidth="1"/>
    <col min="4360" max="4608" width="9.140625" style="38"/>
    <col min="4609" max="4609" width="21.7109375" style="38" customWidth="1"/>
    <col min="4610" max="4610" width="9.7109375" style="38" customWidth="1"/>
    <col min="4611" max="4613" width="9.140625" style="38"/>
    <col min="4614" max="4614" width="10.7109375" style="38" customWidth="1"/>
    <col min="4615" max="4615" width="9.5703125" style="38" customWidth="1"/>
    <col min="4616" max="4864" width="9.140625" style="38"/>
    <col min="4865" max="4865" width="21.7109375" style="38" customWidth="1"/>
    <col min="4866" max="4866" width="9.7109375" style="38" customWidth="1"/>
    <col min="4867" max="4869" width="9.140625" style="38"/>
    <col min="4870" max="4870" width="10.7109375" style="38" customWidth="1"/>
    <col min="4871" max="4871" width="9.5703125" style="38" customWidth="1"/>
    <col min="4872" max="5120" width="9.140625" style="38"/>
    <col min="5121" max="5121" width="21.7109375" style="38" customWidth="1"/>
    <col min="5122" max="5122" width="9.7109375" style="38" customWidth="1"/>
    <col min="5123" max="5125" width="9.140625" style="38"/>
    <col min="5126" max="5126" width="10.7109375" style="38" customWidth="1"/>
    <col min="5127" max="5127" width="9.5703125" style="38" customWidth="1"/>
    <col min="5128" max="5376" width="9.140625" style="38"/>
    <col min="5377" max="5377" width="21.7109375" style="38" customWidth="1"/>
    <col min="5378" max="5378" width="9.7109375" style="38" customWidth="1"/>
    <col min="5379" max="5381" width="9.140625" style="38"/>
    <col min="5382" max="5382" width="10.7109375" style="38" customWidth="1"/>
    <col min="5383" max="5383" width="9.5703125" style="38" customWidth="1"/>
    <col min="5384" max="5632" width="9.140625" style="38"/>
    <col min="5633" max="5633" width="21.7109375" style="38" customWidth="1"/>
    <col min="5634" max="5634" width="9.7109375" style="38" customWidth="1"/>
    <col min="5635" max="5637" width="9.140625" style="38"/>
    <col min="5638" max="5638" width="10.7109375" style="38" customWidth="1"/>
    <col min="5639" max="5639" width="9.5703125" style="38" customWidth="1"/>
    <col min="5640" max="5888" width="9.140625" style="38"/>
    <col min="5889" max="5889" width="21.7109375" style="38" customWidth="1"/>
    <col min="5890" max="5890" width="9.7109375" style="38" customWidth="1"/>
    <col min="5891" max="5893" width="9.140625" style="38"/>
    <col min="5894" max="5894" width="10.7109375" style="38" customWidth="1"/>
    <col min="5895" max="5895" width="9.5703125" style="38" customWidth="1"/>
    <col min="5896" max="6144" width="9.140625" style="38"/>
    <col min="6145" max="6145" width="21.7109375" style="38" customWidth="1"/>
    <col min="6146" max="6146" width="9.7109375" style="38" customWidth="1"/>
    <col min="6147" max="6149" width="9.140625" style="38"/>
    <col min="6150" max="6150" width="10.7109375" style="38" customWidth="1"/>
    <col min="6151" max="6151" width="9.5703125" style="38" customWidth="1"/>
    <col min="6152" max="6400" width="9.140625" style="38"/>
    <col min="6401" max="6401" width="21.7109375" style="38" customWidth="1"/>
    <col min="6402" max="6402" width="9.7109375" style="38" customWidth="1"/>
    <col min="6403" max="6405" width="9.140625" style="38"/>
    <col min="6406" max="6406" width="10.7109375" style="38" customWidth="1"/>
    <col min="6407" max="6407" width="9.5703125" style="38" customWidth="1"/>
    <col min="6408" max="6656" width="9.140625" style="38"/>
    <col min="6657" max="6657" width="21.7109375" style="38" customWidth="1"/>
    <col min="6658" max="6658" width="9.7109375" style="38" customWidth="1"/>
    <col min="6659" max="6661" width="9.140625" style="38"/>
    <col min="6662" max="6662" width="10.7109375" style="38" customWidth="1"/>
    <col min="6663" max="6663" width="9.5703125" style="38" customWidth="1"/>
    <col min="6664" max="6912" width="9.140625" style="38"/>
    <col min="6913" max="6913" width="21.7109375" style="38" customWidth="1"/>
    <col min="6914" max="6914" width="9.7109375" style="38" customWidth="1"/>
    <col min="6915" max="6917" width="9.140625" style="38"/>
    <col min="6918" max="6918" width="10.7109375" style="38" customWidth="1"/>
    <col min="6919" max="6919" width="9.5703125" style="38" customWidth="1"/>
    <col min="6920" max="7168" width="9.140625" style="38"/>
    <col min="7169" max="7169" width="21.7109375" style="38" customWidth="1"/>
    <col min="7170" max="7170" width="9.7109375" style="38" customWidth="1"/>
    <col min="7171" max="7173" width="9.140625" style="38"/>
    <col min="7174" max="7174" width="10.7109375" style="38" customWidth="1"/>
    <col min="7175" max="7175" width="9.5703125" style="38" customWidth="1"/>
    <col min="7176" max="7424" width="9.140625" style="38"/>
    <col min="7425" max="7425" width="21.7109375" style="38" customWidth="1"/>
    <col min="7426" max="7426" width="9.7109375" style="38" customWidth="1"/>
    <col min="7427" max="7429" width="9.140625" style="38"/>
    <col min="7430" max="7430" width="10.7109375" style="38" customWidth="1"/>
    <col min="7431" max="7431" width="9.5703125" style="38" customWidth="1"/>
    <col min="7432" max="7680" width="9.140625" style="38"/>
    <col min="7681" max="7681" width="21.7109375" style="38" customWidth="1"/>
    <col min="7682" max="7682" width="9.7109375" style="38" customWidth="1"/>
    <col min="7683" max="7685" width="9.140625" style="38"/>
    <col min="7686" max="7686" width="10.7109375" style="38" customWidth="1"/>
    <col min="7687" max="7687" width="9.5703125" style="38" customWidth="1"/>
    <col min="7688" max="7936" width="9.140625" style="38"/>
    <col min="7937" max="7937" width="21.7109375" style="38" customWidth="1"/>
    <col min="7938" max="7938" width="9.7109375" style="38" customWidth="1"/>
    <col min="7939" max="7941" width="9.140625" style="38"/>
    <col min="7942" max="7942" width="10.7109375" style="38" customWidth="1"/>
    <col min="7943" max="7943" width="9.5703125" style="38" customWidth="1"/>
    <col min="7944" max="8192" width="9.140625" style="38"/>
    <col min="8193" max="8193" width="21.7109375" style="38" customWidth="1"/>
    <col min="8194" max="8194" width="9.7109375" style="38" customWidth="1"/>
    <col min="8195" max="8197" width="9.140625" style="38"/>
    <col min="8198" max="8198" width="10.7109375" style="38" customWidth="1"/>
    <col min="8199" max="8199" width="9.5703125" style="38" customWidth="1"/>
    <col min="8200" max="8448" width="9.140625" style="38"/>
    <col min="8449" max="8449" width="21.7109375" style="38" customWidth="1"/>
    <col min="8450" max="8450" width="9.7109375" style="38" customWidth="1"/>
    <col min="8451" max="8453" width="9.140625" style="38"/>
    <col min="8454" max="8454" width="10.7109375" style="38" customWidth="1"/>
    <col min="8455" max="8455" width="9.5703125" style="38" customWidth="1"/>
    <col min="8456" max="8704" width="9.140625" style="38"/>
    <col min="8705" max="8705" width="21.7109375" style="38" customWidth="1"/>
    <col min="8706" max="8706" width="9.7109375" style="38" customWidth="1"/>
    <col min="8707" max="8709" width="9.140625" style="38"/>
    <col min="8710" max="8710" width="10.7109375" style="38" customWidth="1"/>
    <col min="8711" max="8711" width="9.5703125" style="38" customWidth="1"/>
    <col min="8712" max="8960" width="9.140625" style="38"/>
    <col min="8961" max="8961" width="21.7109375" style="38" customWidth="1"/>
    <col min="8962" max="8962" width="9.7109375" style="38" customWidth="1"/>
    <col min="8963" max="8965" width="9.140625" style="38"/>
    <col min="8966" max="8966" width="10.7109375" style="38" customWidth="1"/>
    <col min="8967" max="8967" width="9.5703125" style="38" customWidth="1"/>
    <col min="8968" max="9216" width="9.140625" style="38"/>
    <col min="9217" max="9217" width="21.7109375" style="38" customWidth="1"/>
    <col min="9218" max="9218" width="9.7109375" style="38" customWidth="1"/>
    <col min="9219" max="9221" width="9.140625" style="38"/>
    <col min="9222" max="9222" width="10.7109375" style="38" customWidth="1"/>
    <col min="9223" max="9223" width="9.5703125" style="38" customWidth="1"/>
    <col min="9224" max="9472" width="9.140625" style="38"/>
    <col min="9473" max="9473" width="21.7109375" style="38" customWidth="1"/>
    <col min="9474" max="9474" width="9.7109375" style="38" customWidth="1"/>
    <col min="9475" max="9477" width="9.140625" style="38"/>
    <col min="9478" max="9478" width="10.7109375" style="38" customWidth="1"/>
    <col min="9479" max="9479" width="9.5703125" style="38" customWidth="1"/>
    <col min="9480" max="9728" width="9.140625" style="38"/>
    <col min="9729" max="9729" width="21.7109375" style="38" customWidth="1"/>
    <col min="9730" max="9730" width="9.7109375" style="38" customWidth="1"/>
    <col min="9731" max="9733" width="9.140625" style="38"/>
    <col min="9734" max="9734" width="10.7109375" style="38" customWidth="1"/>
    <col min="9735" max="9735" width="9.5703125" style="38" customWidth="1"/>
    <col min="9736" max="9984" width="9.140625" style="38"/>
    <col min="9985" max="9985" width="21.7109375" style="38" customWidth="1"/>
    <col min="9986" max="9986" width="9.7109375" style="38" customWidth="1"/>
    <col min="9987" max="9989" width="9.140625" style="38"/>
    <col min="9990" max="9990" width="10.7109375" style="38" customWidth="1"/>
    <col min="9991" max="9991" width="9.5703125" style="38" customWidth="1"/>
    <col min="9992" max="10240" width="9.140625" style="38"/>
    <col min="10241" max="10241" width="21.7109375" style="38" customWidth="1"/>
    <col min="10242" max="10242" width="9.7109375" style="38" customWidth="1"/>
    <col min="10243" max="10245" width="9.140625" style="38"/>
    <col min="10246" max="10246" width="10.7109375" style="38" customWidth="1"/>
    <col min="10247" max="10247" width="9.5703125" style="38" customWidth="1"/>
    <col min="10248" max="10496" width="9.140625" style="38"/>
    <col min="10497" max="10497" width="21.7109375" style="38" customWidth="1"/>
    <col min="10498" max="10498" width="9.7109375" style="38" customWidth="1"/>
    <col min="10499" max="10501" width="9.140625" style="38"/>
    <col min="10502" max="10502" width="10.7109375" style="38" customWidth="1"/>
    <col min="10503" max="10503" width="9.5703125" style="38" customWidth="1"/>
    <col min="10504" max="10752" width="9.140625" style="38"/>
    <col min="10753" max="10753" width="21.7109375" style="38" customWidth="1"/>
    <col min="10754" max="10754" width="9.7109375" style="38" customWidth="1"/>
    <col min="10755" max="10757" width="9.140625" style="38"/>
    <col min="10758" max="10758" width="10.7109375" style="38" customWidth="1"/>
    <col min="10759" max="10759" width="9.5703125" style="38" customWidth="1"/>
    <col min="10760" max="11008" width="9.140625" style="38"/>
    <col min="11009" max="11009" width="21.7109375" style="38" customWidth="1"/>
    <col min="11010" max="11010" width="9.7109375" style="38" customWidth="1"/>
    <col min="11011" max="11013" width="9.140625" style="38"/>
    <col min="11014" max="11014" width="10.7109375" style="38" customWidth="1"/>
    <col min="11015" max="11015" width="9.5703125" style="38" customWidth="1"/>
    <col min="11016" max="11264" width="9.140625" style="38"/>
    <col min="11265" max="11265" width="21.7109375" style="38" customWidth="1"/>
    <col min="11266" max="11266" width="9.7109375" style="38" customWidth="1"/>
    <col min="11267" max="11269" width="9.140625" style="38"/>
    <col min="11270" max="11270" width="10.7109375" style="38" customWidth="1"/>
    <col min="11271" max="11271" width="9.5703125" style="38" customWidth="1"/>
    <col min="11272" max="11520" width="9.140625" style="38"/>
    <col min="11521" max="11521" width="21.7109375" style="38" customWidth="1"/>
    <col min="11522" max="11522" width="9.7109375" style="38" customWidth="1"/>
    <col min="11523" max="11525" width="9.140625" style="38"/>
    <col min="11526" max="11526" width="10.7109375" style="38" customWidth="1"/>
    <col min="11527" max="11527" width="9.5703125" style="38" customWidth="1"/>
    <col min="11528" max="11776" width="9.140625" style="38"/>
    <col min="11777" max="11777" width="21.7109375" style="38" customWidth="1"/>
    <col min="11778" max="11778" width="9.7109375" style="38" customWidth="1"/>
    <col min="11779" max="11781" width="9.140625" style="38"/>
    <col min="11782" max="11782" width="10.7109375" style="38" customWidth="1"/>
    <col min="11783" max="11783" width="9.5703125" style="38" customWidth="1"/>
    <col min="11784" max="12032" width="9.140625" style="38"/>
    <col min="12033" max="12033" width="21.7109375" style="38" customWidth="1"/>
    <col min="12034" max="12034" width="9.7109375" style="38" customWidth="1"/>
    <col min="12035" max="12037" width="9.140625" style="38"/>
    <col min="12038" max="12038" width="10.7109375" style="38" customWidth="1"/>
    <col min="12039" max="12039" width="9.5703125" style="38" customWidth="1"/>
    <col min="12040" max="12288" width="9.140625" style="38"/>
    <col min="12289" max="12289" width="21.7109375" style="38" customWidth="1"/>
    <col min="12290" max="12290" width="9.7109375" style="38" customWidth="1"/>
    <col min="12291" max="12293" width="9.140625" style="38"/>
    <col min="12294" max="12294" width="10.7109375" style="38" customWidth="1"/>
    <col min="12295" max="12295" width="9.5703125" style="38" customWidth="1"/>
    <col min="12296" max="12544" width="9.140625" style="38"/>
    <col min="12545" max="12545" width="21.7109375" style="38" customWidth="1"/>
    <col min="12546" max="12546" width="9.7109375" style="38" customWidth="1"/>
    <col min="12547" max="12549" width="9.140625" style="38"/>
    <col min="12550" max="12550" width="10.7109375" style="38" customWidth="1"/>
    <col min="12551" max="12551" width="9.5703125" style="38" customWidth="1"/>
    <col min="12552" max="12800" width="9.140625" style="38"/>
    <col min="12801" max="12801" width="21.7109375" style="38" customWidth="1"/>
    <col min="12802" max="12802" width="9.7109375" style="38" customWidth="1"/>
    <col min="12803" max="12805" width="9.140625" style="38"/>
    <col min="12806" max="12806" width="10.7109375" style="38" customWidth="1"/>
    <col min="12807" max="12807" width="9.5703125" style="38" customWidth="1"/>
    <col min="12808" max="13056" width="9.140625" style="38"/>
    <col min="13057" max="13057" width="21.7109375" style="38" customWidth="1"/>
    <col min="13058" max="13058" width="9.7109375" style="38" customWidth="1"/>
    <col min="13059" max="13061" width="9.140625" style="38"/>
    <col min="13062" max="13062" width="10.7109375" style="38" customWidth="1"/>
    <col min="13063" max="13063" width="9.5703125" style="38" customWidth="1"/>
    <col min="13064" max="13312" width="9.140625" style="38"/>
    <col min="13313" max="13313" width="21.7109375" style="38" customWidth="1"/>
    <col min="13314" max="13314" width="9.7109375" style="38" customWidth="1"/>
    <col min="13315" max="13317" width="9.140625" style="38"/>
    <col min="13318" max="13318" width="10.7109375" style="38" customWidth="1"/>
    <col min="13319" max="13319" width="9.5703125" style="38" customWidth="1"/>
    <col min="13320" max="13568" width="9.140625" style="38"/>
    <col min="13569" max="13569" width="21.7109375" style="38" customWidth="1"/>
    <col min="13570" max="13570" width="9.7109375" style="38" customWidth="1"/>
    <col min="13571" max="13573" width="9.140625" style="38"/>
    <col min="13574" max="13574" width="10.7109375" style="38" customWidth="1"/>
    <col min="13575" max="13575" width="9.5703125" style="38" customWidth="1"/>
    <col min="13576" max="13824" width="9.140625" style="38"/>
    <col min="13825" max="13825" width="21.7109375" style="38" customWidth="1"/>
    <col min="13826" max="13826" width="9.7109375" style="38" customWidth="1"/>
    <col min="13827" max="13829" width="9.140625" style="38"/>
    <col min="13830" max="13830" width="10.7109375" style="38" customWidth="1"/>
    <col min="13831" max="13831" width="9.5703125" style="38" customWidth="1"/>
    <col min="13832" max="14080" width="9.140625" style="38"/>
    <col min="14081" max="14081" width="21.7109375" style="38" customWidth="1"/>
    <col min="14082" max="14082" width="9.7109375" style="38" customWidth="1"/>
    <col min="14083" max="14085" width="9.140625" style="38"/>
    <col min="14086" max="14086" width="10.7109375" style="38" customWidth="1"/>
    <col min="14087" max="14087" width="9.5703125" style="38" customWidth="1"/>
    <col min="14088" max="14336" width="9.140625" style="38"/>
    <col min="14337" max="14337" width="21.7109375" style="38" customWidth="1"/>
    <col min="14338" max="14338" width="9.7109375" style="38" customWidth="1"/>
    <col min="14339" max="14341" width="9.140625" style="38"/>
    <col min="14342" max="14342" width="10.7109375" style="38" customWidth="1"/>
    <col min="14343" max="14343" width="9.5703125" style="38" customWidth="1"/>
    <col min="14344" max="14592" width="9.140625" style="38"/>
    <col min="14593" max="14593" width="21.7109375" style="38" customWidth="1"/>
    <col min="14594" max="14594" width="9.7109375" style="38" customWidth="1"/>
    <col min="14595" max="14597" width="9.140625" style="38"/>
    <col min="14598" max="14598" width="10.7109375" style="38" customWidth="1"/>
    <col min="14599" max="14599" width="9.5703125" style="38" customWidth="1"/>
    <col min="14600" max="14848" width="9.140625" style="38"/>
    <col min="14849" max="14849" width="21.7109375" style="38" customWidth="1"/>
    <col min="14850" max="14850" width="9.7109375" style="38" customWidth="1"/>
    <col min="14851" max="14853" width="9.140625" style="38"/>
    <col min="14854" max="14854" width="10.7109375" style="38" customWidth="1"/>
    <col min="14855" max="14855" width="9.5703125" style="38" customWidth="1"/>
    <col min="14856" max="15104" width="9.140625" style="38"/>
    <col min="15105" max="15105" width="21.7109375" style="38" customWidth="1"/>
    <col min="15106" max="15106" width="9.7109375" style="38" customWidth="1"/>
    <col min="15107" max="15109" width="9.140625" style="38"/>
    <col min="15110" max="15110" width="10.7109375" style="38" customWidth="1"/>
    <col min="15111" max="15111" width="9.5703125" style="38" customWidth="1"/>
    <col min="15112" max="15360" width="9.140625" style="38"/>
    <col min="15361" max="15361" width="21.7109375" style="38" customWidth="1"/>
    <col min="15362" max="15362" width="9.7109375" style="38" customWidth="1"/>
    <col min="15363" max="15365" width="9.140625" style="38"/>
    <col min="15366" max="15366" width="10.7109375" style="38" customWidth="1"/>
    <col min="15367" max="15367" width="9.5703125" style="38" customWidth="1"/>
    <col min="15368" max="15616" width="9.140625" style="38"/>
    <col min="15617" max="15617" width="21.7109375" style="38" customWidth="1"/>
    <col min="15618" max="15618" width="9.7109375" style="38" customWidth="1"/>
    <col min="15619" max="15621" width="9.140625" style="38"/>
    <col min="15622" max="15622" width="10.7109375" style="38" customWidth="1"/>
    <col min="15623" max="15623" width="9.5703125" style="38" customWidth="1"/>
    <col min="15624" max="15872" width="9.140625" style="38"/>
    <col min="15873" max="15873" width="21.7109375" style="38" customWidth="1"/>
    <col min="15874" max="15874" width="9.7109375" style="38" customWidth="1"/>
    <col min="15875" max="15877" width="9.140625" style="38"/>
    <col min="15878" max="15878" width="10.7109375" style="38" customWidth="1"/>
    <col min="15879" max="15879" width="9.5703125" style="38" customWidth="1"/>
    <col min="15880" max="16128" width="9.140625" style="38"/>
    <col min="16129" max="16129" width="21.7109375" style="38" customWidth="1"/>
    <col min="16130" max="16130" width="9.7109375" style="38" customWidth="1"/>
    <col min="16131" max="16133" width="9.140625" style="38"/>
    <col min="16134" max="16134" width="10.7109375" style="38" customWidth="1"/>
    <col min="16135" max="16135" width="9.5703125" style="38" customWidth="1"/>
    <col min="16136" max="16384" width="9.140625" style="38"/>
  </cols>
  <sheetData>
    <row r="1" spans="1:13" ht="15.75" x14ac:dyDescent="0.25">
      <c r="A1" s="52" t="s">
        <v>42</v>
      </c>
      <c r="F1" s="37"/>
      <c r="G1" s="37"/>
    </row>
    <row r="2" spans="1:13" x14ac:dyDescent="0.2">
      <c r="F2" s="37"/>
      <c r="G2" s="37"/>
    </row>
    <row r="3" spans="1:13" ht="48" x14ac:dyDescent="0.2">
      <c r="A3" s="54">
        <v>2011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71" t="s">
        <v>49</v>
      </c>
    </row>
    <row r="4" spans="1:13" x14ac:dyDescent="0.2">
      <c r="A4" s="59" t="s">
        <v>74</v>
      </c>
      <c r="B4" s="130">
        <v>377.72699999999998</v>
      </c>
      <c r="C4" s="131"/>
      <c r="D4" s="132"/>
      <c r="E4" s="133">
        <v>0.112532588770605</v>
      </c>
      <c r="F4" s="130">
        <v>105.94</v>
      </c>
      <c r="G4" s="134">
        <v>2994.0570000000012</v>
      </c>
      <c r="H4" s="135"/>
      <c r="I4" s="135"/>
      <c r="J4" s="136">
        <v>265.76</v>
      </c>
    </row>
    <row r="5" spans="1:13" x14ac:dyDescent="0.2">
      <c r="A5" s="61" t="s">
        <v>3</v>
      </c>
      <c r="B5" s="137">
        <v>14.459</v>
      </c>
      <c r="C5" s="138">
        <v>0.61684763814924959</v>
      </c>
      <c r="D5" s="139">
        <v>0.38315236185075041</v>
      </c>
      <c r="E5" s="140">
        <v>0.16035622393753882</v>
      </c>
      <c r="F5" s="137">
        <v>2.629</v>
      </c>
      <c r="G5" s="141">
        <v>93.718999999999994</v>
      </c>
      <c r="H5" s="142">
        <v>0.27997524514772887</v>
      </c>
      <c r="I5" s="142">
        <v>0.72002475485227113</v>
      </c>
      <c r="J5" s="143">
        <v>5.1909999999999998</v>
      </c>
      <c r="L5" s="41"/>
      <c r="M5" s="43"/>
    </row>
    <row r="6" spans="1:13" x14ac:dyDescent="0.2">
      <c r="A6" s="63" t="s">
        <v>4</v>
      </c>
      <c r="B6" s="117">
        <v>3.3860000000000001</v>
      </c>
      <c r="C6" s="118">
        <v>0.97932663910218543</v>
      </c>
      <c r="D6" s="119">
        <v>2.0673360897814529E-2</v>
      </c>
      <c r="E6" s="120">
        <v>6.6657479772427503E-2</v>
      </c>
      <c r="F6" s="117">
        <v>1.129</v>
      </c>
      <c r="G6" s="121">
        <v>38.520000000000003</v>
      </c>
      <c r="H6" s="122">
        <v>0.99182242990654201</v>
      </c>
      <c r="I6" s="122">
        <v>8.1775700934579431E-3</v>
      </c>
      <c r="J6" s="123">
        <v>4.1470000000000002</v>
      </c>
    </row>
    <row r="7" spans="1:13" x14ac:dyDescent="0.2">
      <c r="A7" s="63" t="s">
        <v>6</v>
      </c>
      <c r="B7" s="117">
        <v>11.183999999999999</v>
      </c>
      <c r="C7" s="118">
        <v>0.73533619456366239</v>
      </c>
      <c r="D7" s="119">
        <v>0.26466380543633761</v>
      </c>
      <c r="E7" s="120">
        <v>0.127884373499211</v>
      </c>
      <c r="F7" s="117">
        <v>4.657</v>
      </c>
      <c r="G7" s="121">
        <v>121.111</v>
      </c>
      <c r="H7" s="122">
        <v>0.64772811718175893</v>
      </c>
      <c r="I7" s="122">
        <v>0.35227188281824112</v>
      </c>
      <c r="J7" s="123">
        <v>23.398</v>
      </c>
    </row>
    <row r="8" spans="1:13" x14ac:dyDescent="0.2">
      <c r="A8" s="63" t="s">
        <v>8</v>
      </c>
      <c r="B8" s="117">
        <v>16.265999999999998</v>
      </c>
      <c r="C8" s="118">
        <v>0.87175703922291892</v>
      </c>
      <c r="D8" s="119">
        <v>0.12824296077708103</v>
      </c>
      <c r="E8" s="120">
        <v>0.46248329589718801</v>
      </c>
      <c r="F8" s="117">
        <v>5.5289999999999999</v>
      </c>
      <c r="G8" s="121">
        <v>108.131</v>
      </c>
      <c r="H8" s="122">
        <v>0.75691522320148708</v>
      </c>
      <c r="I8" s="122">
        <v>0.24308477679851292</v>
      </c>
      <c r="J8" s="123">
        <v>9.7750000000000004</v>
      </c>
    </row>
    <row r="9" spans="1:13" x14ac:dyDescent="0.2">
      <c r="A9" s="63" t="s">
        <v>7</v>
      </c>
      <c r="B9" s="117">
        <v>79.563999999999993</v>
      </c>
      <c r="C9" s="118">
        <v>0.64265245588457087</v>
      </c>
      <c r="D9" s="119">
        <v>0.35734754411542907</v>
      </c>
      <c r="E9" s="120">
        <v>0.13067507132076028</v>
      </c>
      <c r="F9" s="117">
        <v>26.613</v>
      </c>
      <c r="G9" s="121">
        <v>638.85699999999997</v>
      </c>
      <c r="H9" s="122">
        <v>0.52436617271157704</v>
      </c>
      <c r="I9" s="122">
        <v>0.47563382728842291</v>
      </c>
      <c r="J9" s="123">
        <v>65.962999999999994</v>
      </c>
    </row>
    <row r="10" spans="1:13" x14ac:dyDescent="0.2">
      <c r="A10" s="63" t="s">
        <v>51</v>
      </c>
      <c r="B10" s="117">
        <v>1.335</v>
      </c>
      <c r="C10" s="118">
        <v>0.92808988764044942</v>
      </c>
      <c r="D10" s="119">
        <v>7.1910112359550568E-2</v>
      </c>
      <c r="E10" s="120">
        <v>0.10354455906305747</v>
      </c>
      <c r="F10" s="117">
        <v>0.44700000000000001</v>
      </c>
      <c r="G10" s="121">
        <v>12.32</v>
      </c>
      <c r="H10" s="122">
        <v>0.83206168831168836</v>
      </c>
      <c r="I10" s="122">
        <v>0.16793831168831169</v>
      </c>
      <c r="J10" s="123">
        <v>1.468</v>
      </c>
    </row>
    <row r="11" spans="1:13" x14ac:dyDescent="0.2">
      <c r="A11" s="63" t="s">
        <v>16</v>
      </c>
      <c r="B11" s="117">
        <v>1.9450000000000001</v>
      </c>
      <c r="C11" s="118">
        <v>0</v>
      </c>
      <c r="D11" s="119">
        <v>1</v>
      </c>
      <c r="E11" s="120">
        <v>7.0783899847150444E-2</v>
      </c>
      <c r="F11" s="117">
        <v>0.30299999999999999</v>
      </c>
      <c r="G11" s="121">
        <v>11.034000000000001</v>
      </c>
      <c r="H11" s="122">
        <v>0</v>
      </c>
      <c r="I11" s="122">
        <v>1</v>
      </c>
      <c r="J11" s="123">
        <v>0.68200000000000005</v>
      </c>
    </row>
    <row r="12" spans="1:13" x14ac:dyDescent="0.2">
      <c r="A12" s="63" t="s">
        <v>10</v>
      </c>
      <c r="B12" s="117">
        <v>2.6709999999999998</v>
      </c>
      <c r="C12" s="118">
        <v>0.11606140022463497</v>
      </c>
      <c r="D12" s="119">
        <v>0.88393859977536504</v>
      </c>
      <c r="E12" s="120">
        <v>4.4939094151692574E-2</v>
      </c>
      <c r="F12" s="117">
        <v>0.58499999999999996</v>
      </c>
      <c r="G12" s="121">
        <v>13.817</v>
      </c>
      <c r="H12" s="122">
        <v>0.5520011579937758</v>
      </c>
      <c r="I12" s="122">
        <v>0.4479988420062242</v>
      </c>
      <c r="J12" s="123">
        <v>0.84299999999999997</v>
      </c>
    </row>
    <row r="13" spans="1:13" x14ac:dyDescent="0.2">
      <c r="A13" s="63" t="s">
        <v>11</v>
      </c>
      <c r="B13" s="117">
        <v>22.091999999999999</v>
      </c>
      <c r="C13" s="118">
        <v>0</v>
      </c>
      <c r="D13" s="119">
        <v>1</v>
      </c>
      <c r="E13" s="120">
        <v>7.5720029202184E-2</v>
      </c>
      <c r="F13" s="117">
        <v>3.0219999999999998</v>
      </c>
      <c r="G13" s="121">
        <v>159.04900000000001</v>
      </c>
      <c r="H13" s="122">
        <v>0</v>
      </c>
      <c r="I13" s="122">
        <v>1</v>
      </c>
      <c r="J13" s="123">
        <v>7.8529999999999998</v>
      </c>
    </row>
    <row r="14" spans="1:13" x14ac:dyDescent="0.2">
      <c r="A14" s="63" t="s">
        <v>52</v>
      </c>
      <c r="B14" s="117">
        <v>15.689</v>
      </c>
      <c r="C14" s="118">
        <v>0.52661100133851746</v>
      </c>
      <c r="D14" s="119">
        <v>0.47338899866148254</v>
      </c>
      <c r="E14" s="120">
        <v>2.791736360724581E-2</v>
      </c>
      <c r="F14" s="117">
        <v>4.6059999999999999</v>
      </c>
      <c r="G14" s="121">
        <v>173.94499999999999</v>
      </c>
      <c r="H14" s="122">
        <v>0.35108223863865012</v>
      </c>
      <c r="I14" s="122">
        <v>0.64891776136134982</v>
      </c>
      <c r="J14" s="123">
        <v>13.324999999999999</v>
      </c>
    </row>
    <row r="15" spans="1:13" x14ac:dyDescent="0.2">
      <c r="A15" s="63" t="s">
        <v>14</v>
      </c>
      <c r="B15" s="117">
        <v>2.2050000000000001</v>
      </c>
      <c r="C15" s="118">
        <v>0.88480725623582768</v>
      </c>
      <c r="D15" s="119">
        <v>0.11519274376417234</v>
      </c>
      <c r="E15" s="120">
        <v>0.20076481835564053</v>
      </c>
      <c r="F15" s="117">
        <v>0.67900000000000005</v>
      </c>
      <c r="G15" s="121">
        <v>14.929</v>
      </c>
      <c r="H15" s="122">
        <v>0.55362047022573513</v>
      </c>
      <c r="I15" s="122">
        <v>0.44637952977426487</v>
      </c>
      <c r="J15" s="123">
        <v>1.696</v>
      </c>
      <c r="L15" s="41"/>
      <c r="M15" s="42"/>
    </row>
    <row r="16" spans="1:13" x14ac:dyDescent="0.2">
      <c r="A16" s="63" t="s">
        <v>53</v>
      </c>
      <c r="B16" s="117">
        <v>34.704999999999998</v>
      </c>
      <c r="C16" s="118">
        <v>0.60374585794554103</v>
      </c>
      <c r="D16" s="119">
        <v>0.39625414205445902</v>
      </c>
      <c r="E16" s="120">
        <v>0.11470073040949202</v>
      </c>
      <c r="F16" s="117">
        <v>7.351</v>
      </c>
      <c r="G16" s="121">
        <v>202.506</v>
      </c>
      <c r="H16" s="122">
        <v>0.45730990686695705</v>
      </c>
      <c r="I16" s="122">
        <v>0.54269009313304295</v>
      </c>
      <c r="J16" s="123">
        <v>13.872</v>
      </c>
    </row>
    <row r="17" spans="1:10" x14ac:dyDescent="0.2">
      <c r="A17" s="63" t="s">
        <v>5</v>
      </c>
      <c r="B17" s="117">
        <v>4.3999999999999997E-2</v>
      </c>
      <c r="C17" s="118">
        <v>0.63636363636363635</v>
      </c>
      <c r="D17" s="119">
        <v>0.36363636363636365</v>
      </c>
      <c r="E17" s="120">
        <v>8.9267599918847629E-3</v>
      </c>
      <c r="F17" s="117">
        <v>2.3E-2</v>
      </c>
      <c r="G17" s="121">
        <v>0.217</v>
      </c>
      <c r="H17" s="122">
        <v>0.58064516129032262</v>
      </c>
      <c r="I17" s="122">
        <v>0.41935483870967744</v>
      </c>
      <c r="J17" s="123">
        <v>3.9E-2</v>
      </c>
    </row>
    <row r="18" spans="1:10" x14ac:dyDescent="0.2">
      <c r="A18" s="63" t="s">
        <v>20</v>
      </c>
      <c r="B18" s="117">
        <v>2.8879999999999999</v>
      </c>
      <c r="C18" s="118">
        <v>0.98511080332409973</v>
      </c>
      <c r="D18" s="119">
        <v>1.4889196675900277E-2</v>
      </c>
      <c r="E18" s="120">
        <v>0.47383100902379</v>
      </c>
      <c r="F18" s="117">
        <v>0.88300000000000001</v>
      </c>
      <c r="G18" s="121">
        <v>9.2769999999999992</v>
      </c>
      <c r="H18" s="122">
        <v>0.97790233911824942</v>
      </c>
      <c r="I18" s="122">
        <v>2.2097660881750567E-2</v>
      </c>
      <c r="J18" s="123">
        <v>0.879</v>
      </c>
    </row>
    <row r="19" spans="1:10" x14ac:dyDescent="0.2">
      <c r="A19" s="63" t="s">
        <v>18</v>
      </c>
      <c r="B19" s="117">
        <v>1.81</v>
      </c>
      <c r="C19" s="118">
        <v>0.83259668508287288</v>
      </c>
      <c r="D19" s="119">
        <v>0.16740331491712707</v>
      </c>
      <c r="E19" s="120">
        <v>0.37536291995022814</v>
      </c>
      <c r="F19" s="117">
        <v>1.21</v>
      </c>
      <c r="G19" s="121">
        <v>15.824</v>
      </c>
      <c r="H19" s="122">
        <v>0.82122093023255816</v>
      </c>
      <c r="I19" s="122">
        <v>0.17877906976744187</v>
      </c>
      <c r="J19" s="123">
        <v>2.5219999999999998</v>
      </c>
    </row>
    <row r="20" spans="1:10" x14ac:dyDescent="0.2">
      <c r="A20" s="63" t="s">
        <v>19</v>
      </c>
      <c r="B20" s="117">
        <v>0.44800000000000001</v>
      </c>
      <c r="C20" s="118">
        <v>0.28794642857142855</v>
      </c>
      <c r="D20" s="119">
        <v>0.7120535714285714</v>
      </c>
      <c r="E20" s="120">
        <v>0.12052730696798493</v>
      </c>
      <c r="F20" s="117">
        <v>0.125</v>
      </c>
      <c r="G20" s="121">
        <v>3.1379999999999999</v>
      </c>
      <c r="H20" s="122">
        <v>0.29764181007010837</v>
      </c>
      <c r="I20" s="122">
        <v>0.70235818992989163</v>
      </c>
      <c r="J20" s="123" t="s">
        <v>1</v>
      </c>
    </row>
    <row r="21" spans="1:10" x14ac:dyDescent="0.2">
      <c r="A21" s="63" t="s">
        <v>15</v>
      </c>
      <c r="B21" s="117">
        <v>5.9580000000000002</v>
      </c>
      <c r="C21" s="118">
        <v>0.89610607586438407</v>
      </c>
      <c r="D21" s="119">
        <v>0.10389392413561598</v>
      </c>
      <c r="E21" s="120">
        <v>0.16557818970069199</v>
      </c>
      <c r="F21" s="117">
        <v>1.7450000000000001</v>
      </c>
      <c r="G21" s="121">
        <v>35.128999999999998</v>
      </c>
      <c r="H21" s="122">
        <v>0.82413390645905094</v>
      </c>
      <c r="I21" s="122">
        <v>0.17586609354094906</v>
      </c>
      <c r="J21" s="123">
        <v>3.1280000000000001</v>
      </c>
    </row>
    <row r="22" spans="1:10" x14ac:dyDescent="0.2">
      <c r="A22" s="63" t="s">
        <v>21</v>
      </c>
      <c r="B22" s="82">
        <v>0</v>
      </c>
      <c r="C22" s="69">
        <v>0</v>
      </c>
      <c r="D22" s="75">
        <v>0</v>
      </c>
      <c r="E22" s="33">
        <v>0</v>
      </c>
      <c r="F22" s="82">
        <v>0</v>
      </c>
      <c r="G22" s="113">
        <v>0</v>
      </c>
      <c r="H22" s="88">
        <v>0</v>
      </c>
      <c r="I22" s="88">
        <v>0</v>
      </c>
      <c r="J22" s="79">
        <v>0</v>
      </c>
    </row>
    <row r="23" spans="1:10" x14ac:dyDescent="0.2">
      <c r="A23" s="63" t="s">
        <v>22</v>
      </c>
      <c r="B23" s="117">
        <v>36.709000000000003</v>
      </c>
      <c r="C23" s="118">
        <v>0.46928546133100874</v>
      </c>
      <c r="D23" s="119">
        <v>0.53071453866899121</v>
      </c>
      <c r="E23" s="120">
        <v>0.32495618150593986</v>
      </c>
      <c r="F23" s="117">
        <v>9.1709999999999994</v>
      </c>
      <c r="G23" s="121">
        <v>223.99600000000001</v>
      </c>
      <c r="H23" s="122">
        <v>0.42944516866372612</v>
      </c>
      <c r="I23" s="122">
        <v>0.57055483133627383</v>
      </c>
      <c r="J23" s="123">
        <v>18.829999999999998</v>
      </c>
    </row>
    <row r="24" spans="1:10" x14ac:dyDescent="0.2">
      <c r="A24" s="63" t="s">
        <v>2</v>
      </c>
      <c r="B24" s="117">
        <v>10.295</v>
      </c>
      <c r="C24" s="118">
        <v>0.44565322972316657</v>
      </c>
      <c r="D24" s="119">
        <v>0.55434677027683343</v>
      </c>
      <c r="E24" s="120">
        <v>0.15669949314297021</v>
      </c>
      <c r="F24" s="117">
        <v>3.6539999999999999</v>
      </c>
      <c r="G24" s="121">
        <v>96.352000000000004</v>
      </c>
      <c r="H24" s="122">
        <v>0.31642311524410494</v>
      </c>
      <c r="I24" s="122">
        <v>0.68357688475589506</v>
      </c>
      <c r="J24" s="123">
        <v>8.4410000000000007</v>
      </c>
    </row>
    <row r="25" spans="1:10" x14ac:dyDescent="0.2">
      <c r="A25" s="63" t="s">
        <v>24</v>
      </c>
      <c r="B25" s="117">
        <v>27.113</v>
      </c>
      <c r="C25" s="118">
        <v>0.75646368900527428</v>
      </c>
      <c r="D25" s="119">
        <v>0.24353631099472578</v>
      </c>
      <c r="E25" s="120">
        <v>0.16578007679702594</v>
      </c>
      <c r="F25" s="117">
        <v>8.8390000000000004</v>
      </c>
      <c r="G25" s="121">
        <v>263.48500000000001</v>
      </c>
      <c r="H25" s="122">
        <v>0.5956164487541985</v>
      </c>
      <c r="I25" s="122">
        <v>0.40438355124580144</v>
      </c>
      <c r="J25" s="123">
        <v>24.841000000000001</v>
      </c>
    </row>
    <row r="26" spans="1:10" x14ac:dyDescent="0.2">
      <c r="A26" s="63" t="s">
        <v>25</v>
      </c>
      <c r="B26" s="117">
        <v>6.6440000000000001</v>
      </c>
      <c r="C26" s="118">
        <v>0.74548464780252854</v>
      </c>
      <c r="D26" s="119">
        <v>0.2545153521974714</v>
      </c>
      <c r="E26" s="120">
        <v>0.126651289578528</v>
      </c>
      <c r="F26" s="117">
        <v>1.43</v>
      </c>
      <c r="G26" s="121">
        <v>69.272999999999996</v>
      </c>
      <c r="H26" s="122">
        <v>0.6002049860696087</v>
      </c>
      <c r="I26" s="122">
        <v>0.39979501393039135</v>
      </c>
      <c r="J26" s="123">
        <v>4.6340000000000003</v>
      </c>
    </row>
    <row r="27" spans="1:10" x14ac:dyDescent="0.2">
      <c r="A27" s="63" t="s">
        <v>26</v>
      </c>
      <c r="B27" s="117">
        <v>7.2839999999999998</v>
      </c>
      <c r="C27" s="118">
        <v>0.82509610104338271</v>
      </c>
      <c r="D27" s="119">
        <v>0.17490389895661723</v>
      </c>
      <c r="E27" s="120">
        <v>0.11707222990131473</v>
      </c>
      <c r="F27" s="117">
        <v>2.161</v>
      </c>
      <c r="G27" s="121">
        <v>71.858000000000004</v>
      </c>
      <c r="H27" s="122">
        <v>0.76415987085641124</v>
      </c>
      <c r="I27" s="122">
        <v>0.23584012914358873</v>
      </c>
      <c r="J27" s="123">
        <v>10.412000000000001</v>
      </c>
    </row>
    <row r="28" spans="1:10" x14ac:dyDescent="0.2">
      <c r="A28" s="63" t="s">
        <v>28</v>
      </c>
      <c r="B28" s="117">
        <v>1.145</v>
      </c>
      <c r="C28" s="118">
        <v>0.80087336244541485</v>
      </c>
      <c r="D28" s="119">
        <v>0.19912663755458515</v>
      </c>
      <c r="E28" s="120">
        <v>7.1312904833084209E-2</v>
      </c>
      <c r="F28" s="117">
        <v>0.33700000000000002</v>
      </c>
      <c r="G28" s="121">
        <v>10.952</v>
      </c>
      <c r="H28" s="122">
        <v>0.65412710007304598</v>
      </c>
      <c r="I28" s="122">
        <v>0.34587289992695397</v>
      </c>
      <c r="J28" s="123">
        <v>0.82</v>
      </c>
    </row>
    <row r="29" spans="1:10" x14ac:dyDescent="0.2">
      <c r="A29" s="63" t="s">
        <v>55</v>
      </c>
      <c r="B29" s="117">
        <v>7.0209999999999999</v>
      </c>
      <c r="C29" s="118">
        <v>0.8285144566301097</v>
      </c>
      <c r="D29" s="119">
        <v>0.17148554336989033</v>
      </c>
      <c r="E29" s="120">
        <v>0.24500977107761027</v>
      </c>
      <c r="F29" s="117">
        <v>2.4630000000000001</v>
      </c>
      <c r="G29" s="121">
        <v>26.161000000000001</v>
      </c>
      <c r="H29" s="122">
        <v>0.86208478269179312</v>
      </c>
      <c r="I29" s="122">
        <v>0.13791521730820688</v>
      </c>
      <c r="J29" s="123">
        <v>9.7360000000000007</v>
      </c>
    </row>
    <row r="30" spans="1:10" x14ac:dyDescent="0.2">
      <c r="A30" s="63" t="s">
        <v>12</v>
      </c>
      <c r="B30" s="117">
        <v>26.597999999999999</v>
      </c>
      <c r="C30" s="118">
        <v>0.67125347770509058</v>
      </c>
      <c r="D30" s="119">
        <v>0.32874652229490942</v>
      </c>
      <c r="E30" s="120">
        <v>0.3619711217865843</v>
      </c>
      <c r="F30" s="117">
        <v>6.21</v>
      </c>
      <c r="G30" s="121">
        <v>255.04300000000001</v>
      </c>
      <c r="H30" s="122">
        <v>0.48878032331802873</v>
      </c>
      <c r="I30" s="122">
        <v>0.51121967668197132</v>
      </c>
      <c r="J30" s="123">
        <v>15.988</v>
      </c>
    </row>
    <row r="31" spans="1:10" x14ac:dyDescent="0.2">
      <c r="A31" s="64" t="s">
        <v>27</v>
      </c>
      <c r="B31" s="144">
        <v>15.066000000000001</v>
      </c>
      <c r="C31" s="145">
        <v>0.61954068764104608</v>
      </c>
      <c r="D31" s="146">
        <v>0.38045931235895392</v>
      </c>
      <c r="E31" s="147">
        <v>0.10018885992445603</v>
      </c>
      <c r="F31" s="144">
        <v>4.0439999999999996</v>
      </c>
      <c r="G31" s="148">
        <v>171.49199999999999</v>
      </c>
      <c r="H31" s="149">
        <v>0.5187005807851095</v>
      </c>
      <c r="I31" s="149">
        <v>0.4812994192148905</v>
      </c>
      <c r="J31" s="150">
        <v>9.4339999999999993</v>
      </c>
    </row>
    <row r="32" spans="1:10" x14ac:dyDescent="0.2">
      <c r="A32" s="32" t="s">
        <v>29</v>
      </c>
      <c r="B32" s="127">
        <v>23.202999999999999</v>
      </c>
      <c r="C32" s="124" t="s">
        <v>1</v>
      </c>
      <c r="D32" s="125" t="s">
        <v>1</v>
      </c>
      <c r="E32" s="126">
        <v>6.3085744736963739E-2</v>
      </c>
      <c r="F32" s="127">
        <v>6.0949999999999998</v>
      </c>
      <c r="G32" s="128">
        <v>153.922</v>
      </c>
      <c r="H32" s="129" t="s">
        <v>1</v>
      </c>
      <c r="I32" s="129" t="s">
        <v>1</v>
      </c>
      <c r="J32" s="151">
        <v>7.843</v>
      </c>
    </row>
    <row r="33" spans="1:13" x14ac:dyDescent="0.2">
      <c r="A33" s="95" t="s">
        <v>23</v>
      </c>
      <c r="B33" s="152">
        <v>0.25900000000000001</v>
      </c>
      <c r="C33" s="153">
        <v>1</v>
      </c>
      <c r="D33" s="154">
        <v>0</v>
      </c>
      <c r="E33" s="155">
        <v>2.0211006024284423E-3</v>
      </c>
      <c r="F33" s="152">
        <v>7.0999999999999994E-2</v>
      </c>
      <c r="G33" s="156">
        <v>7.4930000000000003</v>
      </c>
      <c r="H33" s="157">
        <v>1</v>
      </c>
      <c r="I33" s="157">
        <v>0</v>
      </c>
      <c r="J33" s="158">
        <v>0.375</v>
      </c>
    </row>
    <row r="34" spans="1:13" x14ac:dyDescent="0.2">
      <c r="A34" s="64" t="s">
        <v>56</v>
      </c>
      <c r="B34" s="144">
        <v>8.8650000000000002</v>
      </c>
      <c r="C34" s="145">
        <v>0.56311336717428084</v>
      </c>
      <c r="D34" s="146">
        <v>0.4368866328257191</v>
      </c>
      <c r="E34" s="147">
        <v>3.8645131759628588E-2</v>
      </c>
      <c r="F34" s="144">
        <v>5.9779999999999998</v>
      </c>
      <c r="G34" s="148">
        <v>95.143000000000001</v>
      </c>
      <c r="H34" s="149">
        <v>0.3034484933205806</v>
      </c>
      <c r="I34" s="149">
        <v>0.69655150667941945</v>
      </c>
      <c r="J34" s="150" t="s">
        <v>1</v>
      </c>
      <c r="L34" s="41"/>
      <c r="M34" s="43"/>
    </row>
    <row r="35" spans="1:13" x14ac:dyDescent="0.2">
      <c r="A35" s="32" t="s">
        <v>118</v>
      </c>
      <c r="B35" s="127">
        <v>8.6999999999999994E-2</v>
      </c>
      <c r="C35" s="124">
        <v>1</v>
      </c>
      <c r="D35" s="125">
        <v>0</v>
      </c>
      <c r="E35" s="126">
        <v>1.2652705061082025E-2</v>
      </c>
      <c r="F35" s="127">
        <v>0.28000000000000003</v>
      </c>
      <c r="G35" s="128">
        <v>0.28999999999999998</v>
      </c>
      <c r="H35" s="129">
        <v>6.9655172413793105E-4</v>
      </c>
      <c r="I35" s="129">
        <v>0</v>
      </c>
      <c r="J35" s="151">
        <v>0</v>
      </c>
    </row>
    <row r="36" spans="1:13" x14ac:dyDescent="0.2">
      <c r="F36" s="36"/>
      <c r="G36" s="36"/>
    </row>
    <row r="37" spans="1:13" ht="36" x14ac:dyDescent="0.2">
      <c r="A37" s="54">
        <v>2011</v>
      </c>
      <c r="B37" s="72" t="s">
        <v>57</v>
      </c>
      <c r="C37" s="66" t="s">
        <v>58</v>
      </c>
      <c r="D37" s="12" t="s">
        <v>59</v>
      </c>
      <c r="E37" s="12" t="s">
        <v>60</v>
      </c>
      <c r="F37" s="102" t="s">
        <v>61</v>
      </c>
      <c r="G37" s="102" t="s">
        <v>62</v>
      </c>
    </row>
    <row r="38" spans="1:13" x14ac:dyDescent="0.2">
      <c r="A38" s="59" t="s">
        <v>74</v>
      </c>
      <c r="B38" s="77">
        <v>6390.9740000000002</v>
      </c>
      <c r="C38" s="67">
        <f>0.01*2075.608506622%</f>
        <v>0.20756085066219998</v>
      </c>
      <c r="D38" s="60">
        <v>6.2456833653211502E-2</v>
      </c>
      <c r="E38" s="60">
        <v>0.48318613094029195</v>
      </c>
      <c r="F38" s="60">
        <v>0.15127475092216</v>
      </c>
      <c r="G38" s="60">
        <v>9.5521433822137305E-2</v>
      </c>
      <c r="I38" s="22"/>
      <c r="J38" s="23"/>
      <c r="K38" s="24"/>
      <c r="L38" s="24"/>
    </row>
    <row r="39" spans="1:13" x14ac:dyDescent="0.2">
      <c r="A39" s="61" t="s">
        <v>3</v>
      </c>
      <c r="B39" s="81">
        <v>176.49600000000001</v>
      </c>
      <c r="C39" s="109">
        <v>1.4606563321548362E-2</v>
      </c>
      <c r="D39" s="105">
        <v>3.3145227087299431E-3</v>
      </c>
      <c r="E39" s="105">
        <v>0.64643957936723784</v>
      </c>
      <c r="F39" s="105">
        <v>9.9871951772278117E-2</v>
      </c>
      <c r="G39" s="105">
        <v>0.23576738283020576</v>
      </c>
    </row>
    <row r="40" spans="1:13" x14ac:dyDescent="0.2">
      <c r="A40" s="63" t="s">
        <v>4</v>
      </c>
      <c r="B40" s="82">
        <v>64.748000000000005</v>
      </c>
      <c r="C40" s="69">
        <v>0.51112003459566313</v>
      </c>
      <c r="D40" s="33">
        <v>5.1538271452400065E-2</v>
      </c>
      <c r="E40" s="33">
        <v>0.43426823994563535</v>
      </c>
      <c r="F40" s="33">
        <v>0</v>
      </c>
      <c r="G40" s="33">
        <v>3.0734540063013529E-3</v>
      </c>
    </row>
    <row r="41" spans="1:13" x14ac:dyDescent="0.2">
      <c r="A41" s="63" t="s">
        <v>63</v>
      </c>
      <c r="B41" s="82">
        <v>252.21199999999999</v>
      </c>
      <c r="C41" s="69">
        <v>0.7513797916038889</v>
      </c>
      <c r="D41" s="33">
        <v>1.4626583984901591E-2</v>
      </c>
      <c r="E41" s="33">
        <v>7.5361204066420315E-2</v>
      </c>
      <c r="F41" s="33">
        <v>7.866001617686709E-2</v>
      </c>
      <c r="G41" s="33">
        <v>7.9972404167922215E-2</v>
      </c>
    </row>
    <row r="42" spans="1:13" x14ac:dyDescent="0.2">
      <c r="A42" s="63" t="s">
        <v>8</v>
      </c>
      <c r="B42" s="82">
        <v>270.05200000000002</v>
      </c>
      <c r="C42" s="69">
        <v>0.48375127753173464</v>
      </c>
      <c r="D42" s="33">
        <v>1.7215202997941138E-2</v>
      </c>
      <c r="E42" s="33">
        <v>0.2123331802763912</v>
      </c>
      <c r="F42" s="33">
        <v>0.23016307970316824</v>
      </c>
      <c r="G42" s="33">
        <v>5.6537259490764741E-2</v>
      </c>
    </row>
    <row r="43" spans="1:13" x14ac:dyDescent="0.2">
      <c r="A43" s="63" t="s">
        <v>7</v>
      </c>
      <c r="B43" s="82">
        <v>1211.2909999999999</v>
      </c>
      <c r="C43" s="69">
        <v>0.26786874500016927</v>
      </c>
      <c r="D43" s="33">
        <v>3.791326774491019E-2</v>
      </c>
      <c r="E43" s="33">
        <v>0.49948691107256638</v>
      </c>
      <c r="F43" s="33">
        <v>0.10143887802353027</v>
      </c>
      <c r="G43" s="33">
        <v>9.3292198158823933E-2</v>
      </c>
    </row>
    <row r="44" spans="1:13" x14ac:dyDescent="0.2">
      <c r="A44" s="63" t="s">
        <v>9</v>
      </c>
      <c r="B44" s="82">
        <v>22.67</v>
      </c>
      <c r="C44" s="69">
        <v>0.37265108072342296</v>
      </c>
      <c r="D44" s="33">
        <v>2.6907807675341862E-3</v>
      </c>
      <c r="E44" s="33">
        <v>0.27891486546096161</v>
      </c>
      <c r="F44" s="33">
        <v>0.34574327304808117</v>
      </c>
      <c r="G44" s="33">
        <v>0</v>
      </c>
    </row>
    <row r="45" spans="1:13" x14ac:dyDescent="0.2">
      <c r="A45" s="63" t="s">
        <v>16</v>
      </c>
      <c r="B45" s="82">
        <v>21.625</v>
      </c>
      <c r="C45" s="69">
        <v>3.4820809248554914E-2</v>
      </c>
      <c r="D45" s="33">
        <v>1.3410404624277456E-3</v>
      </c>
      <c r="E45" s="33">
        <v>0.91838150289017351</v>
      </c>
      <c r="F45" s="33">
        <v>2.5895953757225434E-2</v>
      </c>
      <c r="G45" s="33">
        <v>1.9560693641618495E-2</v>
      </c>
    </row>
    <row r="46" spans="1:13" x14ac:dyDescent="0.2">
      <c r="A46" s="63" t="s">
        <v>10</v>
      </c>
      <c r="B46" s="82">
        <v>30.986000000000001</v>
      </c>
      <c r="C46" s="69">
        <v>9.3171109533337626E-2</v>
      </c>
      <c r="D46" s="33">
        <v>8.4457496934099263E-2</v>
      </c>
      <c r="E46" s="33">
        <v>0.43519654037307171</v>
      </c>
      <c r="F46" s="33">
        <v>5.7058026205383069E-2</v>
      </c>
      <c r="G46" s="33">
        <v>0.33011682695410832</v>
      </c>
    </row>
    <row r="47" spans="1:13" x14ac:dyDescent="0.2">
      <c r="A47" s="63" t="s">
        <v>11</v>
      </c>
      <c r="B47" s="82">
        <v>348.57900000000001</v>
      </c>
      <c r="C47" s="69">
        <v>1.7740598257496867E-2</v>
      </c>
      <c r="D47" s="33">
        <v>6.5738326175701911E-2</v>
      </c>
      <c r="E47" s="33">
        <v>0.77187093886895086</v>
      </c>
      <c r="F47" s="33">
        <v>0</v>
      </c>
      <c r="G47" s="33">
        <v>0.1446501366978504</v>
      </c>
    </row>
    <row r="48" spans="1:13" x14ac:dyDescent="0.2">
      <c r="A48" s="63" t="s">
        <v>52</v>
      </c>
      <c r="B48" s="82">
        <v>281.23</v>
      </c>
      <c r="C48" s="69">
        <v>5.8884187319987201E-2</v>
      </c>
      <c r="D48" s="33">
        <v>2.6394765850015999E-2</v>
      </c>
      <c r="E48" s="33">
        <v>0.56504640329979017</v>
      </c>
      <c r="F48" s="33">
        <v>0.23027415282864558</v>
      </c>
      <c r="G48" s="33">
        <v>0.119400490701561</v>
      </c>
    </row>
    <row r="49" spans="1:7" x14ac:dyDescent="0.2">
      <c r="A49" s="63" t="s">
        <v>14</v>
      </c>
      <c r="B49" s="82">
        <v>28.442</v>
      </c>
      <c r="C49" s="69">
        <v>2.5631108923423105E-2</v>
      </c>
      <c r="D49" s="33">
        <v>0.13564446944659306</v>
      </c>
      <c r="E49" s="33">
        <v>0.83292314183250116</v>
      </c>
      <c r="F49" s="33">
        <v>5.8012797974825968E-3</v>
      </c>
      <c r="G49" s="33">
        <v>0</v>
      </c>
    </row>
    <row r="50" spans="1:7" x14ac:dyDescent="0.2">
      <c r="A50" s="63" t="s">
        <v>17</v>
      </c>
      <c r="B50" s="82">
        <v>1018.122</v>
      </c>
      <c r="C50" s="69">
        <v>8.2671821255213031E-3</v>
      </c>
      <c r="D50" s="33">
        <v>0.17074672779882963</v>
      </c>
      <c r="E50" s="33">
        <v>0.69612384370438907</v>
      </c>
      <c r="F50" s="33">
        <v>4.2151137093589967E-2</v>
      </c>
      <c r="G50" s="33">
        <v>8.2711109277670058E-2</v>
      </c>
    </row>
    <row r="51" spans="1:7" x14ac:dyDescent="0.2">
      <c r="A51" s="63" t="s">
        <v>5</v>
      </c>
      <c r="B51" s="82">
        <v>0.73499999999999999</v>
      </c>
      <c r="C51" s="69">
        <v>0</v>
      </c>
      <c r="D51" s="33">
        <v>0.32108843537414966</v>
      </c>
      <c r="E51" s="33">
        <v>0</v>
      </c>
      <c r="F51" s="33">
        <v>0.67891156462585034</v>
      </c>
      <c r="G51" s="33">
        <v>0</v>
      </c>
    </row>
    <row r="52" spans="1:7" x14ac:dyDescent="0.2">
      <c r="A52" s="63" t="s">
        <v>20</v>
      </c>
      <c r="B52" s="82">
        <v>24.021999999999998</v>
      </c>
      <c r="C52" s="69">
        <v>1.2238781117309134E-2</v>
      </c>
      <c r="D52" s="33">
        <v>8.658729497960203E-3</v>
      </c>
      <c r="E52" s="33">
        <v>0.93739072516859556</v>
      </c>
      <c r="F52" s="33">
        <v>3.9630338856048622E-2</v>
      </c>
      <c r="G52" s="33">
        <v>2.0814253600865873E-3</v>
      </c>
    </row>
    <row r="53" spans="1:7" x14ac:dyDescent="0.2">
      <c r="A53" s="63" t="s">
        <v>18</v>
      </c>
      <c r="B53" s="82">
        <v>27.268999999999998</v>
      </c>
      <c r="C53" s="69">
        <v>0</v>
      </c>
      <c r="D53" s="33">
        <v>0.13982910997836373</v>
      </c>
      <c r="E53" s="33">
        <v>0.76475118266163045</v>
      </c>
      <c r="F53" s="33">
        <v>9.5419707360005879E-2</v>
      </c>
      <c r="G53" s="33">
        <v>0</v>
      </c>
    </row>
    <row r="54" spans="1:7" x14ac:dyDescent="0.2">
      <c r="A54" s="63" t="s">
        <v>19</v>
      </c>
      <c r="B54" s="82">
        <v>5.4219999999999997</v>
      </c>
      <c r="C54" s="69">
        <v>0</v>
      </c>
      <c r="D54" s="33">
        <v>1.2910365178900776E-3</v>
      </c>
      <c r="E54" s="33">
        <v>0.89948358539284401</v>
      </c>
      <c r="F54" s="33">
        <v>9.9225378089265959E-2</v>
      </c>
      <c r="G54" s="33">
        <v>0</v>
      </c>
    </row>
    <row r="55" spans="1:7" x14ac:dyDescent="0.2">
      <c r="A55" s="63" t="s">
        <v>15</v>
      </c>
      <c r="B55" s="82">
        <v>84.582999999999998</v>
      </c>
      <c r="C55" s="69">
        <v>3.467599872314768E-2</v>
      </c>
      <c r="D55" s="33">
        <v>1.4187248028563659E-3</v>
      </c>
      <c r="E55" s="33">
        <v>0.78944941654942491</v>
      </c>
      <c r="F55" s="33">
        <v>8.9793457314117489E-2</v>
      </c>
      <c r="G55" s="33">
        <v>8.4662402610453644E-2</v>
      </c>
    </row>
    <row r="56" spans="1:7" x14ac:dyDescent="0.2">
      <c r="A56" s="63" t="s">
        <v>21</v>
      </c>
      <c r="B56" s="82">
        <v>0</v>
      </c>
      <c r="C56" s="69">
        <v>0</v>
      </c>
      <c r="D56" s="33">
        <v>0</v>
      </c>
      <c r="E56" s="33">
        <v>0</v>
      </c>
      <c r="F56" s="33">
        <v>0</v>
      </c>
      <c r="G56" s="33">
        <v>0</v>
      </c>
    </row>
    <row r="57" spans="1:7" x14ac:dyDescent="0.2">
      <c r="A57" s="63" t="s">
        <v>22</v>
      </c>
      <c r="B57" s="82">
        <v>443.73399999999998</v>
      </c>
      <c r="C57" s="69">
        <v>1.1887752572487122E-2</v>
      </c>
      <c r="D57" s="33">
        <v>8.4262193115695449E-3</v>
      </c>
      <c r="E57" s="33">
        <v>0.82265050683517604</v>
      </c>
      <c r="F57" s="33">
        <v>2.3345067089742953E-2</v>
      </c>
      <c r="G57" s="33">
        <v>0.13369045419102438</v>
      </c>
    </row>
    <row r="58" spans="1:7" x14ac:dyDescent="0.2">
      <c r="A58" s="63" t="s">
        <v>2</v>
      </c>
      <c r="B58" s="82">
        <v>258.96100000000001</v>
      </c>
      <c r="C58" s="69">
        <v>0.122365916103197</v>
      </c>
      <c r="D58" s="33">
        <v>0.1003124022536212</v>
      </c>
      <c r="E58" s="33">
        <v>0.38392653720058229</v>
      </c>
      <c r="F58" s="33">
        <v>0.30872216279671455</v>
      </c>
      <c r="G58" s="33">
        <v>8.4672981645884909E-2</v>
      </c>
    </row>
    <row r="59" spans="1:7" x14ac:dyDescent="0.2">
      <c r="A59" s="63" t="s">
        <v>24</v>
      </c>
      <c r="B59" s="82">
        <v>440.45100000000002</v>
      </c>
      <c r="C59" s="69">
        <v>0.72308610946507101</v>
      </c>
      <c r="D59" s="33">
        <v>9.018483327316773E-2</v>
      </c>
      <c r="E59" s="33">
        <v>7.3461066043668879E-2</v>
      </c>
      <c r="F59" s="33">
        <v>8.5871073059205216E-2</v>
      </c>
      <c r="G59" s="33">
        <v>2.7396918158887139E-2</v>
      </c>
    </row>
    <row r="60" spans="1:7" x14ac:dyDescent="0.2">
      <c r="A60" s="63" t="s">
        <v>25</v>
      </c>
      <c r="B60" s="82">
        <v>114.65300000000001</v>
      </c>
      <c r="C60" s="69">
        <v>0</v>
      </c>
      <c r="D60" s="33">
        <v>0.13890609055149014</v>
      </c>
      <c r="E60" s="33">
        <v>0.43816559531804661</v>
      </c>
      <c r="F60" s="33">
        <v>0.3852319607860239</v>
      </c>
      <c r="G60" s="33">
        <v>3.7696353344439312E-2</v>
      </c>
    </row>
    <row r="61" spans="1:7" x14ac:dyDescent="0.2">
      <c r="A61" s="63" t="s">
        <v>26</v>
      </c>
      <c r="B61" s="82">
        <v>124.247</v>
      </c>
      <c r="C61" s="69">
        <v>0.38243981746038136</v>
      </c>
      <c r="D61" s="33">
        <v>4.957866185903885E-2</v>
      </c>
      <c r="E61" s="33">
        <v>0.52419776735051948</v>
      </c>
      <c r="F61" s="33">
        <v>2.034656772396919E-2</v>
      </c>
      <c r="G61" s="33">
        <v>2.343718560609109E-2</v>
      </c>
    </row>
    <row r="62" spans="1:7" x14ac:dyDescent="0.2">
      <c r="A62" s="63" t="s">
        <v>28</v>
      </c>
      <c r="B62" s="82">
        <v>19.829999999999998</v>
      </c>
      <c r="C62" s="69">
        <v>0.58789712556732232</v>
      </c>
      <c r="D62" s="33">
        <v>1.109430156328795E-3</v>
      </c>
      <c r="E62" s="33">
        <v>0.22808875441250631</v>
      </c>
      <c r="F62" s="33">
        <v>0.16878466969238529</v>
      </c>
      <c r="G62" s="33">
        <v>1.4120020171457389E-2</v>
      </c>
    </row>
    <row r="63" spans="1:7" x14ac:dyDescent="0.2">
      <c r="A63" s="63" t="s">
        <v>55</v>
      </c>
      <c r="B63" s="117">
        <v>119.462</v>
      </c>
      <c r="C63" s="118">
        <v>0.41783161172590444</v>
      </c>
      <c r="D63" s="120">
        <v>9.2816125629907417E-2</v>
      </c>
      <c r="E63" s="120">
        <v>0.15083457501130068</v>
      </c>
      <c r="F63" s="120">
        <v>9.1485158460430926E-2</v>
      </c>
      <c r="G63" s="120">
        <v>0.24703252917245652</v>
      </c>
    </row>
    <row r="64" spans="1:7" x14ac:dyDescent="0.2">
      <c r="A64" s="63" t="s">
        <v>12</v>
      </c>
      <c r="B64" s="82">
        <v>425.96300000000002</v>
      </c>
      <c r="C64" s="69">
        <v>0.24259618793181564</v>
      </c>
      <c r="D64" s="33">
        <v>1.7421700945856797E-2</v>
      </c>
      <c r="E64" s="33">
        <v>0.21244333428020742</v>
      </c>
      <c r="F64" s="33">
        <v>0.49543504952308065</v>
      </c>
      <c r="G64" s="33">
        <v>3.2103727319039446E-2</v>
      </c>
    </row>
    <row r="65" spans="1:7" x14ac:dyDescent="0.2">
      <c r="A65" s="64" t="s">
        <v>27</v>
      </c>
      <c r="B65" s="90">
        <v>278.45299999999997</v>
      </c>
      <c r="C65" s="91">
        <v>6.3648084236837099E-2</v>
      </c>
      <c r="D65" s="34">
        <v>4.1267287477599453E-2</v>
      </c>
      <c r="E65" s="34">
        <v>7.3764692784778763E-2</v>
      </c>
      <c r="F65" s="34">
        <v>0.71399482138816972</v>
      </c>
      <c r="G65" s="34">
        <v>0.10732511411261507</v>
      </c>
    </row>
    <row r="66" spans="1:7" x14ac:dyDescent="0.2">
      <c r="A66" s="64" t="s">
        <v>29</v>
      </c>
      <c r="B66" s="90">
        <v>296.73599999999999</v>
      </c>
      <c r="C66" s="91">
        <v>4.5259085517092637E-2</v>
      </c>
      <c r="D66" s="34">
        <v>1.4497735360724684E-2</v>
      </c>
      <c r="E66" s="34">
        <v>0.68613852043567347</v>
      </c>
      <c r="F66" s="34">
        <v>5.107570365577483E-2</v>
      </c>
      <c r="G66" s="34">
        <v>0.2030289550307344</v>
      </c>
    </row>
    <row r="67" spans="1:7" x14ac:dyDescent="0.2">
      <c r="A67" s="106" t="s">
        <v>23</v>
      </c>
      <c r="B67" s="107">
        <v>9.6579999999999995</v>
      </c>
      <c r="C67" s="110">
        <v>7.6102712776972462E-2</v>
      </c>
      <c r="D67" s="108">
        <v>0</v>
      </c>
      <c r="E67" s="108">
        <v>0</v>
      </c>
      <c r="F67" s="108">
        <v>0.46262166079933736</v>
      </c>
      <c r="G67" s="108">
        <v>0.46127562642369024</v>
      </c>
    </row>
    <row r="68" spans="1:7" x14ac:dyDescent="0.2">
      <c r="A68" s="64" t="s">
        <v>56</v>
      </c>
      <c r="B68" s="90">
        <v>167.63900000000001</v>
      </c>
      <c r="C68" s="91">
        <v>0.12092054951413453</v>
      </c>
      <c r="D68" s="34">
        <v>6.7460435817441045E-2</v>
      </c>
      <c r="E68" s="34">
        <v>0.74488036793347601</v>
      </c>
      <c r="F68" s="34">
        <v>1.3791540154737263E-2</v>
      </c>
      <c r="G68" s="34">
        <v>5.2947106580211047E-2</v>
      </c>
    </row>
    <row r="69" spans="1:7" x14ac:dyDescent="0.2">
      <c r="A69" s="32" t="s">
        <v>118</v>
      </c>
      <c r="B69" s="83">
        <v>1.2170000000000001</v>
      </c>
      <c r="C69" s="70">
        <v>0</v>
      </c>
      <c r="D69" s="65">
        <v>0</v>
      </c>
      <c r="E69" s="65">
        <v>0</v>
      </c>
      <c r="F69" s="65">
        <v>0</v>
      </c>
      <c r="G69" s="65">
        <v>1</v>
      </c>
    </row>
    <row r="71" spans="1:7" x14ac:dyDescent="0.2">
      <c r="A71" s="21" t="s">
        <v>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70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11" width="9.140625" style="38"/>
    <col min="12" max="12" width="10.28515625" style="38" customWidth="1"/>
    <col min="13" max="256" width="9.140625" style="38"/>
    <col min="257" max="257" width="21.7109375" style="38" customWidth="1"/>
    <col min="258" max="258" width="9.7109375" style="38" customWidth="1"/>
    <col min="259" max="261" width="9.140625" style="38"/>
    <col min="262" max="262" width="10.7109375" style="38" customWidth="1"/>
    <col min="263" max="263" width="9.5703125" style="38" customWidth="1"/>
    <col min="264" max="512" width="9.140625" style="38"/>
    <col min="513" max="513" width="21.7109375" style="38" customWidth="1"/>
    <col min="514" max="514" width="9.7109375" style="38" customWidth="1"/>
    <col min="515" max="517" width="9.140625" style="38"/>
    <col min="518" max="518" width="10.7109375" style="38" customWidth="1"/>
    <col min="519" max="519" width="9.5703125" style="38" customWidth="1"/>
    <col min="520" max="768" width="9.140625" style="38"/>
    <col min="769" max="769" width="21.7109375" style="38" customWidth="1"/>
    <col min="770" max="770" width="9.7109375" style="38" customWidth="1"/>
    <col min="771" max="773" width="9.140625" style="38"/>
    <col min="774" max="774" width="10.7109375" style="38" customWidth="1"/>
    <col min="775" max="775" width="9.5703125" style="38" customWidth="1"/>
    <col min="776" max="1024" width="9.140625" style="38"/>
    <col min="1025" max="1025" width="21.7109375" style="38" customWidth="1"/>
    <col min="1026" max="1026" width="9.7109375" style="38" customWidth="1"/>
    <col min="1027" max="1029" width="9.140625" style="38"/>
    <col min="1030" max="1030" width="10.7109375" style="38" customWidth="1"/>
    <col min="1031" max="1031" width="9.5703125" style="38" customWidth="1"/>
    <col min="1032" max="1280" width="9.140625" style="38"/>
    <col min="1281" max="1281" width="21.7109375" style="38" customWidth="1"/>
    <col min="1282" max="1282" width="9.7109375" style="38" customWidth="1"/>
    <col min="1283" max="1285" width="9.140625" style="38"/>
    <col min="1286" max="1286" width="10.7109375" style="38" customWidth="1"/>
    <col min="1287" max="1287" width="9.5703125" style="38" customWidth="1"/>
    <col min="1288" max="1536" width="9.140625" style="38"/>
    <col min="1537" max="1537" width="21.7109375" style="38" customWidth="1"/>
    <col min="1538" max="1538" width="9.7109375" style="38" customWidth="1"/>
    <col min="1539" max="1541" width="9.140625" style="38"/>
    <col min="1542" max="1542" width="10.7109375" style="38" customWidth="1"/>
    <col min="1543" max="1543" width="9.5703125" style="38" customWidth="1"/>
    <col min="1544" max="1792" width="9.140625" style="38"/>
    <col min="1793" max="1793" width="21.7109375" style="38" customWidth="1"/>
    <col min="1794" max="1794" width="9.7109375" style="38" customWidth="1"/>
    <col min="1795" max="1797" width="9.140625" style="38"/>
    <col min="1798" max="1798" width="10.7109375" style="38" customWidth="1"/>
    <col min="1799" max="1799" width="9.5703125" style="38" customWidth="1"/>
    <col min="1800" max="2048" width="9.140625" style="38"/>
    <col min="2049" max="2049" width="21.7109375" style="38" customWidth="1"/>
    <col min="2050" max="2050" width="9.7109375" style="38" customWidth="1"/>
    <col min="2051" max="2053" width="9.140625" style="38"/>
    <col min="2054" max="2054" width="10.7109375" style="38" customWidth="1"/>
    <col min="2055" max="2055" width="9.5703125" style="38" customWidth="1"/>
    <col min="2056" max="2304" width="9.140625" style="38"/>
    <col min="2305" max="2305" width="21.7109375" style="38" customWidth="1"/>
    <col min="2306" max="2306" width="9.7109375" style="38" customWidth="1"/>
    <col min="2307" max="2309" width="9.140625" style="38"/>
    <col min="2310" max="2310" width="10.7109375" style="38" customWidth="1"/>
    <col min="2311" max="2311" width="9.5703125" style="38" customWidth="1"/>
    <col min="2312" max="2560" width="9.140625" style="38"/>
    <col min="2561" max="2561" width="21.7109375" style="38" customWidth="1"/>
    <col min="2562" max="2562" width="9.7109375" style="38" customWidth="1"/>
    <col min="2563" max="2565" width="9.140625" style="38"/>
    <col min="2566" max="2566" width="10.7109375" style="38" customWidth="1"/>
    <col min="2567" max="2567" width="9.5703125" style="38" customWidth="1"/>
    <col min="2568" max="2816" width="9.140625" style="38"/>
    <col min="2817" max="2817" width="21.7109375" style="38" customWidth="1"/>
    <col min="2818" max="2818" width="9.7109375" style="38" customWidth="1"/>
    <col min="2819" max="2821" width="9.140625" style="38"/>
    <col min="2822" max="2822" width="10.7109375" style="38" customWidth="1"/>
    <col min="2823" max="2823" width="9.5703125" style="38" customWidth="1"/>
    <col min="2824" max="3072" width="9.140625" style="38"/>
    <col min="3073" max="3073" width="21.7109375" style="38" customWidth="1"/>
    <col min="3074" max="3074" width="9.7109375" style="38" customWidth="1"/>
    <col min="3075" max="3077" width="9.140625" style="38"/>
    <col min="3078" max="3078" width="10.7109375" style="38" customWidth="1"/>
    <col min="3079" max="3079" width="9.5703125" style="38" customWidth="1"/>
    <col min="3080" max="3328" width="9.140625" style="38"/>
    <col min="3329" max="3329" width="21.7109375" style="38" customWidth="1"/>
    <col min="3330" max="3330" width="9.7109375" style="38" customWidth="1"/>
    <col min="3331" max="3333" width="9.140625" style="38"/>
    <col min="3334" max="3334" width="10.7109375" style="38" customWidth="1"/>
    <col min="3335" max="3335" width="9.5703125" style="38" customWidth="1"/>
    <col min="3336" max="3584" width="9.140625" style="38"/>
    <col min="3585" max="3585" width="21.7109375" style="38" customWidth="1"/>
    <col min="3586" max="3586" width="9.7109375" style="38" customWidth="1"/>
    <col min="3587" max="3589" width="9.140625" style="38"/>
    <col min="3590" max="3590" width="10.7109375" style="38" customWidth="1"/>
    <col min="3591" max="3591" width="9.5703125" style="38" customWidth="1"/>
    <col min="3592" max="3840" width="9.140625" style="38"/>
    <col min="3841" max="3841" width="21.7109375" style="38" customWidth="1"/>
    <col min="3842" max="3842" width="9.7109375" style="38" customWidth="1"/>
    <col min="3843" max="3845" width="9.140625" style="38"/>
    <col min="3846" max="3846" width="10.7109375" style="38" customWidth="1"/>
    <col min="3847" max="3847" width="9.5703125" style="38" customWidth="1"/>
    <col min="3848" max="4096" width="9.140625" style="38"/>
    <col min="4097" max="4097" width="21.7109375" style="38" customWidth="1"/>
    <col min="4098" max="4098" width="9.7109375" style="38" customWidth="1"/>
    <col min="4099" max="4101" width="9.140625" style="38"/>
    <col min="4102" max="4102" width="10.7109375" style="38" customWidth="1"/>
    <col min="4103" max="4103" width="9.5703125" style="38" customWidth="1"/>
    <col min="4104" max="4352" width="9.140625" style="38"/>
    <col min="4353" max="4353" width="21.7109375" style="38" customWidth="1"/>
    <col min="4354" max="4354" width="9.7109375" style="38" customWidth="1"/>
    <col min="4355" max="4357" width="9.140625" style="38"/>
    <col min="4358" max="4358" width="10.7109375" style="38" customWidth="1"/>
    <col min="4359" max="4359" width="9.5703125" style="38" customWidth="1"/>
    <col min="4360" max="4608" width="9.140625" style="38"/>
    <col min="4609" max="4609" width="21.7109375" style="38" customWidth="1"/>
    <col min="4610" max="4610" width="9.7109375" style="38" customWidth="1"/>
    <col min="4611" max="4613" width="9.140625" style="38"/>
    <col min="4614" max="4614" width="10.7109375" style="38" customWidth="1"/>
    <col min="4615" max="4615" width="9.5703125" style="38" customWidth="1"/>
    <col min="4616" max="4864" width="9.140625" style="38"/>
    <col min="4865" max="4865" width="21.7109375" style="38" customWidth="1"/>
    <col min="4866" max="4866" width="9.7109375" style="38" customWidth="1"/>
    <col min="4867" max="4869" width="9.140625" style="38"/>
    <col min="4870" max="4870" width="10.7109375" style="38" customWidth="1"/>
    <col min="4871" max="4871" width="9.5703125" style="38" customWidth="1"/>
    <col min="4872" max="5120" width="9.140625" style="38"/>
    <col min="5121" max="5121" width="21.7109375" style="38" customWidth="1"/>
    <col min="5122" max="5122" width="9.7109375" style="38" customWidth="1"/>
    <col min="5123" max="5125" width="9.140625" style="38"/>
    <col min="5126" max="5126" width="10.7109375" style="38" customWidth="1"/>
    <col min="5127" max="5127" width="9.5703125" style="38" customWidth="1"/>
    <col min="5128" max="5376" width="9.140625" style="38"/>
    <col min="5377" max="5377" width="21.7109375" style="38" customWidth="1"/>
    <col min="5378" max="5378" width="9.7109375" style="38" customWidth="1"/>
    <col min="5379" max="5381" width="9.140625" style="38"/>
    <col min="5382" max="5382" width="10.7109375" style="38" customWidth="1"/>
    <col min="5383" max="5383" width="9.5703125" style="38" customWidth="1"/>
    <col min="5384" max="5632" width="9.140625" style="38"/>
    <col min="5633" max="5633" width="21.7109375" style="38" customWidth="1"/>
    <col min="5634" max="5634" width="9.7109375" style="38" customWidth="1"/>
    <col min="5635" max="5637" width="9.140625" style="38"/>
    <col min="5638" max="5638" width="10.7109375" style="38" customWidth="1"/>
    <col min="5639" max="5639" width="9.5703125" style="38" customWidth="1"/>
    <col min="5640" max="5888" width="9.140625" style="38"/>
    <col min="5889" max="5889" width="21.7109375" style="38" customWidth="1"/>
    <col min="5890" max="5890" width="9.7109375" style="38" customWidth="1"/>
    <col min="5891" max="5893" width="9.140625" style="38"/>
    <col min="5894" max="5894" width="10.7109375" style="38" customWidth="1"/>
    <col min="5895" max="5895" width="9.5703125" style="38" customWidth="1"/>
    <col min="5896" max="6144" width="9.140625" style="38"/>
    <col min="6145" max="6145" width="21.7109375" style="38" customWidth="1"/>
    <col min="6146" max="6146" width="9.7109375" style="38" customWidth="1"/>
    <col min="6147" max="6149" width="9.140625" style="38"/>
    <col min="6150" max="6150" width="10.7109375" style="38" customWidth="1"/>
    <col min="6151" max="6151" width="9.5703125" style="38" customWidth="1"/>
    <col min="6152" max="6400" width="9.140625" style="38"/>
    <col min="6401" max="6401" width="21.7109375" style="38" customWidth="1"/>
    <col min="6402" max="6402" width="9.7109375" style="38" customWidth="1"/>
    <col min="6403" max="6405" width="9.140625" style="38"/>
    <col min="6406" max="6406" width="10.7109375" style="38" customWidth="1"/>
    <col min="6407" max="6407" width="9.5703125" style="38" customWidth="1"/>
    <col min="6408" max="6656" width="9.140625" style="38"/>
    <col min="6657" max="6657" width="21.7109375" style="38" customWidth="1"/>
    <col min="6658" max="6658" width="9.7109375" style="38" customWidth="1"/>
    <col min="6659" max="6661" width="9.140625" style="38"/>
    <col min="6662" max="6662" width="10.7109375" style="38" customWidth="1"/>
    <col min="6663" max="6663" width="9.5703125" style="38" customWidth="1"/>
    <col min="6664" max="6912" width="9.140625" style="38"/>
    <col min="6913" max="6913" width="21.7109375" style="38" customWidth="1"/>
    <col min="6914" max="6914" width="9.7109375" style="38" customWidth="1"/>
    <col min="6915" max="6917" width="9.140625" style="38"/>
    <col min="6918" max="6918" width="10.7109375" style="38" customWidth="1"/>
    <col min="6919" max="6919" width="9.5703125" style="38" customWidth="1"/>
    <col min="6920" max="7168" width="9.140625" style="38"/>
    <col min="7169" max="7169" width="21.7109375" style="38" customWidth="1"/>
    <col min="7170" max="7170" width="9.7109375" style="38" customWidth="1"/>
    <col min="7171" max="7173" width="9.140625" style="38"/>
    <col min="7174" max="7174" width="10.7109375" style="38" customWidth="1"/>
    <col min="7175" max="7175" width="9.5703125" style="38" customWidth="1"/>
    <col min="7176" max="7424" width="9.140625" style="38"/>
    <col min="7425" max="7425" width="21.7109375" style="38" customWidth="1"/>
    <col min="7426" max="7426" width="9.7109375" style="38" customWidth="1"/>
    <col min="7427" max="7429" width="9.140625" style="38"/>
    <col min="7430" max="7430" width="10.7109375" style="38" customWidth="1"/>
    <col min="7431" max="7431" width="9.5703125" style="38" customWidth="1"/>
    <col min="7432" max="7680" width="9.140625" style="38"/>
    <col min="7681" max="7681" width="21.7109375" style="38" customWidth="1"/>
    <col min="7682" max="7682" width="9.7109375" style="38" customWidth="1"/>
    <col min="7683" max="7685" width="9.140625" style="38"/>
    <col min="7686" max="7686" width="10.7109375" style="38" customWidth="1"/>
    <col min="7687" max="7687" width="9.5703125" style="38" customWidth="1"/>
    <col min="7688" max="7936" width="9.140625" style="38"/>
    <col min="7937" max="7937" width="21.7109375" style="38" customWidth="1"/>
    <col min="7938" max="7938" width="9.7109375" style="38" customWidth="1"/>
    <col min="7939" max="7941" width="9.140625" style="38"/>
    <col min="7942" max="7942" width="10.7109375" style="38" customWidth="1"/>
    <col min="7943" max="7943" width="9.5703125" style="38" customWidth="1"/>
    <col min="7944" max="8192" width="9.140625" style="38"/>
    <col min="8193" max="8193" width="21.7109375" style="38" customWidth="1"/>
    <col min="8194" max="8194" width="9.7109375" style="38" customWidth="1"/>
    <col min="8195" max="8197" width="9.140625" style="38"/>
    <col min="8198" max="8198" width="10.7109375" style="38" customWidth="1"/>
    <col min="8199" max="8199" width="9.5703125" style="38" customWidth="1"/>
    <col min="8200" max="8448" width="9.140625" style="38"/>
    <col min="8449" max="8449" width="21.7109375" style="38" customWidth="1"/>
    <col min="8450" max="8450" width="9.7109375" style="38" customWidth="1"/>
    <col min="8451" max="8453" width="9.140625" style="38"/>
    <col min="8454" max="8454" width="10.7109375" style="38" customWidth="1"/>
    <col min="8455" max="8455" width="9.5703125" style="38" customWidth="1"/>
    <col min="8456" max="8704" width="9.140625" style="38"/>
    <col min="8705" max="8705" width="21.7109375" style="38" customWidth="1"/>
    <col min="8706" max="8706" width="9.7109375" style="38" customWidth="1"/>
    <col min="8707" max="8709" width="9.140625" style="38"/>
    <col min="8710" max="8710" width="10.7109375" style="38" customWidth="1"/>
    <col min="8711" max="8711" width="9.5703125" style="38" customWidth="1"/>
    <col min="8712" max="8960" width="9.140625" style="38"/>
    <col min="8961" max="8961" width="21.7109375" style="38" customWidth="1"/>
    <col min="8962" max="8962" width="9.7109375" style="38" customWidth="1"/>
    <col min="8963" max="8965" width="9.140625" style="38"/>
    <col min="8966" max="8966" width="10.7109375" style="38" customWidth="1"/>
    <col min="8967" max="8967" width="9.5703125" style="38" customWidth="1"/>
    <col min="8968" max="9216" width="9.140625" style="38"/>
    <col min="9217" max="9217" width="21.7109375" style="38" customWidth="1"/>
    <col min="9218" max="9218" width="9.7109375" style="38" customWidth="1"/>
    <col min="9219" max="9221" width="9.140625" style="38"/>
    <col min="9222" max="9222" width="10.7109375" style="38" customWidth="1"/>
    <col min="9223" max="9223" width="9.5703125" style="38" customWidth="1"/>
    <col min="9224" max="9472" width="9.140625" style="38"/>
    <col min="9473" max="9473" width="21.7109375" style="38" customWidth="1"/>
    <col min="9474" max="9474" width="9.7109375" style="38" customWidth="1"/>
    <col min="9475" max="9477" width="9.140625" style="38"/>
    <col min="9478" max="9478" width="10.7109375" style="38" customWidth="1"/>
    <col min="9479" max="9479" width="9.5703125" style="38" customWidth="1"/>
    <col min="9480" max="9728" width="9.140625" style="38"/>
    <col min="9729" max="9729" width="21.7109375" style="38" customWidth="1"/>
    <col min="9730" max="9730" width="9.7109375" style="38" customWidth="1"/>
    <col min="9731" max="9733" width="9.140625" style="38"/>
    <col min="9734" max="9734" width="10.7109375" style="38" customWidth="1"/>
    <col min="9735" max="9735" width="9.5703125" style="38" customWidth="1"/>
    <col min="9736" max="9984" width="9.140625" style="38"/>
    <col min="9985" max="9985" width="21.7109375" style="38" customWidth="1"/>
    <col min="9986" max="9986" width="9.7109375" style="38" customWidth="1"/>
    <col min="9987" max="9989" width="9.140625" style="38"/>
    <col min="9990" max="9990" width="10.7109375" style="38" customWidth="1"/>
    <col min="9991" max="9991" width="9.5703125" style="38" customWidth="1"/>
    <col min="9992" max="10240" width="9.140625" style="38"/>
    <col min="10241" max="10241" width="21.7109375" style="38" customWidth="1"/>
    <col min="10242" max="10242" width="9.7109375" style="38" customWidth="1"/>
    <col min="10243" max="10245" width="9.140625" style="38"/>
    <col min="10246" max="10246" width="10.7109375" style="38" customWidth="1"/>
    <col min="10247" max="10247" width="9.5703125" style="38" customWidth="1"/>
    <col min="10248" max="10496" width="9.140625" style="38"/>
    <col min="10497" max="10497" width="21.7109375" style="38" customWidth="1"/>
    <col min="10498" max="10498" width="9.7109375" style="38" customWidth="1"/>
    <col min="10499" max="10501" width="9.140625" style="38"/>
    <col min="10502" max="10502" width="10.7109375" style="38" customWidth="1"/>
    <col min="10503" max="10503" width="9.5703125" style="38" customWidth="1"/>
    <col min="10504" max="10752" width="9.140625" style="38"/>
    <col min="10753" max="10753" width="21.7109375" style="38" customWidth="1"/>
    <col min="10754" max="10754" width="9.7109375" style="38" customWidth="1"/>
    <col min="10755" max="10757" width="9.140625" style="38"/>
    <col min="10758" max="10758" width="10.7109375" style="38" customWidth="1"/>
    <col min="10759" max="10759" width="9.5703125" style="38" customWidth="1"/>
    <col min="10760" max="11008" width="9.140625" style="38"/>
    <col min="11009" max="11009" width="21.7109375" style="38" customWidth="1"/>
    <col min="11010" max="11010" width="9.7109375" style="38" customWidth="1"/>
    <col min="11011" max="11013" width="9.140625" style="38"/>
    <col min="11014" max="11014" width="10.7109375" style="38" customWidth="1"/>
    <col min="11015" max="11015" width="9.5703125" style="38" customWidth="1"/>
    <col min="11016" max="11264" width="9.140625" style="38"/>
    <col min="11265" max="11265" width="21.7109375" style="38" customWidth="1"/>
    <col min="11266" max="11266" width="9.7109375" style="38" customWidth="1"/>
    <col min="11267" max="11269" width="9.140625" style="38"/>
    <col min="11270" max="11270" width="10.7109375" style="38" customWidth="1"/>
    <col min="11271" max="11271" width="9.5703125" style="38" customWidth="1"/>
    <col min="11272" max="11520" width="9.140625" style="38"/>
    <col min="11521" max="11521" width="21.7109375" style="38" customWidth="1"/>
    <col min="11522" max="11522" width="9.7109375" style="38" customWidth="1"/>
    <col min="11523" max="11525" width="9.140625" style="38"/>
    <col min="11526" max="11526" width="10.7109375" style="38" customWidth="1"/>
    <col min="11527" max="11527" width="9.5703125" style="38" customWidth="1"/>
    <col min="11528" max="11776" width="9.140625" style="38"/>
    <col min="11777" max="11777" width="21.7109375" style="38" customWidth="1"/>
    <col min="11778" max="11778" width="9.7109375" style="38" customWidth="1"/>
    <col min="11779" max="11781" width="9.140625" style="38"/>
    <col min="11782" max="11782" width="10.7109375" style="38" customWidth="1"/>
    <col min="11783" max="11783" width="9.5703125" style="38" customWidth="1"/>
    <col min="11784" max="12032" width="9.140625" style="38"/>
    <col min="12033" max="12033" width="21.7109375" style="38" customWidth="1"/>
    <col min="12034" max="12034" width="9.7109375" style="38" customWidth="1"/>
    <col min="12035" max="12037" width="9.140625" style="38"/>
    <col min="12038" max="12038" width="10.7109375" style="38" customWidth="1"/>
    <col min="12039" max="12039" width="9.5703125" style="38" customWidth="1"/>
    <col min="12040" max="12288" width="9.140625" style="38"/>
    <col min="12289" max="12289" width="21.7109375" style="38" customWidth="1"/>
    <col min="12290" max="12290" width="9.7109375" style="38" customWidth="1"/>
    <col min="12291" max="12293" width="9.140625" style="38"/>
    <col min="12294" max="12294" width="10.7109375" style="38" customWidth="1"/>
    <col min="12295" max="12295" width="9.5703125" style="38" customWidth="1"/>
    <col min="12296" max="12544" width="9.140625" style="38"/>
    <col min="12545" max="12545" width="21.7109375" style="38" customWidth="1"/>
    <col min="12546" max="12546" width="9.7109375" style="38" customWidth="1"/>
    <col min="12547" max="12549" width="9.140625" style="38"/>
    <col min="12550" max="12550" width="10.7109375" style="38" customWidth="1"/>
    <col min="12551" max="12551" width="9.5703125" style="38" customWidth="1"/>
    <col min="12552" max="12800" width="9.140625" style="38"/>
    <col min="12801" max="12801" width="21.7109375" style="38" customWidth="1"/>
    <col min="12802" max="12802" width="9.7109375" style="38" customWidth="1"/>
    <col min="12803" max="12805" width="9.140625" style="38"/>
    <col min="12806" max="12806" width="10.7109375" style="38" customWidth="1"/>
    <col min="12807" max="12807" width="9.5703125" style="38" customWidth="1"/>
    <col min="12808" max="13056" width="9.140625" style="38"/>
    <col min="13057" max="13057" width="21.7109375" style="38" customWidth="1"/>
    <col min="13058" max="13058" width="9.7109375" style="38" customWidth="1"/>
    <col min="13059" max="13061" width="9.140625" style="38"/>
    <col min="13062" max="13062" width="10.7109375" style="38" customWidth="1"/>
    <col min="13063" max="13063" width="9.5703125" style="38" customWidth="1"/>
    <col min="13064" max="13312" width="9.140625" style="38"/>
    <col min="13313" max="13313" width="21.7109375" style="38" customWidth="1"/>
    <col min="13314" max="13314" width="9.7109375" style="38" customWidth="1"/>
    <col min="13315" max="13317" width="9.140625" style="38"/>
    <col min="13318" max="13318" width="10.7109375" style="38" customWidth="1"/>
    <col min="13319" max="13319" width="9.5703125" style="38" customWidth="1"/>
    <col min="13320" max="13568" width="9.140625" style="38"/>
    <col min="13569" max="13569" width="21.7109375" style="38" customWidth="1"/>
    <col min="13570" max="13570" width="9.7109375" style="38" customWidth="1"/>
    <col min="13571" max="13573" width="9.140625" style="38"/>
    <col min="13574" max="13574" width="10.7109375" style="38" customWidth="1"/>
    <col min="13575" max="13575" width="9.5703125" style="38" customWidth="1"/>
    <col min="13576" max="13824" width="9.140625" style="38"/>
    <col min="13825" max="13825" width="21.7109375" style="38" customWidth="1"/>
    <col min="13826" max="13826" width="9.7109375" style="38" customWidth="1"/>
    <col min="13827" max="13829" width="9.140625" style="38"/>
    <col min="13830" max="13830" width="10.7109375" style="38" customWidth="1"/>
    <col min="13831" max="13831" width="9.5703125" style="38" customWidth="1"/>
    <col min="13832" max="14080" width="9.140625" style="38"/>
    <col min="14081" max="14081" width="21.7109375" style="38" customWidth="1"/>
    <col min="14082" max="14082" width="9.7109375" style="38" customWidth="1"/>
    <col min="14083" max="14085" width="9.140625" style="38"/>
    <col min="14086" max="14086" width="10.7109375" style="38" customWidth="1"/>
    <col min="14087" max="14087" width="9.5703125" style="38" customWidth="1"/>
    <col min="14088" max="14336" width="9.140625" style="38"/>
    <col min="14337" max="14337" width="21.7109375" style="38" customWidth="1"/>
    <col min="14338" max="14338" width="9.7109375" style="38" customWidth="1"/>
    <col min="14339" max="14341" width="9.140625" style="38"/>
    <col min="14342" max="14342" width="10.7109375" style="38" customWidth="1"/>
    <col min="14343" max="14343" width="9.5703125" style="38" customWidth="1"/>
    <col min="14344" max="14592" width="9.140625" style="38"/>
    <col min="14593" max="14593" width="21.7109375" style="38" customWidth="1"/>
    <col min="14594" max="14594" width="9.7109375" style="38" customWidth="1"/>
    <col min="14595" max="14597" width="9.140625" style="38"/>
    <col min="14598" max="14598" width="10.7109375" style="38" customWidth="1"/>
    <col min="14599" max="14599" width="9.5703125" style="38" customWidth="1"/>
    <col min="14600" max="14848" width="9.140625" style="38"/>
    <col min="14849" max="14849" width="21.7109375" style="38" customWidth="1"/>
    <col min="14850" max="14850" width="9.7109375" style="38" customWidth="1"/>
    <col min="14851" max="14853" width="9.140625" style="38"/>
    <col min="14854" max="14854" width="10.7109375" style="38" customWidth="1"/>
    <col min="14855" max="14855" width="9.5703125" style="38" customWidth="1"/>
    <col min="14856" max="15104" width="9.140625" style="38"/>
    <col min="15105" max="15105" width="21.7109375" style="38" customWidth="1"/>
    <col min="15106" max="15106" width="9.7109375" style="38" customWidth="1"/>
    <col min="15107" max="15109" width="9.140625" style="38"/>
    <col min="15110" max="15110" width="10.7109375" style="38" customWidth="1"/>
    <col min="15111" max="15111" width="9.5703125" style="38" customWidth="1"/>
    <col min="15112" max="15360" width="9.140625" style="38"/>
    <col min="15361" max="15361" width="21.7109375" style="38" customWidth="1"/>
    <col min="15362" max="15362" width="9.7109375" style="38" customWidth="1"/>
    <col min="15363" max="15365" width="9.140625" style="38"/>
    <col min="15366" max="15366" width="10.7109375" style="38" customWidth="1"/>
    <col min="15367" max="15367" width="9.5703125" style="38" customWidth="1"/>
    <col min="15368" max="15616" width="9.140625" style="38"/>
    <col min="15617" max="15617" width="21.7109375" style="38" customWidth="1"/>
    <col min="15618" max="15618" width="9.7109375" style="38" customWidth="1"/>
    <col min="15619" max="15621" width="9.140625" style="38"/>
    <col min="15622" max="15622" width="10.7109375" style="38" customWidth="1"/>
    <col min="15623" max="15623" width="9.5703125" style="38" customWidth="1"/>
    <col min="15624" max="15872" width="9.140625" style="38"/>
    <col min="15873" max="15873" width="21.7109375" style="38" customWidth="1"/>
    <col min="15874" max="15874" width="9.7109375" style="38" customWidth="1"/>
    <col min="15875" max="15877" width="9.140625" style="38"/>
    <col min="15878" max="15878" width="10.7109375" style="38" customWidth="1"/>
    <col min="15879" max="15879" width="9.5703125" style="38" customWidth="1"/>
    <col min="15880" max="16128" width="9.140625" style="38"/>
    <col min="16129" max="16129" width="21.7109375" style="38" customWidth="1"/>
    <col min="16130" max="16130" width="9.7109375" style="38" customWidth="1"/>
    <col min="16131" max="16133" width="9.140625" style="38"/>
    <col min="16134" max="16134" width="10.7109375" style="38" customWidth="1"/>
    <col min="16135" max="16135" width="9.5703125" style="38" customWidth="1"/>
    <col min="16136" max="16384" width="9.140625" style="38"/>
  </cols>
  <sheetData>
    <row r="1" spans="1:14" ht="15.75" x14ac:dyDescent="0.25">
      <c r="A1" s="52" t="s">
        <v>65</v>
      </c>
      <c r="F1" s="37"/>
      <c r="G1" s="37"/>
    </row>
    <row r="2" spans="1:14" x14ac:dyDescent="0.2">
      <c r="F2" s="37"/>
      <c r="G2" s="37"/>
    </row>
    <row r="3" spans="1:14" ht="48" x14ac:dyDescent="0.2">
      <c r="A3" s="54">
        <v>2010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71" t="s">
        <v>49</v>
      </c>
      <c r="N3" s="38" t="s">
        <v>78</v>
      </c>
    </row>
    <row r="4" spans="1:14" x14ac:dyDescent="0.2">
      <c r="A4" s="59" t="s">
        <v>74</v>
      </c>
      <c r="B4" s="130">
        <f>SUM(B5:B32)</f>
        <v>394.59</v>
      </c>
      <c r="C4" s="131" t="s">
        <v>1</v>
      </c>
      <c r="D4" s="132" t="s">
        <v>1</v>
      </c>
      <c r="E4" s="133">
        <v>0.11794207092216399</v>
      </c>
      <c r="F4" s="130" t="s">
        <v>1</v>
      </c>
      <c r="G4" s="134">
        <f>SUM(G5:G32)</f>
        <v>3038.427000000001</v>
      </c>
      <c r="H4" s="135" t="s">
        <v>1</v>
      </c>
      <c r="I4" s="135" t="s">
        <v>1</v>
      </c>
      <c r="J4" s="136">
        <f>SUM(J5:J32)</f>
        <v>266.15899999999999</v>
      </c>
      <c r="L4" s="41"/>
      <c r="M4" s="42"/>
    </row>
    <row r="5" spans="1:14" x14ac:dyDescent="0.2">
      <c r="A5" s="61" t="s">
        <v>3</v>
      </c>
      <c r="B5" s="137">
        <v>15.196999999999999</v>
      </c>
      <c r="C5" s="138">
        <v>0.69237349476870436</v>
      </c>
      <c r="D5" s="139">
        <v>0.30762650523129564</v>
      </c>
      <c r="E5" s="140">
        <v>0.15976661059714045</v>
      </c>
      <c r="F5" s="137">
        <v>2.5750000000000002</v>
      </c>
      <c r="G5" s="141" t="s">
        <v>1</v>
      </c>
      <c r="H5" s="142" t="s">
        <v>1</v>
      </c>
      <c r="I5" s="142" t="s">
        <v>1</v>
      </c>
      <c r="J5" s="143">
        <v>4.7880000000000003</v>
      </c>
      <c r="L5" s="41"/>
      <c r="M5" s="43"/>
    </row>
    <row r="6" spans="1:14" x14ac:dyDescent="0.2">
      <c r="A6" s="63" t="s">
        <v>4</v>
      </c>
      <c r="B6" s="117">
        <v>3.722</v>
      </c>
      <c r="C6" s="118">
        <v>0.94975819451907573</v>
      </c>
      <c r="D6" s="119">
        <v>5.0241805480924231E-2</v>
      </c>
      <c r="E6" s="120">
        <v>7.978050714852207E-2</v>
      </c>
      <c r="F6" s="117">
        <v>1.0169999999999999</v>
      </c>
      <c r="G6" s="121">
        <v>40.43</v>
      </c>
      <c r="H6" s="122">
        <v>0.98229037843185751</v>
      </c>
      <c r="I6" s="122">
        <v>1.7709621568142469E-2</v>
      </c>
      <c r="J6" s="123">
        <v>3.9209999999999998</v>
      </c>
    </row>
    <row r="7" spans="1:14" x14ac:dyDescent="0.2">
      <c r="A7" s="63" t="s">
        <v>6</v>
      </c>
      <c r="B7" s="117">
        <v>12.24</v>
      </c>
      <c r="C7" s="118">
        <v>0.73929738562091507</v>
      </c>
      <c r="D7" s="119">
        <v>0.26070261437908498</v>
      </c>
      <c r="E7" s="120">
        <v>0.14247468280758935</v>
      </c>
      <c r="F7" s="117">
        <v>4.7919999999999998</v>
      </c>
      <c r="G7" s="121">
        <v>135.672</v>
      </c>
      <c r="H7" s="122">
        <v>0.64711952355681346</v>
      </c>
      <c r="I7" s="122">
        <v>0.35288047644318649</v>
      </c>
      <c r="J7" s="123">
        <v>20.547999999999998</v>
      </c>
    </row>
    <row r="8" spans="1:14" x14ac:dyDescent="0.2">
      <c r="A8" s="63" t="s">
        <v>8</v>
      </c>
      <c r="B8" s="117">
        <v>19.100000000000001</v>
      </c>
      <c r="C8" s="118" t="s">
        <v>1</v>
      </c>
      <c r="D8" s="119" t="s">
        <v>1</v>
      </c>
      <c r="E8" s="120">
        <v>0.49245842464870437</v>
      </c>
      <c r="F8" s="117">
        <v>5.806</v>
      </c>
      <c r="G8" s="121">
        <v>124.736</v>
      </c>
      <c r="H8" s="122" t="s">
        <v>1</v>
      </c>
      <c r="I8" s="122" t="s">
        <v>1</v>
      </c>
      <c r="J8" s="123">
        <v>10.177</v>
      </c>
    </row>
    <row r="9" spans="1:14" x14ac:dyDescent="0.2">
      <c r="A9" s="63" t="s">
        <v>7</v>
      </c>
      <c r="B9" s="117">
        <v>83.198999999999998</v>
      </c>
      <c r="C9" s="118">
        <v>0.64189473431171051</v>
      </c>
      <c r="D9" s="119">
        <v>0.35810526568828954</v>
      </c>
      <c r="E9" s="120">
        <v>0.13249978500377438</v>
      </c>
      <c r="F9" s="117" t="s">
        <v>1</v>
      </c>
      <c r="G9" s="121">
        <v>675.82</v>
      </c>
      <c r="H9" s="122">
        <v>0.5372821165399071</v>
      </c>
      <c r="I9" s="122">
        <v>0.4627178834600929</v>
      </c>
      <c r="J9" s="123">
        <v>63.927</v>
      </c>
    </row>
    <row r="10" spans="1:14" x14ac:dyDescent="0.2">
      <c r="A10" s="63" t="s">
        <v>9</v>
      </c>
      <c r="B10" s="117">
        <v>1.335</v>
      </c>
      <c r="C10" s="118">
        <v>0.92808988764044942</v>
      </c>
      <c r="D10" s="119">
        <v>7.1910112359550568E-2</v>
      </c>
      <c r="E10" s="120">
        <v>0.10297747608762728</v>
      </c>
      <c r="F10" s="117">
        <v>0.44700000000000001</v>
      </c>
      <c r="G10" s="121">
        <v>12.32</v>
      </c>
      <c r="H10" s="122">
        <v>0.83206168831168836</v>
      </c>
      <c r="I10" s="122">
        <v>0.16793831168831169</v>
      </c>
      <c r="J10" s="123">
        <v>1.468</v>
      </c>
    </row>
    <row r="11" spans="1:14" x14ac:dyDescent="0.2">
      <c r="A11" s="63" t="s">
        <v>16</v>
      </c>
      <c r="B11" s="117">
        <v>1.9179999999999999</v>
      </c>
      <c r="C11" s="118">
        <v>0</v>
      </c>
      <c r="D11" s="119">
        <v>1</v>
      </c>
      <c r="E11" s="120">
        <v>6.7037153542343852E-2</v>
      </c>
      <c r="F11" s="117">
        <v>0.28499999999999998</v>
      </c>
      <c r="G11" s="121">
        <v>11.962</v>
      </c>
      <c r="H11" s="122">
        <v>0</v>
      </c>
      <c r="I11" s="122">
        <v>1</v>
      </c>
      <c r="J11" s="123">
        <v>0.65600000000000003</v>
      </c>
    </row>
    <row r="12" spans="1:14" x14ac:dyDescent="0.2">
      <c r="A12" s="63" t="s">
        <v>10</v>
      </c>
      <c r="B12" s="117">
        <v>2.4780000000000002</v>
      </c>
      <c r="C12" s="118">
        <v>6.7796610169491525E-2</v>
      </c>
      <c r="D12" s="119">
        <v>0.93220338983050843</v>
      </c>
      <c r="E12" s="120">
        <v>4.3176749372734878E-2</v>
      </c>
      <c r="F12" s="117">
        <v>0.58799999999999997</v>
      </c>
      <c r="G12" s="121">
        <v>12.705</v>
      </c>
      <c r="H12" s="122">
        <v>0.55419126328217239</v>
      </c>
      <c r="I12" s="122">
        <v>0.44580873671782761</v>
      </c>
      <c r="J12" s="123">
        <v>0.95699999999999996</v>
      </c>
    </row>
    <row r="13" spans="1:14" x14ac:dyDescent="0.2">
      <c r="A13" s="63" t="s">
        <v>11</v>
      </c>
      <c r="B13" s="117">
        <v>22.419</v>
      </c>
      <c r="C13" s="118">
        <v>0</v>
      </c>
      <c r="D13" s="119">
        <v>1</v>
      </c>
      <c r="E13" s="120">
        <v>7.3967640188457626E-2</v>
      </c>
      <c r="F13" s="117">
        <v>3.3820000000000001</v>
      </c>
      <c r="G13" s="121">
        <v>153.31399999999999</v>
      </c>
      <c r="H13" s="122">
        <v>0</v>
      </c>
      <c r="I13" s="122">
        <v>1</v>
      </c>
      <c r="J13" s="123">
        <v>10.295999999999999</v>
      </c>
    </row>
    <row r="14" spans="1:14" x14ac:dyDescent="0.2">
      <c r="A14" s="63" t="s">
        <v>13</v>
      </c>
      <c r="B14" s="117">
        <v>15.689</v>
      </c>
      <c r="C14" s="118">
        <v>0.52661100133851746</v>
      </c>
      <c r="D14" s="119">
        <v>0.47338899866148254</v>
      </c>
      <c r="E14" s="120">
        <v>2.7572838056808237E-2</v>
      </c>
      <c r="F14" s="117">
        <v>4.6059999999999999</v>
      </c>
      <c r="G14" s="121">
        <v>173.94499999999999</v>
      </c>
      <c r="H14" s="122">
        <v>0.35108223863865012</v>
      </c>
      <c r="I14" s="122">
        <v>0.64891776136134982</v>
      </c>
      <c r="J14" s="123">
        <v>13.324999999999999</v>
      </c>
    </row>
    <row r="15" spans="1:14" x14ac:dyDescent="0.2">
      <c r="A15" s="63" t="s">
        <v>14</v>
      </c>
      <c r="B15" s="117">
        <v>2.0209999999999999</v>
      </c>
      <c r="C15" s="118">
        <v>0.65649999999999997</v>
      </c>
      <c r="D15" s="119">
        <v>0.34339999999999998</v>
      </c>
      <c r="E15" s="120">
        <v>0.158</v>
      </c>
      <c r="F15" s="117">
        <v>0.69099999999999995</v>
      </c>
      <c r="G15" s="121">
        <v>14.923</v>
      </c>
      <c r="H15" s="122">
        <v>0.52777591637070298</v>
      </c>
      <c r="I15" s="122">
        <v>0.47222408362929708</v>
      </c>
      <c r="J15" s="123">
        <v>1.7110000000000001</v>
      </c>
      <c r="L15" s="41"/>
      <c r="M15" s="42"/>
    </row>
    <row r="16" spans="1:14" x14ac:dyDescent="0.2">
      <c r="A16" s="63" t="s">
        <v>17</v>
      </c>
      <c r="B16" s="117">
        <v>34.704999999999998</v>
      </c>
      <c r="C16" s="118">
        <v>0.60374585794554103</v>
      </c>
      <c r="D16" s="119">
        <v>0.39625414205445902</v>
      </c>
      <c r="E16" s="120">
        <v>0.11489363110884521</v>
      </c>
      <c r="F16" s="117">
        <v>7.351</v>
      </c>
      <c r="G16" s="121">
        <v>202.506</v>
      </c>
      <c r="H16" s="122">
        <v>0.45730990686695705</v>
      </c>
      <c r="I16" s="122">
        <v>0.54269009313304295</v>
      </c>
      <c r="J16" s="123">
        <v>13.872</v>
      </c>
    </row>
    <row r="17" spans="1:10" x14ac:dyDescent="0.2">
      <c r="A17" s="63" t="s">
        <v>5</v>
      </c>
      <c r="B17" s="117">
        <v>5.6000000000000001E-2</v>
      </c>
      <c r="C17" s="118" t="s">
        <v>1</v>
      </c>
      <c r="D17" s="119" t="s">
        <v>1</v>
      </c>
      <c r="E17" s="120">
        <v>1.0477081384471469E-2</v>
      </c>
      <c r="F17" s="117">
        <v>2.1999999999999999E-2</v>
      </c>
      <c r="G17" s="121">
        <v>0.14000000000000001</v>
      </c>
      <c r="H17" s="122" t="s">
        <v>1</v>
      </c>
      <c r="I17" s="122" t="s">
        <v>1</v>
      </c>
      <c r="J17" s="123">
        <v>3.5999999999999997E-2</v>
      </c>
    </row>
    <row r="18" spans="1:10" x14ac:dyDescent="0.2">
      <c r="A18" s="63" t="s">
        <v>20</v>
      </c>
      <c r="B18" s="117">
        <v>2.9809999999999999</v>
      </c>
      <c r="C18" s="118">
        <v>0.98523985239852396</v>
      </c>
      <c r="D18" s="119">
        <v>1.4760147601476014E-2</v>
      </c>
      <c r="E18" s="120">
        <v>0.449826467481515</v>
      </c>
      <c r="F18" s="117">
        <v>0.87</v>
      </c>
      <c r="G18" s="121">
        <v>10.449</v>
      </c>
      <c r="H18" s="122">
        <v>0.98038089769355918</v>
      </c>
      <c r="I18" s="122">
        <v>1.9619102306440806E-2</v>
      </c>
      <c r="J18" s="123">
        <v>0.84699999999999998</v>
      </c>
    </row>
    <row r="19" spans="1:10" x14ac:dyDescent="0.2">
      <c r="A19" s="63" t="s">
        <v>18</v>
      </c>
      <c r="B19" s="117">
        <v>1.99</v>
      </c>
      <c r="C19" s="118">
        <v>0.86582914572864322</v>
      </c>
      <c r="D19" s="119">
        <v>0.13417085427135678</v>
      </c>
      <c r="E19" s="120">
        <v>0.34614715602713514</v>
      </c>
      <c r="F19" s="117">
        <v>1.1000000000000001</v>
      </c>
      <c r="G19" s="121">
        <v>19.341999999999999</v>
      </c>
      <c r="H19" s="122">
        <v>0.85673663530141664</v>
      </c>
      <c r="I19" s="122">
        <v>0.14326336469858339</v>
      </c>
      <c r="J19" s="123">
        <v>2.4849999999999999</v>
      </c>
    </row>
    <row r="20" spans="1:10" x14ac:dyDescent="0.2">
      <c r="A20" s="63" t="s">
        <v>19</v>
      </c>
      <c r="B20" s="117">
        <v>0.44</v>
      </c>
      <c r="C20" s="118">
        <v>0.30681818181818182</v>
      </c>
      <c r="D20" s="119">
        <v>0.69318181818181823</v>
      </c>
      <c r="E20" s="120">
        <v>9.5818815331010457E-2</v>
      </c>
      <c r="F20" s="117">
        <v>0.121</v>
      </c>
      <c r="G20" s="121">
        <v>3.2090000000000001</v>
      </c>
      <c r="H20" s="122">
        <v>0.33187909005920846</v>
      </c>
      <c r="I20" s="122">
        <v>0.66812090994079154</v>
      </c>
      <c r="J20" s="123" t="s">
        <v>1</v>
      </c>
    </row>
    <row r="21" spans="1:10" x14ac:dyDescent="0.2">
      <c r="A21" s="63" t="s">
        <v>15</v>
      </c>
      <c r="B21" s="117">
        <v>7.3140000000000001</v>
      </c>
      <c r="C21" s="118">
        <v>0.94708777686628387</v>
      </c>
      <c r="D21" s="119">
        <v>5.2912223133716157E-2</v>
      </c>
      <c r="E21" s="120">
        <v>0.19571325359235772</v>
      </c>
      <c r="F21" s="117">
        <v>1.8620000000000001</v>
      </c>
      <c r="G21" s="121">
        <v>42.183999999999997</v>
      </c>
      <c r="H21" s="122">
        <v>0.88092641759908974</v>
      </c>
      <c r="I21" s="122">
        <v>0.1190735824009103</v>
      </c>
      <c r="J21" s="123">
        <v>3.4380000000000002</v>
      </c>
    </row>
    <row r="22" spans="1:10" x14ac:dyDescent="0.2">
      <c r="A22" s="63" t="s">
        <v>21</v>
      </c>
      <c r="B22" s="82">
        <v>0</v>
      </c>
      <c r="C22" s="69">
        <v>0</v>
      </c>
      <c r="D22" s="75">
        <v>0</v>
      </c>
      <c r="E22" s="33">
        <v>0</v>
      </c>
      <c r="F22" s="82">
        <v>0</v>
      </c>
      <c r="G22" s="113">
        <v>0</v>
      </c>
      <c r="H22" s="88">
        <v>0</v>
      </c>
      <c r="I22" s="88">
        <v>0</v>
      </c>
      <c r="J22" s="79">
        <v>0</v>
      </c>
    </row>
    <row r="23" spans="1:10" x14ac:dyDescent="0.2">
      <c r="A23" s="63" t="s">
        <v>22</v>
      </c>
      <c r="B23" s="117">
        <v>39.241</v>
      </c>
      <c r="C23" s="118" t="s">
        <v>1</v>
      </c>
      <c r="D23" s="119" t="s">
        <v>1</v>
      </c>
      <c r="E23" s="120">
        <v>0.33215676316234977</v>
      </c>
      <c r="F23" s="117">
        <v>9.3000000000000007</v>
      </c>
      <c r="G23" s="121">
        <v>233.61199999999999</v>
      </c>
      <c r="H23" s="122" t="s">
        <v>1</v>
      </c>
      <c r="I23" s="122" t="s">
        <v>1</v>
      </c>
      <c r="J23" s="123">
        <v>18.562000000000001</v>
      </c>
    </row>
    <row r="24" spans="1:10" x14ac:dyDescent="0.2">
      <c r="A24" s="63" t="s">
        <v>2</v>
      </c>
      <c r="B24" s="117">
        <v>10.964</v>
      </c>
      <c r="C24" s="118" t="s">
        <v>1</v>
      </c>
      <c r="D24" s="119" t="s">
        <v>1</v>
      </c>
      <c r="E24" s="120">
        <v>0.15414680782262713</v>
      </c>
      <c r="F24" s="117">
        <v>3.157</v>
      </c>
      <c r="G24" s="121">
        <v>110.61199999999999</v>
      </c>
      <c r="H24" s="122" t="s">
        <v>1</v>
      </c>
      <c r="I24" s="122" t="s">
        <v>1</v>
      </c>
      <c r="J24" s="123">
        <v>8.6029999999999998</v>
      </c>
    </row>
    <row r="25" spans="1:10" x14ac:dyDescent="0.2">
      <c r="A25" s="63" t="s">
        <v>24</v>
      </c>
      <c r="B25" s="117">
        <v>27.704999999999998</v>
      </c>
      <c r="C25" s="118">
        <v>0.77079949467605124</v>
      </c>
      <c r="D25" s="119">
        <v>0.22920050532394876</v>
      </c>
      <c r="E25" s="120">
        <v>0.1757295901862905</v>
      </c>
      <c r="F25" s="117">
        <v>8.6929999999999996</v>
      </c>
      <c r="G25" s="121">
        <v>277.09699999999998</v>
      </c>
      <c r="H25" s="122">
        <v>0.62052638606697297</v>
      </c>
      <c r="I25" s="122">
        <v>0.37947361393302709</v>
      </c>
      <c r="J25" s="123">
        <v>24.827000000000002</v>
      </c>
    </row>
    <row r="26" spans="1:10" x14ac:dyDescent="0.2">
      <c r="A26" s="63" t="s">
        <v>25</v>
      </c>
      <c r="B26" s="117">
        <v>6.3559999999999999</v>
      </c>
      <c r="C26" s="118">
        <v>0.71208307111390812</v>
      </c>
      <c r="D26" s="119">
        <v>0.28791692888609188</v>
      </c>
      <c r="E26" s="120">
        <v>0.11750785727491218</v>
      </c>
      <c r="F26" s="117">
        <v>1.31</v>
      </c>
      <c r="G26" s="121">
        <v>67.218000000000004</v>
      </c>
      <c r="H26" s="122">
        <v>0.61645690142521348</v>
      </c>
      <c r="I26" s="122">
        <v>0.38354309857478652</v>
      </c>
      <c r="J26" s="123">
        <v>4.8490000000000002</v>
      </c>
    </row>
    <row r="27" spans="1:10" x14ac:dyDescent="0.2">
      <c r="A27" s="63" t="s">
        <v>26</v>
      </c>
      <c r="B27" s="117">
        <v>6.54</v>
      </c>
      <c r="C27" s="118">
        <v>0.82308868501529053</v>
      </c>
      <c r="D27" s="119">
        <v>0.17691131498470947</v>
      </c>
      <c r="E27" s="120">
        <v>0.10788696613273066</v>
      </c>
      <c r="F27" s="117">
        <v>4.5819999999999999</v>
      </c>
      <c r="G27" s="121">
        <v>69</v>
      </c>
      <c r="H27" s="122">
        <v>0.77537681159420291</v>
      </c>
      <c r="I27" s="122">
        <v>0.22462318840579709</v>
      </c>
      <c r="J27" s="123">
        <v>10.771000000000001</v>
      </c>
    </row>
    <row r="28" spans="1:10" x14ac:dyDescent="0.2">
      <c r="A28" s="63" t="s">
        <v>28</v>
      </c>
      <c r="B28" s="117">
        <v>1.135</v>
      </c>
      <c r="C28" s="118">
        <v>0.77180616740088104</v>
      </c>
      <c r="D28" s="119">
        <v>0.22819383259911893</v>
      </c>
      <c r="E28" s="120">
        <v>6.90683381001643E-2</v>
      </c>
      <c r="F28" s="117">
        <v>0.33300000000000002</v>
      </c>
      <c r="G28" s="121">
        <v>11.603</v>
      </c>
      <c r="H28" s="122">
        <v>0.63871412565715768</v>
      </c>
      <c r="I28" s="122">
        <v>0.36128587434284237</v>
      </c>
      <c r="J28" s="123">
        <v>0.83899999999999997</v>
      </c>
    </row>
    <row r="29" spans="1:10" x14ac:dyDescent="0.2">
      <c r="A29" s="63" t="s">
        <v>55</v>
      </c>
      <c r="B29" s="117">
        <v>4.431</v>
      </c>
      <c r="C29" s="118">
        <v>0.73595125253893023</v>
      </c>
      <c r="D29" s="119">
        <v>0.26404874746106971</v>
      </c>
      <c r="E29" s="120">
        <v>0.15915376602851908</v>
      </c>
      <c r="F29" s="117">
        <v>2.8210000000000002</v>
      </c>
      <c r="G29" s="121">
        <v>20.061</v>
      </c>
      <c r="H29" s="122">
        <v>0.8003589053387169</v>
      </c>
      <c r="I29" s="122">
        <v>0.19964109466128308</v>
      </c>
      <c r="J29" s="123">
        <v>9.2059999999999995</v>
      </c>
    </row>
    <row r="30" spans="1:10" x14ac:dyDescent="0.2">
      <c r="A30" s="63" t="s">
        <v>12</v>
      </c>
      <c r="B30" s="117">
        <v>29.239000000000001</v>
      </c>
      <c r="C30" s="118">
        <v>0.68504394815144154</v>
      </c>
      <c r="D30" s="119">
        <v>0.3149560518485584</v>
      </c>
      <c r="E30" s="120">
        <v>0.36246544435766792</v>
      </c>
      <c r="F30" s="117">
        <v>6.1680000000000001</v>
      </c>
      <c r="G30" s="121">
        <v>272.839</v>
      </c>
      <c r="H30" s="122">
        <v>0.49924314339225695</v>
      </c>
      <c r="I30" s="122">
        <v>0.50075685660774305</v>
      </c>
      <c r="J30" s="123">
        <v>15.951000000000001</v>
      </c>
    </row>
    <row r="31" spans="1:10" x14ac:dyDescent="0.2">
      <c r="A31" s="64" t="s">
        <v>27</v>
      </c>
      <c r="B31" s="144">
        <v>18.530999999999999</v>
      </c>
      <c r="C31" s="145">
        <v>0.67740542874102849</v>
      </c>
      <c r="D31" s="146">
        <v>0.32259457125897145</v>
      </c>
      <c r="E31" s="147">
        <v>0.12469635082666596</v>
      </c>
      <c r="F31" s="144">
        <v>5.0999999999999996</v>
      </c>
      <c r="G31" s="148">
        <v>187.20400000000001</v>
      </c>
      <c r="H31" s="149">
        <v>0.53555479583769583</v>
      </c>
      <c r="I31" s="149">
        <v>0.46444520416230423</v>
      </c>
      <c r="J31" s="150">
        <v>12.288</v>
      </c>
    </row>
    <row r="32" spans="1:10" x14ac:dyDescent="0.2">
      <c r="A32" s="32" t="s">
        <v>29</v>
      </c>
      <c r="B32" s="127">
        <v>23.643999999999998</v>
      </c>
      <c r="C32" s="124" t="s">
        <v>1</v>
      </c>
      <c r="D32" s="125" t="s">
        <v>1</v>
      </c>
      <c r="E32" s="126">
        <v>6.2036738217244029E-2</v>
      </c>
      <c r="F32" s="127">
        <v>6.1020000000000003</v>
      </c>
      <c r="G32" s="128">
        <v>155.524</v>
      </c>
      <c r="H32" s="129" t="s">
        <v>1</v>
      </c>
      <c r="I32" s="129" t="s">
        <v>1</v>
      </c>
      <c r="J32" s="151">
        <v>7.8109999999999999</v>
      </c>
    </row>
    <row r="33" spans="1:14" x14ac:dyDescent="0.2">
      <c r="A33" s="25" t="s">
        <v>23</v>
      </c>
      <c r="B33" s="159">
        <v>0.26800000000000002</v>
      </c>
      <c r="C33" s="160">
        <v>1</v>
      </c>
      <c r="D33" s="161">
        <v>0</v>
      </c>
      <c r="E33" s="44">
        <v>2.1525239950202805E-3</v>
      </c>
      <c r="F33" s="159" t="s">
        <v>1</v>
      </c>
      <c r="G33" s="162">
        <v>3.8069999999999999</v>
      </c>
      <c r="H33" s="163">
        <v>1</v>
      </c>
      <c r="I33" s="163">
        <v>0</v>
      </c>
      <c r="J33" s="164">
        <v>0.2</v>
      </c>
    </row>
    <row r="34" spans="1:14" x14ac:dyDescent="0.2">
      <c r="A34" s="106" t="s">
        <v>56</v>
      </c>
      <c r="B34" s="165">
        <v>7.94</v>
      </c>
      <c r="C34" s="166">
        <v>0.45755667506297232</v>
      </c>
      <c r="D34" s="167">
        <v>0.54244332493702774</v>
      </c>
      <c r="E34" s="168">
        <v>3.7593272982084015E-2</v>
      </c>
      <c r="F34" s="165">
        <v>5.3360000000000003</v>
      </c>
      <c r="G34" s="169">
        <v>100.78400000000001</v>
      </c>
      <c r="H34" s="170">
        <v>0.29396531195427844</v>
      </c>
      <c r="I34" s="170">
        <v>0.70603468804572156</v>
      </c>
      <c r="J34" s="171" t="s">
        <v>1</v>
      </c>
      <c r="L34" s="41"/>
      <c r="M34" s="43"/>
    </row>
    <row r="35" spans="1:14" x14ac:dyDescent="0.2">
      <c r="A35" s="25"/>
      <c r="B35" s="26"/>
      <c r="C35" s="27"/>
      <c r="D35" s="27"/>
      <c r="E35" s="27"/>
      <c r="F35" s="28"/>
      <c r="G35" s="28"/>
      <c r="H35" s="27"/>
      <c r="I35" s="27"/>
      <c r="J35" s="26"/>
    </row>
    <row r="36" spans="1:14" x14ac:dyDescent="0.2">
      <c r="F36" s="36"/>
      <c r="G36" s="36"/>
    </row>
    <row r="37" spans="1:14" ht="36" x14ac:dyDescent="0.2">
      <c r="A37" s="54">
        <v>2010</v>
      </c>
      <c r="B37" s="72" t="s">
        <v>57</v>
      </c>
      <c r="C37" s="66" t="s">
        <v>58</v>
      </c>
      <c r="D37" s="12" t="s">
        <v>59</v>
      </c>
      <c r="E37" s="12" t="s">
        <v>60</v>
      </c>
      <c r="F37" s="102" t="s">
        <v>61</v>
      </c>
      <c r="G37" s="102" t="s">
        <v>62</v>
      </c>
      <c r="H37" s="44"/>
      <c r="I37" s="44"/>
      <c r="J37" s="45"/>
      <c r="K37" s="46"/>
    </row>
    <row r="38" spans="1:14" x14ac:dyDescent="0.2">
      <c r="A38" s="59" t="s">
        <v>74</v>
      </c>
      <c r="B38" s="77">
        <v>6497.1580000000004</v>
      </c>
      <c r="C38" s="67">
        <v>0.21406805868042603</v>
      </c>
      <c r="D38" s="60">
        <v>6.3493319466988496E-2</v>
      </c>
      <c r="E38" s="60">
        <v>0.48658044024787495</v>
      </c>
      <c r="F38" s="60">
        <v>0.146372921822126</v>
      </c>
      <c r="G38" s="60">
        <v>8.9886839753627698E-2</v>
      </c>
      <c r="H38" s="44"/>
      <c r="I38" s="44"/>
      <c r="J38" s="45"/>
      <c r="K38" s="46"/>
    </row>
    <row r="39" spans="1:14" x14ac:dyDescent="0.2">
      <c r="A39" s="61" t="s">
        <v>3</v>
      </c>
      <c r="B39" s="81">
        <v>203.19399999999999</v>
      </c>
      <c r="C39" s="109">
        <v>1.3071252103900706E-2</v>
      </c>
      <c r="D39" s="105">
        <v>5.3938600549228817E-3</v>
      </c>
      <c r="E39" s="105">
        <v>0.59803931218441497</v>
      </c>
      <c r="F39" s="105">
        <v>0.13971869248107721</v>
      </c>
      <c r="G39" s="105">
        <v>0.24377688317568433</v>
      </c>
      <c r="H39" s="44"/>
      <c r="I39" s="44"/>
      <c r="J39" s="45"/>
      <c r="K39" s="46"/>
    </row>
    <row r="40" spans="1:14" x14ac:dyDescent="0.2">
      <c r="A40" s="63" t="s">
        <v>4</v>
      </c>
      <c r="B40" s="82">
        <v>67.968999999999994</v>
      </c>
      <c r="C40" s="69">
        <v>0.51358707646132806</v>
      </c>
      <c r="D40" s="33">
        <v>9.0261736968323805E-2</v>
      </c>
      <c r="E40" s="33">
        <v>0.39590107254777918</v>
      </c>
      <c r="F40" s="33">
        <v>0</v>
      </c>
      <c r="G40" s="33">
        <v>2.5011402256911239E-4</v>
      </c>
      <c r="H40" s="44"/>
      <c r="I40" s="44"/>
      <c r="J40" s="45"/>
      <c r="K40" s="46"/>
      <c r="M40" s="46"/>
      <c r="N40" s="46"/>
    </row>
    <row r="41" spans="1:14" x14ac:dyDescent="0.2">
      <c r="A41" s="63" t="s">
        <v>63</v>
      </c>
      <c r="B41" s="82">
        <v>268.78500000000003</v>
      </c>
      <c r="C41" s="69">
        <v>0.75940993731048967</v>
      </c>
      <c r="D41" s="33">
        <v>1.9833696076789999E-2</v>
      </c>
      <c r="E41" s="33">
        <v>7.367598638316869E-2</v>
      </c>
      <c r="F41" s="33">
        <v>7.3032349275443192E-2</v>
      </c>
      <c r="G41" s="33">
        <v>7.4048030954108293E-2</v>
      </c>
    </row>
    <row r="42" spans="1:14" x14ac:dyDescent="0.2">
      <c r="A42" s="63" t="s">
        <v>8</v>
      </c>
      <c r="B42" s="82">
        <v>321.62299999999999</v>
      </c>
      <c r="C42" s="69">
        <v>0.49211032793052739</v>
      </c>
      <c r="D42" s="33">
        <v>2.0844280415268809E-2</v>
      </c>
      <c r="E42" s="33">
        <v>0.23837847417628713</v>
      </c>
      <c r="F42" s="33">
        <v>0.20034325903309155</v>
      </c>
      <c r="G42" s="33">
        <v>4.8323658444825154E-2</v>
      </c>
    </row>
    <row r="43" spans="1:14" x14ac:dyDescent="0.2">
      <c r="A43" s="63" t="s">
        <v>7</v>
      </c>
      <c r="B43" s="82">
        <v>1268.7090000000001</v>
      </c>
      <c r="C43" s="69">
        <v>0.27382638571965673</v>
      </c>
      <c r="D43" s="33">
        <v>4.0414310925515624E-2</v>
      </c>
      <c r="E43" s="33">
        <v>0.49630451112114754</v>
      </c>
      <c r="F43" s="33">
        <v>9.3402821293141286E-2</v>
      </c>
      <c r="G43" s="33">
        <v>9.6051970940538772E-2</v>
      </c>
      <c r="M43" s="47"/>
    </row>
    <row r="44" spans="1:14" x14ac:dyDescent="0.2">
      <c r="A44" s="63" t="s">
        <v>9</v>
      </c>
      <c r="B44" s="82">
        <v>22.04</v>
      </c>
      <c r="C44" s="69">
        <v>0.35471869328493649</v>
      </c>
      <c r="D44" s="33">
        <v>2.7676950998185121E-3</v>
      </c>
      <c r="E44" s="33">
        <v>0.28688747731397463</v>
      </c>
      <c r="F44" s="33">
        <v>0.35562613430127044</v>
      </c>
      <c r="G44" s="33">
        <v>0</v>
      </c>
      <c r="M44" s="47"/>
    </row>
    <row r="45" spans="1:14" x14ac:dyDescent="0.2">
      <c r="A45" s="63" t="s">
        <v>16</v>
      </c>
      <c r="B45" s="82">
        <v>22.306000000000001</v>
      </c>
      <c r="C45" s="69">
        <v>4.626557876804447E-2</v>
      </c>
      <c r="D45" s="33">
        <v>1.4345915897068053E-3</v>
      </c>
      <c r="E45" s="33">
        <v>0.9156280821303685</v>
      </c>
      <c r="F45" s="33">
        <v>1.3807944050928E-2</v>
      </c>
      <c r="G45" s="33">
        <v>2.2863803460952209E-2</v>
      </c>
      <c r="M45" s="47"/>
    </row>
    <row r="46" spans="1:14" x14ac:dyDescent="0.2">
      <c r="A46" s="63" t="s">
        <v>10</v>
      </c>
      <c r="B46" s="82">
        <v>27.97</v>
      </c>
      <c r="C46" s="69">
        <v>0.10493385770468359</v>
      </c>
      <c r="D46" s="33">
        <v>3.6360386127994283E-2</v>
      </c>
      <c r="E46" s="33">
        <v>0.47157668930997498</v>
      </c>
      <c r="F46" s="33">
        <v>1.0225241329996426E-2</v>
      </c>
      <c r="G46" s="33">
        <v>0.37690382552735074</v>
      </c>
      <c r="M46" s="47"/>
    </row>
    <row r="47" spans="1:14" x14ac:dyDescent="0.2">
      <c r="A47" s="63" t="s">
        <v>11</v>
      </c>
      <c r="B47" s="82">
        <v>322.13799999999998</v>
      </c>
      <c r="C47" s="69">
        <v>1.3000639477491013E-2</v>
      </c>
      <c r="D47" s="33">
        <v>5.6190204198200776E-2</v>
      </c>
      <c r="E47" s="33">
        <v>0.84819549385667015</v>
      </c>
      <c r="F47" s="33">
        <v>0</v>
      </c>
      <c r="G47" s="33">
        <v>8.2613662467638099E-2</v>
      </c>
      <c r="M47" s="47"/>
    </row>
    <row r="48" spans="1:14" x14ac:dyDescent="0.2">
      <c r="A48" s="63" t="s">
        <v>13</v>
      </c>
      <c r="B48" s="82">
        <v>281.23</v>
      </c>
      <c r="C48" s="69">
        <v>5.8884187319987201E-2</v>
      </c>
      <c r="D48" s="33">
        <v>2.6394765850015999E-2</v>
      </c>
      <c r="E48" s="33">
        <v>0.56504640329979017</v>
      </c>
      <c r="F48" s="33">
        <v>0.23027415282864558</v>
      </c>
      <c r="G48" s="33">
        <v>0.119400490701561</v>
      </c>
      <c r="M48" s="47"/>
    </row>
    <row r="49" spans="1:13" x14ac:dyDescent="0.2">
      <c r="A49" s="63" t="s">
        <v>14</v>
      </c>
      <c r="B49" s="82">
        <v>27.763000000000002</v>
      </c>
      <c r="C49" s="69">
        <v>2.4817202751863991E-2</v>
      </c>
      <c r="D49" s="33">
        <v>0.15707956632928716</v>
      </c>
      <c r="E49" s="33">
        <v>0.81810323091884884</v>
      </c>
      <c r="F49" s="33">
        <v>0</v>
      </c>
      <c r="G49" s="33">
        <v>0</v>
      </c>
      <c r="M49" s="47"/>
    </row>
    <row r="50" spans="1:13" x14ac:dyDescent="0.2">
      <c r="A50" s="63" t="s">
        <v>17</v>
      </c>
      <c r="B50" s="82">
        <v>1004.784</v>
      </c>
      <c r="C50" s="69">
        <v>2.2552110702399723E-3</v>
      </c>
      <c r="D50" s="33">
        <v>0.16692642398764312</v>
      </c>
      <c r="E50" s="33">
        <v>0.70536453605949134</v>
      </c>
      <c r="F50" s="33">
        <v>4.27106721444609E-2</v>
      </c>
      <c r="G50" s="33">
        <v>8.2743156738164611E-2</v>
      </c>
      <c r="M50" s="47"/>
    </row>
    <row r="51" spans="1:13" x14ac:dyDescent="0.2">
      <c r="A51" s="63" t="s">
        <v>5</v>
      </c>
      <c r="B51" s="82">
        <v>0.68</v>
      </c>
      <c r="C51" s="69">
        <v>0</v>
      </c>
      <c r="D51" s="33">
        <v>0.61911764705882355</v>
      </c>
      <c r="E51" s="33">
        <v>0</v>
      </c>
      <c r="F51" s="33">
        <v>0.38088235294117645</v>
      </c>
      <c r="G51" s="33">
        <v>0</v>
      </c>
    </row>
    <row r="52" spans="1:13" x14ac:dyDescent="0.2">
      <c r="A52" s="63" t="s">
        <v>20</v>
      </c>
      <c r="B52" s="82">
        <v>25.457999999999998</v>
      </c>
      <c r="C52" s="69">
        <v>1.2176918846727945E-2</v>
      </c>
      <c r="D52" s="33">
        <v>8.2488805090737694E-3</v>
      </c>
      <c r="E52" s="33">
        <v>0.95223505381412532</v>
      </c>
      <c r="F52" s="33">
        <v>2.7339146830073061E-2</v>
      </c>
      <c r="G52" s="33">
        <v>0</v>
      </c>
    </row>
    <row r="53" spans="1:13" x14ac:dyDescent="0.2">
      <c r="A53" s="63" t="s">
        <v>18</v>
      </c>
      <c r="B53" s="82">
        <v>32.56</v>
      </c>
      <c r="C53" s="69">
        <v>0</v>
      </c>
      <c r="D53" s="33">
        <v>0.16053439803439801</v>
      </c>
      <c r="E53" s="33">
        <v>0.75540540540540535</v>
      </c>
      <c r="F53" s="33">
        <v>8.406019656019656E-2</v>
      </c>
      <c r="G53" s="33">
        <v>0</v>
      </c>
    </row>
    <row r="54" spans="1:13" x14ac:dyDescent="0.2">
      <c r="A54" s="63" t="s">
        <v>19</v>
      </c>
      <c r="B54" s="82">
        <v>5.5010000000000003</v>
      </c>
      <c r="C54" s="69">
        <v>0</v>
      </c>
      <c r="D54" s="33">
        <v>1.2724959098345753E-3</v>
      </c>
      <c r="E54" s="33">
        <v>0.89983639338302124</v>
      </c>
      <c r="F54" s="33">
        <v>9.8891110707144153E-2</v>
      </c>
      <c r="G54" s="33">
        <v>0</v>
      </c>
    </row>
    <row r="55" spans="1:13" x14ac:dyDescent="0.2">
      <c r="A55" s="63" t="s">
        <v>15</v>
      </c>
      <c r="B55" s="82">
        <v>87.343000000000004</v>
      </c>
      <c r="C55" s="69">
        <v>3.7152376263695996E-2</v>
      </c>
      <c r="D55" s="33">
        <v>6.983959790710188E-4</v>
      </c>
      <c r="E55" s="33">
        <v>0.81182235554079885</v>
      </c>
      <c r="F55" s="33">
        <v>6.9015261669509859E-2</v>
      </c>
      <c r="G55" s="33">
        <v>8.1311610546924179E-2</v>
      </c>
    </row>
    <row r="56" spans="1:13" x14ac:dyDescent="0.2">
      <c r="A56" s="63" t="s">
        <v>21</v>
      </c>
      <c r="B56" s="82">
        <v>0</v>
      </c>
      <c r="C56" s="69">
        <v>0</v>
      </c>
      <c r="D56" s="33">
        <v>0</v>
      </c>
      <c r="E56" s="33">
        <v>0</v>
      </c>
      <c r="F56" s="33">
        <v>0</v>
      </c>
      <c r="G56" s="33">
        <v>0</v>
      </c>
    </row>
    <row r="57" spans="1:13" x14ac:dyDescent="0.2">
      <c r="A57" s="63" t="s">
        <v>22</v>
      </c>
      <c r="B57" s="82">
        <v>467.73500000000001</v>
      </c>
      <c r="C57" s="69">
        <v>4.7999401370434111E-2</v>
      </c>
      <c r="D57" s="33">
        <v>7.8249436112328551E-3</v>
      </c>
      <c r="E57" s="33">
        <v>0.79582242081520516</v>
      </c>
      <c r="F57" s="33">
        <v>3.1043218916694284E-2</v>
      </c>
      <c r="G57" s="33">
        <v>0.11731001528643356</v>
      </c>
    </row>
    <row r="58" spans="1:13" x14ac:dyDescent="0.2">
      <c r="A58" s="63" t="s">
        <v>2</v>
      </c>
      <c r="B58" s="82">
        <v>179.982</v>
      </c>
      <c r="C58" s="69">
        <v>4.4882266004378217E-2</v>
      </c>
      <c r="D58" s="33">
        <v>8.8642197553088636E-2</v>
      </c>
      <c r="E58" s="33">
        <v>0.45308419730861976</v>
      </c>
      <c r="F58" s="33">
        <v>0.33686146392417021</v>
      </c>
      <c r="G58" s="33">
        <v>7.6529875209743192E-2</v>
      </c>
    </row>
    <row r="59" spans="1:13" x14ac:dyDescent="0.2">
      <c r="A59" s="63" t="s">
        <v>24</v>
      </c>
      <c r="B59" s="82">
        <v>459.53</v>
      </c>
      <c r="C59" s="69">
        <v>0.74291558766565846</v>
      </c>
      <c r="D59" s="33">
        <v>8.7656953844145111E-2</v>
      </c>
      <c r="E59" s="33">
        <v>6.4790111635801811E-2</v>
      </c>
      <c r="F59" s="33">
        <v>7.6351924792723014E-2</v>
      </c>
      <c r="G59" s="33">
        <v>2.828542206167171E-2</v>
      </c>
    </row>
    <row r="60" spans="1:13" x14ac:dyDescent="0.2">
      <c r="A60" s="63" t="s">
        <v>25</v>
      </c>
      <c r="B60" s="82">
        <v>113.873</v>
      </c>
      <c r="C60" s="69">
        <v>0</v>
      </c>
      <c r="D60" s="33">
        <v>0.16388432727687863</v>
      </c>
      <c r="E60" s="33">
        <v>0.4106416797660552</v>
      </c>
      <c r="F60" s="33">
        <v>0.38271583255029723</v>
      </c>
      <c r="G60" s="33">
        <v>4.2758160406768941E-2</v>
      </c>
    </row>
    <row r="61" spans="1:13" x14ac:dyDescent="0.2">
      <c r="A61" s="63" t="s">
        <v>26</v>
      </c>
      <c r="B61" s="82">
        <v>117.30200000000001</v>
      </c>
      <c r="C61" s="69">
        <v>0.38542394844077676</v>
      </c>
      <c r="D61" s="33">
        <v>5.5915500161975065E-2</v>
      </c>
      <c r="E61" s="33">
        <v>0.50800497860224036</v>
      </c>
      <c r="F61" s="33">
        <v>1.9096008593203866E-2</v>
      </c>
      <c r="G61" s="33">
        <v>3.1559564201803884E-2</v>
      </c>
    </row>
    <row r="62" spans="1:13" x14ac:dyDescent="0.2">
      <c r="A62" s="63" t="s">
        <v>28</v>
      </c>
      <c r="B62" s="82">
        <v>20.321999999999999</v>
      </c>
      <c r="C62" s="69">
        <v>0.59152642456451143</v>
      </c>
      <c r="D62" s="33">
        <v>1.4270248991241018E-3</v>
      </c>
      <c r="E62" s="33">
        <v>0.25578191122920974</v>
      </c>
      <c r="F62" s="33">
        <v>0.14511366991437852</v>
      </c>
      <c r="G62" s="33">
        <v>6.150969392776302E-3</v>
      </c>
    </row>
    <row r="63" spans="1:13" x14ac:dyDescent="0.2">
      <c r="A63" s="63" t="s">
        <v>55</v>
      </c>
      <c r="B63" s="117">
        <v>89.444000000000003</v>
      </c>
      <c r="C63" s="118">
        <v>0.32505254684495327</v>
      </c>
      <c r="D63" s="120">
        <v>0.15051876034166628</v>
      </c>
      <c r="E63" s="120">
        <v>0.2057823889808148</v>
      </c>
      <c r="F63" s="120">
        <v>3.4110728500514283E-2</v>
      </c>
      <c r="G63" s="120">
        <v>0.28453557533205132</v>
      </c>
    </row>
    <row r="64" spans="1:13" x14ac:dyDescent="0.2">
      <c r="A64" s="63" t="s">
        <v>12</v>
      </c>
      <c r="B64" s="82">
        <v>450.94400000000002</v>
      </c>
      <c r="C64" s="69">
        <v>0.25340840547828553</v>
      </c>
      <c r="D64" s="33">
        <v>1.8370351972750495E-2</v>
      </c>
      <c r="E64" s="33">
        <v>0.2370604775759296</v>
      </c>
      <c r="F64" s="33">
        <v>0.46456766250354808</v>
      </c>
      <c r="G64" s="33">
        <v>2.6593102469486232E-2</v>
      </c>
    </row>
    <row r="65" spans="1:7" x14ac:dyDescent="0.2">
      <c r="A65" s="64" t="s">
        <v>27</v>
      </c>
      <c r="B65" s="90">
        <v>306.11799999999999</v>
      </c>
      <c r="C65" s="91">
        <v>6.6382898098119023E-2</v>
      </c>
      <c r="D65" s="34">
        <v>7.2491653545364854E-2</v>
      </c>
      <c r="E65" s="34">
        <v>0.10044492646626464</v>
      </c>
      <c r="F65" s="34">
        <v>0.6758504890271072</v>
      </c>
      <c r="G65" s="34">
        <v>8.4830032863144278E-2</v>
      </c>
    </row>
    <row r="66" spans="1:7" x14ac:dyDescent="0.2">
      <c r="A66" s="64" t="s">
        <v>29</v>
      </c>
      <c r="B66" s="90">
        <v>301.85500000000002</v>
      </c>
      <c r="C66" s="91">
        <v>3.8455549850093584E-2</v>
      </c>
      <c r="D66" s="34">
        <v>1.8710970499080683E-2</v>
      </c>
      <c r="E66" s="34">
        <v>0.68721737257954973</v>
      </c>
      <c r="F66" s="34">
        <v>5.0491129847112022E-2</v>
      </c>
      <c r="G66" s="34">
        <v>0.2051249772241639</v>
      </c>
    </row>
    <row r="67" spans="1:7" x14ac:dyDescent="0.2">
      <c r="A67" s="172" t="s">
        <v>23</v>
      </c>
      <c r="B67" s="173">
        <v>7.0019999999999998</v>
      </c>
      <c r="C67" s="174">
        <v>0.1049700085689803</v>
      </c>
      <c r="D67" s="175">
        <v>0</v>
      </c>
      <c r="E67" s="175">
        <v>0</v>
      </c>
      <c r="F67" s="175">
        <v>0.46543844615824054</v>
      </c>
      <c r="G67" s="175">
        <v>0.42959154527277921</v>
      </c>
    </row>
    <row r="68" spans="1:7" x14ac:dyDescent="0.2">
      <c r="A68" s="106" t="s">
        <v>56</v>
      </c>
      <c r="B68" s="107">
        <v>169.52500000000001</v>
      </c>
      <c r="C68" s="110">
        <v>0.12872437693555522</v>
      </c>
      <c r="D68" s="108">
        <v>8.1958413213390355E-2</v>
      </c>
      <c r="E68" s="108">
        <v>0.7183306297006341</v>
      </c>
      <c r="F68" s="108">
        <v>1.0275770535319275E-2</v>
      </c>
      <c r="G68" s="108">
        <v>6.0710809615101016E-2</v>
      </c>
    </row>
    <row r="70" spans="1:7" x14ac:dyDescent="0.2">
      <c r="A70" s="21"/>
    </row>
  </sheetData>
  <pageMargins left="0.25" right="0.25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71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13" width="9.140625" style="38"/>
    <col min="14" max="14" width="12.28515625" style="38" customWidth="1"/>
    <col min="15" max="256" width="9.140625" style="38"/>
    <col min="257" max="257" width="21.7109375" style="38" customWidth="1"/>
    <col min="258" max="258" width="9.7109375" style="38" customWidth="1"/>
    <col min="259" max="261" width="9.140625" style="38"/>
    <col min="262" max="262" width="10.7109375" style="38" customWidth="1"/>
    <col min="263" max="263" width="9.5703125" style="38" customWidth="1"/>
    <col min="264" max="512" width="9.140625" style="38"/>
    <col min="513" max="513" width="21.7109375" style="38" customWidth="1"/>
    <col min="514" max="514" width="9.7109375" style="38" customWidth="1"/>
    <col min="515" max="517" width="9.140625" style="38"/>
    <col min="518" max="518" width="10.7109375" style="38" customWidth="1"/>
    <col min="519" max="519" width="9.5703125" style="38" customWidth="1"/>
    <col min="520" max="768" width="9.140625" style="38"/>
    <col min="769" max="769" width="21.7109375" style="38" customWidth="1"/>
    <col min="770" max="770" width="9.7109375" style="38" customWidth="1"/>
    <col min="771" max="773" width="9.140625" style="38"/>
    <col min="774" max="774" width="10.7109375" style="38" customWidth="1"/>
    <col min="775" max="775" width="9.5703125" style="38" customWidth="1"/>
    <col min="776" max="1024" width="9.140625" style="38"/>
    <col min="1025" max="1025" width="21.7109375" style="38" customWidth="1"/>
    <col min="1026" max="1026" width="9.7109375" style="38" customWidth="1"/>
    <col min="1027" max="1029" width="9.140625" style="38"/>
    <col min="1030" max="1030" width="10.7109375" style="38" customWidth="1"/>
    <col min="1031" max="1031" width="9.5703125" style="38" customWidth="1"/>
    <col min="1032" max="1280" width="9.140625" style="38"/>
    <col min="1281" max="1281" width="21.7109375" style="38" customWidth="1"/>
    <col min="1282" max="1282" width="9.7109375" style="38" customWidth="1"/>
    <col min="1283" max="1285" width="9.140625" style="38"/>
    <col min="1286" max="1286" width="10.7109375" style="38" customWidth="1"/>
    <col min="1287" max="1287" width="9.5703125" style="38" customWidth="1"/>
    <col min="1288" max="1536" width="9.140625" style="38"/>
    <col min="1537" max="1537" width="21.7109375" style="38" customWidth="1"/>
    <col min="1538" max="1538" width="9.7109375" style="38" customWidth="1"/>
    <col min="1539" max="1541" width="9.140625" style="38"/>
    <col min="1542" max="1542" width="10.7109375" style="38" customWidth="1"/>
    <col min="1543" max="1543" width="9.5703125" style="38" customWidth="1"/>
    <col min="1544" max="1792" width="9.140625" style="38"/>
    <col min="1793" max="1793" width="21.7109375" style="38" customWidth="1"/>
    <col min="1794" max="1794" width="9.7109375" style="38" customWidth="1"/>
    <col min="1795" max="1797" width="9.140625" style="38"/>
    <col min="1798" max="1798" width="10.7109375" style="38" customWidth="1"/>
    <col min="1799" max="1799" width="9.5703125" style="38" customWidth="1"/>
    <col min="1800" max="2048" width="9.140625" style="38"/>
    <col min="2049" max="2049" width="21.7109375" style="38" customWidth="1"/>
    <col min="2050" max="2050" width="9.7109375" style="38" customWidth="1"/>
    <col min="2051" max="2053" width="9.140625" style="38"/>
    <col min="2054" max="2054" width="10.7109375" style="38" customWidth="1"/>
    <col min="2055" max="2055" width="9.5703125" style="38" customWidth="1"/>
    <col min="2056" max="2304" width="9.140625" style="38"/>
    <col min="2305" max="2305" width="21.7109375" style="38" customWidth="1"/>
    <col min="2306" max="2306" width="9.7109375" style="38" customWidth="1"/>
    <col min="2307" max="2309" width="9.140625" style="38"/>
    <col min="2310" max="2310" width="10.7109375" style="38" customWidth="1"/>
    <col min="2311" max="2311" width="9.5703125" style="38" customWidth="1"/>
    <col min="2312" max="2560" width="9.140625" style="38"/>
    <col min="2561" max="2561" width="21.7109375" style="38" customWidth="1"/>
    <col min="2562" max="2562" width="9.7109375" style="38" customWidth="1"/>
    <col min="2563" max="2565" width="9.140625" style="38"/>
    <col min="2566" max="2566" width="10.7109375" style="38" customWidth="1"/>
    <col min="2567" max="2567" width="9.5703125" style="38" customWidth="1"/>
    <col min="2568" max="2816" width="9.140625" style="38"/>
    <col min="2817" max="2817" width="21.7109375" style="38" customWidth="1"/>
    <col min="2818" max="2818" width="9.7109375" style="38" customWidth="1"/>
    <col min="2819" max="2821" width="9.140625" style="38"/>
    <col min="2822" max="2822" width="10.7109375" style="38" customWidth="1"/>
    <col min="2823" max="2823" width="9.5703125" style="38" customWidth="1"/>
    <col min="2824" max="3072" width="9.140625" style="38"/>
    <col min="3073" max="3073" width="21.7109375" style="38" customWidth="1"/>
    <col min="3074" max="3074" width="9.7109375" style="38" customWidth="1"/>
    <col min="3075" max="3077" width="9.140625" style="38"/>
    <col min="3078" max="3078" width="10.7109375" style="38" customWidth="1"/>
    <col min="3079" max="3079" width="9.5703125" style="38" customWidth="1"/>
    <col min="3080" max="3328" width="9.140625" style="38"/>
    <col min="3329" max="3329" width="21.7109375" style="38" customWidth="1"/>
    <col min="3330" max="3330" width="9.7109375" style="38" customWidth="1"/>
    <col min="3331" max="3333" width="9.140625" style="38"/>
    <col min="3334" max="3334" width="10.7109375" style="38" customWidth="1"/>
    <col min="3335" max="3335" width="9.5703125" style="38" customWidth="1"/>
    <col min="3336" max="3584" width="9.140625" style="38"/>
    <col min="3585" max="3585" width="21.7109375" style="38" customWidth="1"/>
    <col min="3586" max="3586" width="9.7109375" style="38" customWidth="1"/>
    <col min="3587" max="3589" width="9.140625" style="38"/>
    <col min="3590" max="3590" width="10.7109375" style="38" customWidth="1"/>
    <col min="3591" max="3591" width="9.5703125" style="38" customWidth="1"/>
    <col min="3592" max="3840" width="9.140625" style="38"/>
    <col min="3841" max="3841" width="21.7109375" style="38" customWidth="1"/>
    <col min="3842" max="3842" width="9.7109375" style="38" customWidth="1"/>
    <col min="3843" max="3845" width="9.140625" style="38"/>
    <col min="3846" max="3846" width="10.7109375" style="38" customWidth="1"/>
    <col min="3847" max="3847" width="9.5703125" style="38" customWidth="1"/>
    <col min="3848" max="4096" width="9.140625" style="38"/>
    <col min="4097" max="4097" width="21.7109375" style="38" customWidth="1"/>
    <col min="4098" max="4098" width="9.7109375" style="38" customWidth="1"/>
    <col min="4099" max="4101" width="9.140625" style="38"/>
    <col min="4102" max="4102" width="10.7109375" style="38" customWidth="1"/>
    <col min="4103" max="4103" width="9.5703125" style="38" customWidth="1"/>
    <col min="4104" max="4352" width="9.140625" style="38"/>
    <col min="4353" max="4353" width="21.7109375" style="38" customWidth="1"/>
    <col min="4354" max="4354" width="9.7109375" style="38" customWidth="1"/>
    <col min="4355" max="4357" width="9.140625" style="38"/>
    <col min="4358" max="4358" width="10.7109375" style="38" customWidth="1"/>
    <col min="4359" max="4359" width="9.5703125" style="38" customWidth="1"/>
    <col min="4360" max="4608" width="9.140625" style="38"/>
    <col min="4609" max="4609" width="21.7109375" style="38" customWidth="1"/>
    <col min="4610" max="4610" width="9.7109375" style="38" customWidth="1"/>
    <col min="4611" max="4613" width="9.140625" style="38"/>
    <col min="4614" max="4614" width="10.7109375" style="38" customWidth="1"/>
    <col min="4615" max="4615" width="9.5703125" style="38" customWidth="1"/>
    <col min="4616" max="4864" width="9.140625" style="38"/>
    <col min="4865" max="4865" width="21.7109375" style="38" customWidth="1"/>
    <col min="4866" max="4866" width="9.7109375" style="38" customWidth="1"/>
    <col min="4867" max="4869" width="9.140625" style="38"/>
    <col min="4870" max="4870" width="10.7109375" style="38" customWidth="1"/>
    <col min="4871" max="4871" width="9.5703125" style="38" customWidth="1"/>
    <col min="4872" max="5120" width="9.140625" style="38"/>
    <col min="5121" max="5121" width="21.7109375" style="38" customWidth="1"/>
    <col min="5122" max="5122" width="9.7109375" style="38" customWidth="1"/>
    <col min="5123" max="5125" width="9.140625" style="38"/>
    <col min="5126" max="5126" width="10.7109375" style="38" customWidth="1"/>
    <col min="5127" max="5127" width="9.5703125" style="38" customWidth="1"/>
    <col min="5128" max="5376" width="9.140625" style="38"/>
    <col min="5377" max="5377" width="21.7109375" style="38" customWidth="1"/>
    <col min="5378" max="5378" width="9.7109375" style="38" customWidth="1"/>
    <col min="5379" max="5381" width="9.140625" style="38"/>
    <col min="5382" max="5382" width="10.7109375" style="38" customWidth="1"/>
    <col min="5383" max="5383" width="9.5703125" style="38" customWidth="1"/>
    <col min="5384" max="5632" width="9.140625" style="38"/>
    <col min="5633" max="5633" width="21.7109375" style="38" customWidth="1"/>
    <col min="5634" max="5634" width="9.7109375" style="38" customWidth="1"/>
    <col min="5635" max="5637" width="9.140625" style="38"/>
    <col min="5638" max="5638" width="10.7109375" style="38" customWidth="1"/>
    <col min="5639" max="5639" width="9.5703125" style="38" customWidth="1"/>
    <col min="5640" max="5888" width="9.140625" style="38"/>
    <col min="5889" max="5889" width="21.7109375" style="38" customWidth="1"/>
    <col min="5890" max="5890" width="9.7109375" style="38" customWidth="1"/>
    <col min="5891" max="5893" width="9.140625" style="38"/>
    <col min="5894" max="5894" width="10.7109375" style="38" customWidth="1"/>
    <col min="5895" max="5895" width="9.5703125" style="38" customWidth="1"/>
    <col min="5896" max="6144" width="9.140625" style="38"/>
    <col min="6145" max="6145" width="21.7109375" style="38" customWidth="1"/>
    <col min="6146" max="6146" width="9.7109375" style="38" customWidth="1"/>
    <col min="6147" max="6149" width="9.140625" style="38"/>
    <col min="6150" max="6150" width="10.7109375" style="38" customWidth="1"/>
    <col min="6151" max="6151" width="9.5703125" style="38" customWidth="1"/>
    <col min="6152" max="6400" width="9.140625" style="38"/>
    <col min="6401" max="6401" width="21.7109375" style="38" customWidth="1"/>
    <col min="6402" max="6402" width="9.7109375" style="38" customWidth="1"/>
    <col min="6403" max="6405" width="9.140625" style="38"/>
    <col min="6406" max="6406" width="10.7109375" style="38" customWidth="1"/>
    <col min="6407" max="6407" width="9.5703125" style="38" customWidth="1"/>
    <col min="6408" max="6656" width="9.140625" style="38"/>
    <col min="6657" max="6657" width="21.7109375" style="38" customWidth="1"/>
    <col min="6658" max="6658" width="9.7109375" style="38" customWidth="1"/>
    <col min="6659" max="6661" width="9.140625" style="38"/>
    <col min="6662" max="6662" width="10.7109375" style="38" customWidth="1"/>
    <col min="6663" max="6663" width="9.5703125" style="38" customWidth="1"/>
    <col min="6664" max="6912" width="9.140625" style="38"/>
    <col min="6913" max="6913" width="21.7109375" style="38" customWidth="1"/>
    <col min="6914" max="6914" width="9.7109375" style="38" customWidth="1"/>
    <col min="6915" max="6917" width="9.140625" style="38"/>
    <col min="6918" max="6918" width="10.7109375" style="38" customWidth="1"/>
    <col min="6919" max="6919" width="9.5703125" style="38" customWidth="1"/>
    <col min="6920" max="7168" width="9.140625" style="38"/>
    <col min="7169" max="7169" width="21.7109375" style="38" customWidth="1"/>
    <col min="7170" max="7170" width="9.7109375" style="38" customWidth="1"/>
    <col min="7171" max="7173" width="9.140625" style="38"/>
    <col min="7174" max="7174" width="10.7109375" style="38" customWidth="1"/>
    <col min="7175" max="7175" width="9.5703125" style="38" customWidth="1"/>
    <col min="7176" max="7424" width="9.140625" style="38"/>
    <col min="7425" max="7425" width="21.7109375" style="38" customWidth="1"/>
    <col min="7426" max="7426" width="9.7109375" style="38" customWidth="1"/>
    <col min="7427" max="7429" width="9.140625" style="38"/>
    <col min="7430" max="7430" width="10.7109375" style="38" customWidth="1"/>
    <col min="7431" max="7431" width="9.5703125" style="38" customWidth="1"/>
    <col min="7432" max="7680" width="9.140625" style="38"/>
    <col min="7681" max="7681" width="21.7109375" style="38" customWidth="1"/>
    <col min="7682" max="7682" width="9.7109375" style="38" customWidth="1"/>
    <col min="7683" max="7685" width="9.140625" style="38"/>
    <col min="7686" max="7686" width="10.7109375" style="38" customWidth="1"/>
    <col min="7687" max="7687" width="9.5703125" style="38" customWidth="1"/>
    <col min="7688" max="7936" width="9.140625" style="38"/>
    <col min="7937" max="7937" width="21.7109375" style="38" customWidth="1"/>
    <col min="7938" max="7938" width="9.7109375" style="38" customWidth="1"/>
    <col min="7939" max="7941" width="9.140625" style="38"/>
    <col min="7942" max="7942" width="10.7109375" style="38" customWidth="1"/>
    <col min="7943" max="7943" width="9.5703125" style="38" customWidth="1"/>
    <col min="7944" max="8192" width="9.140625" style="38"/>
    <col min="8193" max="8193" width="21.7109375" style="38" customWidth="1"/>
    <col min="8194" max="8194" width="9.7109375" style="38" customWidth="1"/>
    <col min="8195" max="8197" width="9.140625" style="38"/>
    <col min="8198" max="8198" width="10.7109375" style="38" customWidth="1"/>
    <col min="8199" max="8199" width="9.5703125" style="38" customWidth="1"/>
    <col min="8200" max="8448" width="9.140625" style="38"/>
    <col min="8449" max="8449" width="21.7109375" style="38" customWidth="1"/>
    <col min="8450" max="8450" width="9.7109375" style="38" customWidth="1"/>
    <col min="8451" max="8453" width="9.140625" style="38"/>
    <col min="8454" max="8454" width="10.7109375" style="38" customWidth="1"/>
    <col min="8455" max="8455" width="9.5703125" style="38" customWidth="1"/>
    <col min="8456" max="8704" width="9.140625" style="38"/>
    <col min="8705" max="8705" width="21.7109375" style="38" customWidth="1"/>
    <col min="8706" max="8706" width="9.7109375" style="38" customWidth="1"/>
    <col min="8707" max="8709" width="9.140625" style="38"/>
    <col min="8710" max="8710" width="10.7109375" style="38" customWidth="1"/>
    <col min="8711" max="8711" width="9.5703125" style="38" customWidth="1"/>
    <col min="8712" max="8960" width="9.140625" style="38"/>
    <col min="8961" max="8961" width="21.7109375" style="38" customWidth="1"/>
    <col min="8962" max="8962" width="9.7109375" style="38" customWidth="1"/>
    <col min="8963" max="8965" width="9.140625" style="38"/>
    <col min="8966" max="8966" width="10.7109375" style="38" customWidth="1"/>
    <col min="8967" max="8967" width="9.5703125" style="38" customWidth="1"/>
    <col min="8968" max="9216" width="9.140625" style="38"/>
    <col min="9217" max="9217" width="21.7109375" style="38" customWidth="1"/>
    <col min="9218" max="9218" width="9.7109375" style="38" customWidth="1"/>
    <col min="9219" max="9221" width="9.140625" style="38"/>
    <col min="9222" max="9222" width="10.7109375" style="38" customWidth="1"/>
    <col min="9223" max="9223" width="9.5703125" style="38" customWidth="1"/>
    <col min="9224" max="9472" width="9.140625" style="38"/>
    <col min="9473" max="9473" width="21.7109375" style="38" customWidth="1"/>
    <col min="9474" max="9474" width="9.7109375" style="38" customWidth="1"/>
    <col min="9475" max="9477" width="9.140625" style="38"/>
    <col min="9478" max="9478" width="10.7109375" style="38" customWidth="1"/>
    <col min="9479" max="9479" width="9.5703125" style="38" customWidth="1"/>
    <col min="9480" max="9728" width="9.140625" style="38"/>
    <col min="9729" max="9729" width="21.7109375" style="38" customWidth="1"/>
    <col min="9730" max="9730" width="9.7109375" style="38" customWidth="1"/>
    <col min="9731" max="9733" width="9.140625" style="38"/>
    <col min="9734" max="9734" width="10.7109375" style="38" customWidth="1"/>
    <col min="9735" max="9735" width="9.5703125" style="38" customWidth="1"/>
    <col min="9736" max="9984" width="9.140625" style="38"/>
    <col min="9985" max="9985" width="21.7109375" style="38" customWidth="1"/>
    <col min="9986" max="9986" width="9.7109375" style="38" customWidth="1"/>
    <col min="9987" max="9989" width="9.140625" style="38"/>
    <col min="9990" max="9990" width="10.7109375" style="38" customWidth="1"/>
    <col min="9991" max="9991" width="9.5703125" style="38" customWidth="1"/>
    <col min="9992" max="10240" width="9.140625" style="38"/>
    <col min="10241" max="10241" width="21.7109375" style="38" customWidth="1"/>
    <col min="10242" max="10242" width="9.7109375" style="38" customWidth="1"/>
    <col min="10243" max="10245" width="9.140625" style="38"/>
    <col min="10246" max="10246" width="10.7109375" style="38" customWidth="1"/>
    <col min="10247" max="10247" width="9.5703125" style="38" customWidth="1"/>
    <col min="10248" max="10496" width="9.140625" style="38"/>
    <col min="10497" max="10497" width="21.7109375" style="38" customWidth="1"/>
    <col min="10498" max="10498" width="9.7109375" style="38" customWidth="1"/>
    <col min="10499" max="10501" width="9.140625" style="38"/>
    <col min="10502" max="10502" width="10.7109375" style="38" customWidth="1"/>
    <col min="10503" max="10503" width="9.5703125" style="38" customWidth="1"/>
    <col min="10504" max="10752" width="9.140625" style="38"/>
    <col min="10753" max="10753" width="21.7109375" style="38" customWidth="1"/>
    <col min="10754" max="10754" width="9.7109375" style="38" customWidth="1"/>
    <col min="10755" max="10757" width="9.140625" style="38"/>
    <col min="10758" max="10758" width="10.7109375" style="38" customWidth="1"/>
    <col min="10759" max="10759" width="9.5703125" style="38" customWidth="1"/>
    <col min="10760" max="11008" width="9.140625" style="38"/>
    <col min="11009" max="11009" width="21.7109375" style="38" customWidth="1"/>
    <col min="11010" max="11010" width="9.7109375" style="38" customWidth="1"/>
    <col min="11011" max="11013" width="9.140625" style="38"/>
    <col min="11014" max="11014" width="10.7109375" style="38" customWidth="1"/>
    <col min="11015" max="11015" width="9.5703125" style="38" customWidth="1"/>
    <col min="11016" max="11264" width="9.140625" style="38"/>
    <col min="11265" max="11265" width="21.7109375" style="38" customWidth="1"/>
    <col min="11266" max="11266" width="9.7109375" style="38" customWidth="1"/>
    <col min="11267" max="11269" width="9.140625" style="38"/>
    <col min="11270" max="11270" width="10.7109375" style="38" customWidth="1"/>
    <col min="11271" max="11271" width="9.5703125" style="38" customWidth="1"/>
    <col min="11272" max="11520" width="9.140625" style="38"/>
    <col min="11521" max="11521" width="21.7109375" style="38" customWidth="1"/>
    <col min="11522" max="11522" width="9.7109375" style="38" customWidth="1"/>
    <col min="11523" max="11525" width="9.140625" style="38"/>
    <col min="11526" max="11526" width="10.7109375" style="38" customWidth="1"/>
    <col min="11527" max="11527" width="9.5703125" style="38" customWidth="1"/>
    <col min="11528" max="11776" width="9.140625" style="38"/>
    <col min="11777" max="11777" width="21.7109375" style="38" customWidth="1"/>
    <col min="11778" max="11778" width="9.7109375" style="38" customWidth="1"/>
    <col min="11779" max="11781" width="9.140625" style="38"/>
    <col min="11782" max="11782" width="10.7109375" style="38" customWidth="1"/>
    <col min="11783" max="11783" width="9.5703125" style="38" customWidth="1"/>
    <col min="11784" max="12032" width="9.140625" style="38"/>
    <col min="12033" max="12033" width="21.7109375" style="38" customWidth="1"/>
    <col min="12034" max="12034" width="9.7109375" style="38" customWidth="1"/>
    <col min="12035" max="12037" width="9.140625" style="38"/>
    <col min="12038" max="12038" width="10.7109375" style="38" customWidth="1"/>
    <col min="12039" max="12039" width="9.5703125" style="38" customWidth="1"/>
    <col min="12040" max="12288" width="9.140625" style="38"/>
    <col min="12289" max="12289" width="21.7109375" style="38" customWidth="1"/>
    <col min="12290" max="12290" width="9.7109375" style="38" customWidth="1"/>
    <col min="12291" max="12293" width="9.140625" style="38"/>
    <col min="12294" max="12294" width="10.7109375" style="38" customWidth="1"/>
    <col min="12295" max="12295" width="9.5703125" style="38" customWidth="1"/>
    <col min="12296" max="12544" width="9.140625" style="38"/>
    <col min="12545" max="12545" width="21.7109375" style="38" customWidth="1"/>
    <col min="12546" max="12546" width="9.7109375" style="38" customWidth="1"/>
    <col min="12547" max="12549" width="9.140625" style="38"/>
    <col min="12550" max="12550" width="10.7109375" style="38" customWidth="1"/>
    <col min="12551" max="12551" width="9.5703125" style="38" customWidth="1"/>
    <col min="12552" max="12800" width="9.140625" style="38"/>
    <col min="12801" max="12801" width="21.7109375" style="38" customWidth="1"/>
    <col min="12802" max="12802" width="9.7109375" style="38" customWidth="1"/>
    <col min="12803" max="12805" width="9.140625" style="38"/>
    <col min="12806" max="12806" width="10.7109375" style="38" customWidth="1"/>
    <col min="12807" max="12807" width="9.5703125" style="38" customWidth="1"/>
    <col min="12808" max="13056" width="9.140625" style="38"/>
    <col min="13057" max="13057" width="21.7109375" style="38" customWidth="1"/>
    <col min="13058" max="13058" width="9.7109375" style="38" customWidth="1"/>
    <col min="13059" max="13061" width="9.140625" style="38"/>
    <col min="13062" max="13062" width="10.7109375" style="38" customWidth="1"/>
    <col min="13063" max="13063" width="9.5703125" style="38" customWidth="1"/>
    <col min="13064" max="13312" width="9.140625" style="38"/>
    <col min="13313" max="13313" width="21.7109375" style="38" customWidth="1"/>
    <col min="13314" max="13314" width="9.7109375" style="38" customWidth="1"/>
    <col min="13315" max="13317" width="9.140625" style="38"/>
    <col min="13318" max="13318" width="10.7109375" style="38" customWidth="1"/>
    <col min="13319" max="13319" width="9.5703125" style="38" customWidth="1"/>
    <col min="13320" max="13568" width="9.140625" style="38"/>
    <col min="13569" max="13569" width="21.7109375" style="38" customWidth="1"/>
    <col min="13570" max="13570" width="9.7109375" style="38" customWidth="1"/>
    <col min="13571" max="13573" width="9.140625" style="38"/>
    <col min="13574" max="13574" width="10.7109375" style="38" customWidth="1"/>
    <col min="13575" max="13575" width="9.5703125" style="38" customWidth="1"/>
    <col min="13576" max="13824" width="9.140625" style="38"/>
    <col min="13825" max="13825" width="21.7109375" style="38" customWidth="1"/>
    <col min="13826" max="13826" width="9.7109375" style="38" customWidth="1"/>
    <col min="13827" max="13829" width="9.140625" style="38"/>
    <col min="13830" max="13830" width="10.7109375" style="38" customWidth="1"/>
    <col min="13831" max="13831" width="9.5703125" style="38" customWidth="1"/>
    <col min="13832" max="14080" width="9.140625" style="38"/>
    <col min="14081" max="14081" width="21.7109375" style="38" customWidth="1"/>
    <col min="14082" max="14082" width="9.7109375" style="38" customWidth="1"/>
    <col min="14083" max="14085" width="9.140625" style="38"/>
    <col min="14086" max="14086" width="10.7109375" style="38" customWidth="1"/>
    <col min="14087" max="14087" width="9.5703125" style="38" customWidth="1"/>
    <col min="14088" max="14336" width="9.140625" style="38"/>
    <col min="14337" max="14337" width="21.7109375" style="38" customWidth="1"/>
    <col min="14338" max="14338" width="9.7109375" style="38" customWidth="1"/>
    <col min="14339" max="14341" width="9.140625" style="38"/>
    <col min="14342" max="14342" width="10.7109375" style="38" customWidth="1"/>
    <col min="14343" max="14343" width="9.5703125" style="38" customWidth="1"/>
    <col min="14344" max="14592" width="9.140625" style="38"/>
    <col min="14593" max="14593" width="21.7109375" style="38" customWidth="1"/>
    <col min="14594" max="14594" width="9.7109375" style="38" customWidth="1"/>
    <col min="14595" max="14597" width="9.140625" style="38"/>
    <col min="14598" max="14598" width="10.7109375" style="38" customWidth="1"/>
    <col min="14599" max="14599" width="9.5703125" style="38" customWidth="1"/>
    <col min="14600" max="14848" width="9.140625" style="38"/>
    <col min="14849" max="14849" width="21.7109375" style="38" customWidth="1"/>
    <col min="14850" max="14850" width="9.7109375" style="38" customWidth="1"/>
    <col min="14851" max="14853" width="9.140625" style="38"/>
    <col min="14854" max="14854" width="10.7109375" style="38" customWidth="1"/>
    <col min="14855" max="14855" width="9.5703125" style="38" customWidth="1"/>
    <col min="14856" max="15104" width="9.140625" style="38"/>
    <col min="15105" max="15105" width="21.7109375" style="38" customWidth="1"/>
    <col min="15106" max="15106" width="9.7109375" style="38" customWidth="1"/>
    <col min="15107" max="15109" width="9.140625" style="38"/>
    <col min="15110" max="15110" width="10.7109375" style="38" customWidth="1"/>
    <col min="15111" max="15111" width="9.5703125" style="38" customWidth="1"/>
    <col min="15112" max="15360" width="9.140625" style="38"/>
    <col min="15361" max="15361" width="21.7109375" style="38" customWidth="1"/>
    <col min="15362" max="15362" width="9.7109375" style="38" customWidth="1"/>
    <col min="15363" max="15365" width="9.140625" style="38"/>
    <col min="15366" max="15366" width="10.7109375" style="38" customWidth="1"/>
    <col min="15367" max="15367" width="9.5703125" style="38" customWidth="1"/>
    <col min="15368" max="15616" width="9.140625" style="38"/>
    <col min="15617" max="15617" width="21.7109375" style="38" customWidth="1"/>
    <col min="15618" max="15618" width="9.7109375" style="38" customWidth="1"/>
    <col min="15619" max="15621" width="9.140625" style="38"/>
    <col min="15622" max="15622" width="10.7109375" style="38" customWidth="1"/>
    <col min="15623" max="15623" width="9.5703125" style="38" customWidth="1"/>
    <col min="15624" max="15872" width="9.140625" style="38"/>
    <col min="15873" max="15873" width="21.7109375" style="38" customWidth="1"/>
    <col min="15874" max="15874" width="9.7109375" style="38" customWidth="1"/>
    <col min="15875" max="15877" width="9.140625" style="38"/>
    <col min="15878" max="15878" width="10.7109375" style="38" customWidth="1"/>
    <col min="15879" max="15879" width="9.5703125" style="38" customWidth="1"/>
    <col min="15880" max="16128" width="9.140625" style="38"/>
    <col min="16129" max="16129" width="21.7109375" style="38" customWidth="1"/>
    <col min="16130" max="16130" width="9.7109375" style="38" customWidth="1"/>
    <col min="16131" max="16133" width="9.140625" style="38"/>
    <col min="16134" max="16134" width="10.7109375" style="38" customWidth="1"/>
    <col min="16135" max="16135" width="9.5703125" style="38" customWidth="1"/>
    <col min="16136" max="16384" width="9.140625" style="38"/>
  </cols>
  <sheetData>
    <row r="1" spans="1:15" ht="15.75" x14ac:dyDescent="0.25">
      <c r="A1" s="52" t="s">
        <v>66</v>
      </c>
      <c r="F1" s="37"/>
      <c r="G1" s="37"/>
    </row>
    <row r="2" spans="1:15" x14ac:dyDescent="0.2">
      <c r="F2" s="37"/>
      <c r="G2" s="37"/>
    </row>
    <row r="3" spans="1:15" ht="48" x14ac:dyDescent="0.2">
      <c r="A3" s="54">
        <v>2009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71" t="s">
        <v>49</v>
      </c>
    </row>
    <row r="4" spans="1:15" x14ac:dyDescent="0.2">
      <c r="A4" s="59" t="s">
        <v>74</v>
      </c>
      <c r="B4" s="130">
        <v>368.18099999999993</v>
      </c>
      <c r="C4" s="131" t="s">
        <v>1</v>
      </c>
      <c r="D4" s="132" t="s">
        <v>1</v>
      </c>
      <c r="E4" s="133">
        <v>0.11425548975606499</v>
      </c>
      <c r="F4" s="130">
        <v>100.58550000000001</v>
      </c>
      <c r="G4" s="134">
        <v>2862.2830000000004</v>
      </c>
      <c r="H4" s="135" t="s">
        <v>1</v>
      </c>
      <c r="I4" s="135" t="s">
        <v>1</v>
      </c>
      <c r="J4" s="136">
        <v>294.53499999999997</v>
      </c>
      <c r="L4" s="41"/>
      <c r="M4" s="42"/>
      <c r="O4" s="41"/>
    </row>
    <row r="5" spans="1:15" x14ac:dyDescent="0.2">
      <c r="A5" s="61" t="s">
        <v>3</v>
      </c>
      <c r="B5" s="137">
        <v>13.188000000000001</v>
      </c>
      <c r="C5" s="138">
        <v>0.6776615104640582</v>
      </c>
      <c r="D5" s="139">
        <v>0.32233848953594174</v>
      </c>
      <c r="E5" s="140">
        <v>0.14456563442038914</v>
      </c>
      <c r="F5" s="137">
        <v>2.42</v>
      </c>
      <c r="G5" s="141" t="s">
        <v>1</v>
      </c>
      <c r="H5" s="142" t="s">
        <v>1</v>
      </c>
      <c r="I5" s="142" t="s">
        <v>1</v>
      </c>
      <c r="J5" s="143">
        <v>4.9189999999999996</v>
      </c>
      <c r="L5" s="41"/>
      <c r="M5" s="43"/>
    </row>
    <row r="6" spans="1:15" x14ac:dyDescent="0.2">
      <c r="A6" s="63" t="s">
        <v>4</v>
      </c>
      <c r="B6" s="117">
        <v>4.0380000000000003</v>
      </c>
      <c r="C6" s="118">
        <v>0.95393759286775637</v>
      </c>
      <c r="D6" s="119">
        <v>4.6062407132243688E-2</v>
      </c>
      <c r="E6" s="120">
        <v>9.3985662415045149E-2</v>
      </c>
      <c r="F6" s="117">
        <v>1.2769999999999999</v>
      </c>
      <c r="G6" s="121">
        <v>44.453000000000003</v>
      </c>
      <c r="H6" s="122">
        <v>0.96405192000539897</v>
      </c>
      <c r="I6" s="122">
        <v>3.5948079994601041E-2</v>
      </c>
      <c r="J6" s="123">
        <v>5.8179999999999996</v>
      </c>
    </row>
    <row r="7" spans="1:15" x14ac:dyDescent="0.2">
      <c r="A7" s="63" t="s">
        <v>6</v>
      </c>
      <c r="B7" s="117">
        <v>11.045</v>
      </c>
      <c r="C7" s="118">
        <v>0.69053870529651429</v>
      </c>
      <c r="D7" s="119">
        <v>0.30946129470348577</v>
      </c>
      <c r="E7" s="120">
        <v>0.13428571428571429</v>
      </c>
      <c r="F7" s="117">
        <v>4.7640000000000002</v>
      </c>
      <c r="G7" s="121">
        <v>119.902</v>
      </c>
      <c r="H7" s="122">
        <v>0.59759637036913482</v>
      </c>
      <c r="I7" s="122">
        <v>0.40240362963086523</v>
      </c>
      <c r="J7" s="123">
        <v>19.010999999999999</v>
      </c>
    </row>
    <row r="8" spans="1:15" x14ac:dyDescent="0.2">
      <c r="A8" s="63" t="s">
        <v>8</v>
      </c>
      <c r="B8" s="117">
        <v>16.478999999999999</v>
      </c>
      <c r="C8" s="118" t="s">
        <v>1</v>
      </c>
      <c r="D8" s="119" t="s">
        <v>1</v>
      </c>
      <c r="E8" s="120">
        <v>0.45316796832031681</v>
      </c>
      <c r="F8" s="117">
        <v>5.2830000000000004</v>
      </c>
      <c r="G8" s="121">
        <v>109.842</v>
      </c>
      <c r="H8" s="122" t="s">
        <v>1</v>
      </c>
      <c r="I8" s="122" t="s">
        <v>1</v>
      </c>
      <c r="J8" s="123">
        <v>10.26</v>
      </c>
    </row>
    <row r="9" spans="1:15" x14ac:dyDescent="0.2">
      <c r="A9" s="63" t="s">
        <v>7</v>
      </c>
      <c r="B9" s="117">
        <v>77.034999999999997</v>
      </c>
      <c r="C9" s="118">
        <v>0.65516972804569351</v>
      </c>
      <c r="D9" s="119">
        <v>0.34483027195430649</v>
      </c>
      <c r="E9" s="120">
        <v>0.13002477787679925</v>
      </c>
      <c r="F9" s="117">
        <v>22.494</v>
      </c>
      <c r="G9" s="121">
        <v>628.66399999999999</v>
      </c>
      <c r="H9" s="122">
        <v>0.54607230571497656</v>
      </c>
      <c r="I9" s="122">
        <v>0.4539276942850235</v>
      </c>
      <c r="J9" s="123">
        <v>50.07</v>
      </c>
    </row>
    <row r="10" spans="1:15" x14ac:dyDescent="0.2">
      <c r="A10" s="63" t="s">
        <v>9</v>
      </c>
      <c r="B10" s="117">
        <v>0.80700000000000005</v>
      </c>
      <c r="C10" s="118">
        <v>0.90830235439900864</v>
      </c>
      <c r="D10" s="119">
        <v>9.169764560099132E-2</v>
      </c>
      <c r="E10" s="120">
        <v>9.1923909329080761E-2</v>
      </c>
      <c r="F10" s="117">
        <v>0.41499999999999998</v>
      </c>
      <c r="G10" s="121">
        <v>11.51</v>
      </c>
      <c r="H10" s="122">
        <v>0.83848827106863599</v>
      </c>
      <c r="I10" s="122">
        <v>0.16151172893136403</v>
      </c>
      <c r="J10" s="123">
        <v>1.4610000000000001</v>
      </c>
    </row>
    <row r="11" spans="1:15" x14ac:dyDescent="0.2">
      <c r="A11" s="63" t="s">
        <v>16</v>
      </c>
      <c r="B11" s="117">
        <v>1.7849999999999999</v>
      </c>
      <c r="C11" s="118">
        <v>0</v>
      </c>
      <c r="D11" s="119">
        <v>1</v>
      </c>
      <c r="E11" s="120">
        <v>6.3203739111960908E-2</v>
      </c>
      <c r="F11" s="117">
        <v>0.28599999999999998</v>
      </c>
      <c r="G11" s="121">
        <v>10.922000000000001</v>
      </c>
      <c r="H11" s="122">
        <v>0</v>
      </c>
      <c r="I11" s="122">
        <v>1</v>
      </c>
      <c r="J11" s="123">
        <v>0.65800000000000003</v>
      </c>
    </row>
    <row r="12" spans="1:15" x14ac:dyDescent="0.2">
      <c r="A12" s="63" t="s">
        <v>10</v>
      </c>
      <c r="B12" s="117">
        <v>1.843</v>
      </c>
      <c r="C12" s="118">
        <v>0.10092240911557243</v>
      </c>
      <c r="D12" s="119">
        <v>0.89907759088442751</v>
      </c>
      <c r="E12" s="120">
        <v>3.0033406665037073E-2</v>
      </c>
      <c r="F12" s="117">
        <v>0.51</v>
      </c>
      <c r="G12" s="121">
        <v>10.762</v>
      </c>
      <c r="H12" s="122">
        <v>0.28647091618658244</v>
      </c>
      <c r="I12" s="122">
        <v>0.71352908381341762</v>
      </c>
      <c r="J12" s="123">
        <v>0.77200000000000002</v>
      </c>
    </row>
    <row r="13" spans="1:15" x14ac:dyDescent="0.2">
      <c r="A13" s="63" t="s">
        <v>11</v>
      </c>
      <c r="B13" s="117">
        <v>21.974</v>
      </c>
      <c r="C13" s="118">
        <v>0</v>
      </c>
      <c r="D13" s="119">
        <v>1</v>
      </c>
      <c r="E13" s="120">
        <v>7.4780412935983698E-2</v>
      </c>
      <c r="F13" s="117">
        <v>3.65</v>
      </c>
      <c r="G13" s="121">
        <v>172.68899999999999</v>
      </c>
      <c r="H13" s="122">
        <v>0</v>
      </c>
      <c r="I13" s="122">
        <v>1</v>
      </c>
      <c r="J13" s="123">
        <v>10.818</v>
      </c>
    </row>
    <row r="14" spans="1:15" x14ac:dyDescent="0.2">
      <c r="A14" s="63" t="s">
        <v>13</v>
      </c>
      <c r="B14" s="117">
        <v>23.369</v>
      </c>
      <c r="C14" s="118">
        <v>0.49009371389447559</v>
      </c>
      <c r="D14" s="119">
        <v>0.50990628610552446</v>
      </c>
      <c r="E14" s="120">
        <v>4.308880878407656E-2</v>
      </c>
      <c r="F14" s="117">
        <v>5.6779999999999999</v>
      </c>
      <c r="G14" s="121">
        <v>197.435</v>
      </c>
      <c r="H14" s="122">
        <v>0.34091726390964117</v>
      </c>
      <c r="I14" s="122">
        <v>0.65908273609035883</v>
      </c>
      <c r="J14" s="123">
        <v>14.901</v>
      </c>
    </row>
    <row r="15" spans="1:15" x14ac:dyDescent="0.2">
      <c r="A15" s="63" t="s">
        <v>14</v>
      </c>
      <c r="B15" s="117">
        <v>1.619</v>
      </c>
      <c r="C15" s="118">
        <v>0.81346510191476218</v>
      </c>
      <c r="D15" s="119">
        <v>0.18653489808523779</v>
      </c>
      <c r="E15" s="120">
        <v>0.12671206073413163</v>
      </c>
      <c r="F15" s="117">
        <v>0.54500000000000004</v>
      </c>
      <c r="G15" s="121">
        <v>12.795</v>
      </c>
      <c r="H15" s="122">
        <v>0.888862837045721</v>
      </c>
      <c r="I15" s="122">
        <v>0.11113716295427901</v>
      </c>
      <c r="J15" s="123">
        <v>1.4650000000000001</v>
      </c>
      <c r="L15" s="41"/>
      <c r="M15" s="42"/>
    </row>
    <row r="16" spans="1:15" x14ac:dyDescent="0.2">
      <c r="A16" s="63" t="s">
        <v>17</v>
      </c>
      <c r="B16" s="117">
        <v>29.939</v>
      </c>
      <c r="C16" s="118">
        <v>0.59297237716690609</v>
      </c>
      <c r="D16" s="119">
        <v>0.40702762283309396</v>
      </c>
      <c r="E16" s="120">
        <v>0.1023062387020274</v>
      </c>
      <c r="F16" s="117">
        <v>7.6740000000000004</v>
      </c>
      <c r="G16" s="121">
        <v>180.82</v>
      </c>
      <c r="H16" s="122">
        <v>0.42531799579692514</v>
      </c>
      <c r="I16" s="122">
        <v>0.57468200420307491</v>
      </c>
      <c r="J16" s="123">
        <v>57.92</v>
      </c>
    </row>
    <row r="17" spans="1:10" x14ac:dyDescent="0.2">
      <c r="A17" s="63" t="s">
        <v>5</v>
      </c>
      <c r="B17" s="117">
        <v>1.9E-2</v>
      </c>
      <c r="C17" s="118" t="s">
        <v>1</v>
      </c>
      <c r="D17" s="119" t="s">
        <v>1</v>
      </c>
      <c r="E17" s="120">
        <v>3.6349722594222309E-3</v>
      </c>
      <c r="F17" s="117">
        <v>5.0000000000000001E-3</v>
      </c>
      <c r="G17" s="121">
        <v>9.1999999999999998E-2</v>
      </c>
      <c r="H17" s="122" t="s">
        <v>1</v>
      </c>
      <c r="I17" s="122" t="s">
        <v>1</v>
      </c>
      <c r="J17" s="123">
        <v>6.0000000000000001E-3</v>
      </c>
    </row>
    <row r="18" spans="1:10" x14ac:dyDescent="0.2">
      <c r="A18" s="63" t="s">
        <v>20</v>
      </c>
      <c r="B18" s="117">
        <v>1.0980000000000001</v>
      </c>
      <c r="C18" s="118">
        <v>0.96721311475409832</v>
      </c>
      <c r="D18" s="119">
        <v>3.2786885245901641E-2</v>
      </c>
      <c r="E18" s="120">
        <v>0.19716286586460766</v>
      </c>
      <c r="F18" s="117">
        <v>0.25600000000000001</v>
      </c>
      <c r="G18" s="121">
        <v>4.9400000000000004</v>
      </c>
      <c r="H18" s="122">
        <v>0.96599190283400804</v>
      </c>
      <c r="I18" s="122">
        <v>3.4008097165991902E-2</v>
      </c>
      <c r="J18" s="123">
        <v>0.374</v>
      </c>
    </row>
    <row r="19" spans="1:10" x14ac:dyDescent="0.2">
      <c r="A19" s="63" t="s">
        <v>18</v>
      </c>
      <c r="B19" s="117">
        <v>2.1379999999999999</v>
      </c>
      <c r="C19" s="118">
        <v>0.88306828811973803</v>
      </c>
      <c r="D19" s="119">
        <v>0.11693171188026193</v>
      </c>
      <c r="E19" s="120">
        <v>0.13921083474410731</v>
      </c>
      <c r="F19" s="117">
        <v>1.091</v>
      </c>
      <c r="G19" s="121">
        <v>16.507000000000001</v>
      </c>
      <c r="H19" s="122">
        <v>0.8289816441509662</v>
      </c>
      <c r="I19" s="122">
        <v>0.17101835584903374</v>
      </c>
      <c r="J19" s="123">
        <v>2.4369999999999998</v>
      </c>
    </row>
    <row r="20" spans="1:10" x14ac:dyDescent="0.2">
      <c r="A20" s="63" t="s">
        <v>19</v>
      </c>
      <c r="B20" s="117">
        <v>0.39</v>
      </c>
      <c r="C20" s="118">
        <v>0</v>
      </c>
      <c r="D20" s="119">
        <v>1</v>
      </c>
      <c r="E20" s="120">
        <v>0.10056730273336771</v>
      </c>
      <c r="F20" s="117">
        <v>0.108</v>
      </c>
      <c r="G20" s="121">
        <v>3.8069999999999999</v>
      </c>
      <c r="H20" s="122">
        <v>0</v>
      </c>
      <c r="I20" s="122">
        <v>1</v>
      </c>
      <c r="J20" s="123" t="s">
        <v>1</v>
      </c>
    </row>
    <row r="21" spans="1:10" x14ac:dyDescent="0.2">
      <c r="A21" s="63" t="s">
        <v>15</v>
      </c>
      <c r="B21" s="117">
        <v>7.3559999999999999</v>
      </c>
      <c r="C21" s="118">
        <v>0.94725394235997828</v>
      </c>
      <c r="D21" s="119">
        <v>5.274605764002175E-2</v>
      </c>
      <c r="E21" s="120">
        <v>0.20485685641082768</v>
      </c>
      <c r="F21" s="117">
        <v>0.20050000000000001</v>
      </c>
      <c r="G21" s="121">
        <v>42.616999999999997</v>
      </c>
      <c r="H21" s="122">
        <v>0.91623061219701063</v>
      </c>
      <c r="I21" s="122">
        <v>8.3769387802989412E-2</v>
      </c>
      <c r="J21" s="123">
        <v>3.3969999999999998</v>
      </c>
    </row>
    <row r="22" spans="1:10" x14ac:dyDescent="0.2">
      <c r="A22" s="63" t="s">
        <v>21</v>
      </c>
      <c r="B22" s="82">
        <v>0</v>
      </c>
      <c r="C22" s="69">
        <v>0</v>
      </c>
      <c r="D22" s="75">
        <v>0</v>
      </c>
      <c r="E22" s="33">
        <v>0</v>
      </c>
      <c r="F22" s="82">
        <v>0</v>
      </c>
      <c r="G22" s="113">
        <v>0</v>
      </c>
      <c r="H22" s="88">
        <v>0</v>
      </c>
      <c r="I22" s="88">
        <v>0</v>
      </c>
      <c r="J22" s="79">
        <v>0</v>
      </c>
    </row>
    <row r="23" spans="1:10" x14ac:dyDescent="0.2">
      <c r="A23" s="63" t="s">
        <v>22</v>
      </c>
      <c r="B23" s="117">
        <v>36.384</v>
      </c>
      <c r="C23" s="118" t="s">
        <v>1</v>
      </c>
      <c r="D23" s="119" t="s">
        <v>1</v>
      </c>
      <c r="E23" s="120">
        <v>0.32055822804884493</v>
      </c>
      <c r="F23" s="117">
        <v>9.2509999999999994</v>
      </c>
      <c r="G23" s="121">
        <v>223.017</v>
      </c>
      <c r="H23" s="122" t="s">
        <v>1</v>
      </c>
      <c r="I23" s="122" t="s">
        <v>1</v>
      </c>
      <c r="J23" s="123">
        <v>19.18</v>
      </c>
    </row>
    <row r="24" spans="1:10" x14ac:dyDescent="0.2">
      <c r="A24" s="63" t="s">
        <v>2</v>
      </c>
      <c r="B24" s="117">
        <v>9.1039999999999992</v>
      </c>
      <c r="C24" s="118" t="s">
        <v>1</v>
      </c>
      <c r="D24" s="119" t="s">
        <v>1</v>
      </c>
      <c r="E24" s="120">
        <v>0.13196306657583093</v>
      </c>
      <c r="F24" s="117">
        <v>2.9119999999999999</v>
      </c>
      <c r="G24" s="121">
        <v>98.441000000000003</v>
      </c>
      <c r="H24" s="122" t="s">
        <v>1</v>
      </c>
      <c r="I24" s="122" t="s">
        <v>1</v>
      </c>
      <c r="J24" s="123">
        <v>8.7810000000000006</v>
      </c>
    </row>
    <row r="25" spans="1:10" x14ac:dyDescent="0.2">
      <c r="A25" s="63" t="s">
        <v>24</v>
      </c>
      <c r="B25" s="117">
        <v>26.079000000000001</v>
      </c>
      <c r="C25" s="118">
        <v>0.78764523179569768</v>
      </c>
      <c r="D25" s="119">
        <v>0.21235476820430232</v>
      </c>
      <c r="E25" s="120">
        <v>0.17188900606380175</v>
      </c>
      <c r="F25" s="117">
        <v>8.6310000000000002</v>
      </c>
      <c r="G25" s="121">
        <v>258.37700000000001</v>
      </c>
      <c r="H25" s="122">
        <v>0.63548226041791644</v>
      </c>
      <c r="I25" s="122">
        <v>0.36451773958208356</v>
      </c>
      <c r="J25" s="123">
        <v>24.780999999999999</v>
      </c>
    </row>
    <row r="26" spans="1:10" x14ac:dyDescent="0.2">
      <c r="A26" s="63" t="s">
        <v>25</v>
      </c>
      <c r="B26" s="117">
        <v>5.53</v>
      </c>
      <c r="C26" s="118">
        <v>0.73001808318264017</v>
      </c>
      <c r="D26" s="119">
        <v>0.26998191681735983</v>
      </c>
      <c r="E26" s="120">
        <v>0.11014400382416795</v>
      </c>
      <c r="F26" s="117">
        <v>1.296</v>
      </c>
      <c r="G26" s="121">
        <v>61.018000000000001</v>
      </c>
      <c r="H26" s="122">
        <v>0.567242453046642</v>
      </c>
      <c r="I26" s="122">
        <v>0.43275754695335805</v>
      </c>
      <c r="J26" s="123">
        <v>5.04</v>
      </c>
    </row>
    <row r="27" spans="1:10" x14ac:dyDescent="0.2">
      <c r="A27" s="63" t="s">
        <v>26</v>
      </c>
      <c r="B27" s="117">
        <v>6.26</v>
      </c>
      <c r="C27" s="118">
        <v>0.86214057507987218</v>
      </c>
      <c r="D27" s="119">
        <v>0.13785942492012779</v>
      </c>
      <c r="E27" s="120">
        <v>0.10790126861555432</v>
      </c>
      <c r="F27" s="117">
        <v>4.4589999999999996</v>
      </c>
      <c r="G27" s="121">
        <v>66.313999999999993</v>
      </c>
      <c r="H27" s="122">
        <v>0.82426033718370173</v>
      </c>
      <c r="I27" s="122">
        <v>0.17573966281629821</v>
      </c>
      <c r="J27" s="123">
        <v>10.349</v>
      </c>
    </row>
    <row r="28" spans="1:10" x14ac:dyDescent="0.2">
      <c r="A28" s="63" t="s">
        <v>28</v>
      </c>
      <c r="B28" s="117">
        <v>1.0249999999999999</v>
      </c>
      <c r="C28" s="118">
        <v>0.76097560975609757</v>
      </c>
      <c r="D28" s="119">
        <v>0.23902439024390243</v>
      </c>
      <c r="E28" s="120">
        <v>6.2496189256752634E-2</v>
      </c>
      <c r="F28" s="117">
        <v>0.32700000000000001</v>
      </c>
      <c r="G28" s="121">
        <v>11.23</v>
      </c>
      <c r="H28" s="122">
        <v>0.61308993766696351</v>
      </c>
      <c r="I28" s="122">
        <v>0.38691006233303649</v>
      </c>
      <c r="J28" s="123">
        <v>0.83199999999999996</v>
      </c>
    </row>
    <row r="29" spans="1:10" x14ac:dyDescent="0.2">
      <c r="A29" s="63" t="s">
        <v>55</v>
      </c>
      <c r="B29" s="117">
        <v>5.0129999999999999</v>
      </c>
      <c r="C29" s="118">
        <v>0.69140235387991222</v>
      </c>
      <c r="D29" s="119">
        <v>0.30859764612008778</v>
      </c>
      <c r="E29" s="120">
        <v>0.19166507359969412</v>
      </c>
      <c r="F29" s="117">
        <v>1.585</v>
      </c>
      <c r="G29" s="121">
        <v>18.667999999999999</v>
      </c>
      <c r="H29" s="122">
        <v>0.81958431540604237</v>
      </c>
      <c r="I29" s="122">
        <v>0.18041568459395757</v>
      </c>
      <c r="J29" s="123">
        <v>9.4039999999999999</v>
      </c>
    </row>
    <row r="30" spans="1:10" x14ac:dyDescent="0.2">
      <c r="A30" s="63" t="s">
        <v>12</v>
      </c>
      <c r="B30" s="117">
        <v>25.809000000000001</v>
      </c>
      <c r="C30" s="118">
        <v>0.68355999845015303</v>
      </c>
      <c r="D30" s="119">
        <v>0.31644000154984697</v>
      </c>
      <c r="E30" s="120">
        <v>0.35814992645222171</v>
      </c>
      <c r="F30" s="117">
        <v>5.7869999999999999</v>
      </c>
      <c r="G30" s="121">
        <v>240.20400000000001</v>
      </c>
      <c r="H30" s="122">
        <v>0.50166941433115186</v>
      </c>
      <c r="I30" s="122">
        <v>0.49833058566884814</v>
      </c>
      <c r="J30" s="123">
        <v>15.698</v>
      </c>
    </row>
    <row r="31" spans="1:10" x14ac:dyDescent="0.2">
      <c r="A31" s="64" t="s">
        <v>27</v>
      </c>
      <c r="B31" s="144">
        <v>14.343999999999999</v>
      </c>
      <c r="C31" s="145">
        <v>0.60952314556609033</v>
      </c>
      <c r="D31" s="146">
        <v>0.39047685443390967</v>
      </c>
      <c r="E31" s="147">
        <v>0.10491745722916682</v>
      </c>
      <c r="F31" s="144">
        <v>4.5199999999999996</v>
      </c>
      <c r="G31" s="148">
        <v>161.374</v>
      </c>
      <c r="H31" s="149">
        <v>0.50019210033834449</v>
      </c>
      <c r="I31" s="149">
        <v>0.49980789966165551</v>
      </c>
      <c r="J31" s="150">
        <v>8.8279999999999994</v>
      </c>
    </row>
    <row r="32" spans="1:10" x14ac:dyDescent="0.2">
      <c r="A32" s="32" t="s">
        <v>29</v>
      </c>
      <c r="B32" s="127">
        <v>24.510999999999999</v>
      </c>
      <c r="C32" s="124" t="s">
        <v>1</v>
      </c>
      <c r="D32" s="125" t="s">
        <v>1</v>
      </c>
      <c r="E32" s="126">
        <v>6.5246962053957649E-2</v>
      </c>
      <c r="F32" s="127">
        <v>5.7060000000000004</v>
      </c>
      <c r="G32" s="128">
        <v>155.88300000000001</v>
      </c>
      <c r="H32" s="129" t="s">
        <v>1</v>
      </c>
      <c r="I32" s="129" t="s">
        <v>1</v>
      </c>
      <c r="J32" s="151">
        <v>7.3550000000000004</v>
      </c>
    </row>
    <row r="33" spans="1:13" x14ac:dyDescent="0.2">
      <c r="A33" s="25" t="s">
        <v>23</v>
      </c>
      <c r="B33" s="159">
        <v>0.151</v>
      </c>
      <c r="C33" s="160">
        <v>1</v>
      </c>
      <c r="D33" s="161">
        <v>0</v>
      </c>
      <c r="E33" s="44">
        <v>1.1372365903990118E-3</v>
      </c>
      <c r="F33" s="159" t="s">
        <v>1</v>
      </c>
      <c r="G33" s="162">
        <v>3.75</v>
      </c>
      <c r="H33" s="163">
        <v>1</v>
      </c>
      <c r="I33" s="163">
        <v>0</v>
      </c>
      <c r="J33" s="164">
        <v>0.14799999999999999</v>
      </c>
    </row>
    <row r="34" spans="1:13" x14ac:dyDescent="0.2">
      <c r="A34" s="106" t="s">
        <v>56</v>
      </c>
      <c r="B34" s="165">
        <v>7.3550000000000004</v>
      </c>
      <c r="C34" s="166">
        <v>0.40584636301835486</v>
      </c>
      <c r="D34" s="167">
        <v>0.59415363698164514</v>
      </c>
      <c r="E34" s="168">
        <v>3.7754153983563722E-2</v>
      </c>
      <c r="F34" s="165">
        <v>5.1109999999999998</v>
      </c>
      <c r="G34" s="169">
        <v>92.552999999999997</v>
      </c>
      <c r="H34" s="170">
        <v>0.26483204218123668</v>
      </c>
      <c r="I34" s="170">
        <v>0.73516795781876332</v>
      </c>
      <c r="J34" s="171" t="s">
        <v>1</v>
      </c>
      <c r="L34" s="41"/>
      <c r="M34" s="43"/>
    </row>
    <row r="35" spans="1:13" x14ac:dyDescent="0.2">
      <c r="A35" s="25"/>
      <c r="B35" s="26"/>
      <c r="C35" s="27"/>
      <c r="D35" s="27"/>
      <c r="E35" s="27"/>
      <c r="F35" s="28"/>
      <c r="G35" s="28"/>
      <c r="H35" s="27"/>
      <c r="I35" s="27"/>
      <c r="J35" s="26"/>
    </row>
    <row r="36" spans="1:13" x14ac:dyDescent="0.2">
      <c r="F36" s="36"/>
      <c r="G36" s="36"/>
    </row>
    <row r="37" spans="1:13" ht="36" x14ac:dyDescent="0.2">
      <c r="A37" s="54">
        <v>2009</v>
      </c>
      <c r="B37" s="72" t="s">
        <v>57</v>
      </c>
      <c r="C37" s="66" t="s">
        <v>58</v>
      </c>
      <c r="D37" s="12" t="s">
        <v>59</v>
      </c>
      <c r="E37" s="12" t="s">
        <v>60</v>
      </c>
      <c r="F37" s="102" t="s">
        <v>61</v>
      </c>
      <c r="G37" s="102" t="s">
        <v>62</v>
      </c>
      <c r="H37" s="44"/>
      <c r="I37" s="44"/>
      <c r="J37" s="45"/>
      <c r="K37" s="46"/>
    </row>
    <row r="38" spans="1:13" x14ac:dyDescent="0.2">
      <c r="A38" s="59" t="s">
        <v>74</v>
      </c>
      <c r="B38" s="77">
        <f>SUM(B39:B66)</f>
        <v>6363.9080000000004</v>
      </c>
      <c r="C38" s="67">
        <v>0.22397600000000001</v>
      </c>
      <c r="D38" s="60">
        <v>6.4822000000000005E-2</v>
      </c>
      <c r="E38" s="60">
        <v>0.48274600000000001</v>
      </c>
      <c r="F38" s="60">
        <v>0.13713964279361282</v>
      </c>
      <c r="G38" s="60">
        <v>9.2131183837527469E-2</v>
      </c>
      <c r="H38" s="44"/>
      <c r="I38" s="44"/>
      <c r="J38" s="45"/>
      <c r="K38" s="46"/>
    </row>
    <row r="39" spans="1:13" x14ac:dyDescent="0.2">
      <c r="A39" s="61" t="s">
        <v>3</v>
      </c>
      <c r="B39" s="81">
        <v>108.127</v>
      </c>
      <c r="C39" s="109">
        <v>2.1188047388718823E-2</v>
      </c>
      <c r="D39" s="105">
        <v>8.9524355618855623E-3</v>
      </c>
      <c r="E39" s="105">
        <v>0.76560895983426891</v>
      </c>
      <c r="F39" s="105">
        <v>0.11049044179529628</v>
      </c>
      <c r="G39" s="105">
        <v>9.3760115419830384E-2</v>
      </c>
      <c r="H39" s="44"/>
      <c r="I39" s="44"/>
      <c r="J39" s="45"/>
      <c r="K39" s="46"/>
    </row>
    <row r="40" spans="1:13" x14ac:dyDescent="0.2">
      <c r="A40" s="63" t="s">
        <v>4</v>
      </c>
      <c r="B40" s="82">
        <v>74.218000000000004</v>
      </c>
      <c r="C40" s="69">
        <v>0.52002209706540192</v>
      </c>
      <c r="D40" s="33">
        <v>7.758225767334069E-2</v>
      </c>
      <c r="E40" s="33">
        <v>0.38392303753806351</v>
      </c>
      <c r="F40" s="33">
        <v>0</v>
      </c>
      <c r="G40" s="33">
        <v>1.8472607723193833E-2</v>
      </c>
      <c r="H40" s="44"/>
      <c r="I40" s="44"/>
      <c r="J40" s="45"/>
      <c r="K40" s="46"/>
    </row>
    <row r="41" spans="1:13" x14ac:dyDescent="0.2">
      <c r="A41" s="63" t="s">
        <v>63</v>
      </c>
      <c r="B41" s="82">
        <v>244.01400000000001</v>
      </c>
      <c r="C41" s="69">
        <v>0.78154532117009667</v>
      </c>
      <c r="D41" s="33">
        <v>2.431417869466506E-2</v>
      </c>
      <c r="E41" s="33">
        <v>7.0655782045292478E-2</v>
      </c>
      <c r="F41" s="33">
        <v>6.4438925635414368E-2</v>
      </c>
      <c r="G41" s="33">
        <v>5.9045792454531294E-2</v>
      </c>
    </row>
    <row r="42" spans="1:13" x14ac:dyDescent="0.2">
      <c r="A42" s="63" t="s">
        <v>8</v>
      </c>
      <c r="B42" s="82">
        <v>304.66300000000001</v>
      </c>
      <c r="C42" s="69">
        <v>0.53523401266317205</v>
      </c>
      <c r="D42" s="33">
        <v>3.9256489957756602E-2</v>
      </c>
      <c r="E42" s="33">
        <v>0.21184718853290357</v>
      </c>
      <c r="F42" s="33">
        <v>0.15985531554537308</v>
      </c>
      <c r="G42" s="33">
        <v>5.3806993300794644E-2</v>
      </c>
    </row>
    <row r="43" spans="1:13" x14ac:dyDescent="0.2">
      <c r="A43" s="63" t="s">
        <v>7</v>
      </c>
      <c r="B43" s="82">
        <v>1185.4169999999999</v>
      </c>
      <c r="C43" s="69">
        <v>0.2695718046898265</v>
      </c>
      <c r="D43" s="33">
        <v>4.6688211827567855E-2</v>
      </c>
      <c r="E43" s="33">
        <v>0.50711437409789129</v>
      </c>
      <c r="F43" s="33">
        <v>8.6961803314782912E-2</v>
      </c>
      <c r="G43" s="33">
        <v>8.9663806069931504E-2</v>
      </c>
    </row>
    <row r="44" spans="1:13" x14ac:dyDescent="0.2">
      <c r="A44" s="63" t="s">
        <v>9</v>
      </c>
      <c r="B44" s="82">
        <v>17.931000000000001</v>
      </c>
      <c r="C44" s="69">
        <v>0.41525849088171324</v>
      </c>
      <c r="D44" s="33">
        <v>3.5134682951313365E-3</v>
      </c>
      <c r="E44" s="33">
        <v>0.35391221906195974</v>
      </c>
      <c r="F44" s="33">
        <v>0.22731582176119569</v>
      </c>
      <c r="G44" s="33">
        <v>0</v>
      </c>
    </row>
    <row r="45" spans="1:13" x14ac:dyDescent="0.2">
      <c r="A45" s="63" t="s">
        <v>16</v>
      </c>
      <c r="B45" s="82">
        <v>20.576000000000001</v>
      </c>
      <c r="C45" s="69">
        <v>5.0641524105754281E-2</v>
      </c>
      <c r="D45" s="33">
        <v>7.2900466562986004E-4</v>
      </c>
      <c r="E45" s="33">
        <v>0.91922628304821152</v>
      </c>
      <c r="F45" s="33">
        <v>1.0692068429237948E-2</v>
      </c>
      <c r="G45" s="33">
        <v>1.8711119751166409E-2</v>
      </c>
    </row>
    <row r="46" spans="1:13" x14ac:dyDescent="0.2">
      <c r="A46" s="63" t="s">
        <v>10</v>
      </c>
      <c r="B46" s="82">
        <v>21.876999999999999</v>
      </c>
      <c r="C46" s="69">
        <v>0.15610001371303195</v>
      </c>
      <c r="D46" s="33">
        <v>4.2738949581752526E-2</v>
      </c>
      <c r="E46" s="33">
        <v>0.34789962060611601</v>
      </c>
      <c r="F46" s="33">
        <v>3.405402934588838E-2</v>
      </c>
      <c r="G46" s="33">
        <v>0.41920738675321118</v>
      </c>
    </row>
    <row r="47" spans="1:13" x14ac:dyDescent="0.2">
      <c r="A47" s="63" t="s">
        <v>11</v>
      </c>
      <c r="B47" s="82">
        <v>386.37</v>
      </c>
      <c r="C47" s="69">
        <v>1.7180422910681472E-2</v>
      </c>
      <c r="D47" s="33">
        <v>8.6013406838005027E-2</v>
      </c>
      <c r="E47" s="33">
        <v>0.7407614462820612</v>
      </c>
      <c r="F47" s="33">
        <v>3.3439449232600875E-3</v>
      </c>
      <c r="G47" s="33">
        <v>0.15270077904599219</v>
      </c>
    </row>
    <row r="48" spans="1:13" x14ac:dyDescent="0.2">
      <c r="A48" s="63" t="s">
        <v>13</v>
      </c>
      <c r="B48" s="82">
        <v>376.86399999999998</v>
      </c>
      <c r="C48" s="69">
        <v>4.5703489853103511E-2</v>
      </c>
      <c r="D48" s="33">
        <v>3.6214655684809381E-2</v>
      </c>
      <c r="E48" s="33">
        <v>0.54881336503353995</v>
      </c>
      <c r="F48" s="33">
        <v>0.25632323596841305</v>
      </c>
      <c r="G48" s="33">
        <v>0.11294525346013416</v>
      </c>
    </row>
    <row r="49" spans="1:7" x14ac:dyDescent="0.2">
      <c r="A49" s="63" t="s">
        <v>14</v>
      </c>
      <c r="B49" s="82">
        <v>22.7</v>
      </c>
      <c r="C49" s="69">
        <v>2.8230000000000002E-2</v>
      </c>
      <c r="D49" s="33">
        <v>0.23130000000000001</v>
      </c>
      <c r="E49" s="33">
        <v>0.74046800000000002</v>
      </c>
      <c r="F49" s="33">
        <v>0</v>
      </c>
      <c r="G49" s="33">
        <v>0</v>
      </c>
    </row>
    <row r="50" spans="1:7" x14ac:dyDescent="0.2">
      <c r="A50" s="63" t="s">
        <v>17</v>
      </c>
      <c r="B50" s="82">
        <v>899.02499999999998</v>
      </c>
      <c r="C50" s="69">
        <v>5.9397680820889301E-4</v>
      </c>
      <c r="D50" s="33">
        <v>0.1718506159450516</v>
      </c>
      <c r="E50" s="33">
        <v>0.70746753427324049</v>
      </c>
      <c r="F50" s="33">
        <v>3.7670810044214569E-2</v>
      </c>
      <c r="G50" s="33">
        <v>8.2417062929284496E-2</v>
      </c>
    </row>
    <row r="51" spans="1:7" x14ac:dyDescent="0.2">
      <c r="A51" s="63" t="s">
        <v>5</v>
      </c>
      <c r="B51" s="82">
        <v>0.17799999999999999</v>
      </c>
      <c r="C51" s="69">
        <v>0</v>
      </c>
      <c r="D51" s="33">
        <v>1</v>
      </c>
      <c r="E51" s="33">
        <v>0</v>
      </c>
      <c r="F51" s="33">
        <v>0</v>
      </c>
      <c r="G51" s="33">
        <v>0</v>
      </c>
    </row>
    <row r="52" spans="1:7" x14ac:dyDescent="0.2">
      <c r="A52" s="63" t="s">
        <v>20</v>
      </c>
      <c r="B52" s="82">
        <v>10.95</v>
      </c>
      <c r="C52" s="69">
        <v>4.0821917808219185E-2</v>
      </c>
      <c r="D52" s="33">
        <v>9.8630136986301367E-3</v>
      </c>
      <c r="E52" s="33">
        <v>0.90118721461187212</v>
      </c>
      <c r="F52" s="33">
        <v>4.8127853881278541E-2</v>
      </c>
      <c r="G52" s="33">
        <v>0</v>
      </c>
    </row>
    <row r="53" spans="1:7" x14ac:dyDescent="0.2">
      <c r="A53" s="63" t="s">
        <v>18</v>
      </c>
      <c r="B53" s="82">
        <v>29.942</v>
      </c>
      <c r="C53" s="69">
        <v>3.3397902611715986E-5</v>
      </c>
      <c r="D53" s="33">
        <v>0.25432502838821724</v>
      </c>
      <c r="E53" s="33">
        <v>0.6634827332843497</v>
      </c>
      <c r="F53" s="33">
        <v>8.2158840424821328E-2</v>
      </c>
      <c r="G53" s="33">
        <v>0</v>
      </c>
    </row>
    <row r="54" spans="1:7" x14ac:dyDescent="0.2">
      <c r="A54" s="63" t="s">
        <v>19</v>
      </c>
      <c r="B54" s="82">
        <v>6.3819999999999997</v>
      </c>
      <c r="C54" s="69">
        <v>0</v>
      </c>
      <c r="D54" s="33">
        <v>0</v>
      </c>
      <c r="E54" s="33">
        <v>0.80037605766217501</v>
      </c>
      <c r="F54" s="33">
        <v>0.19962394233782516</v>
      </c>
      <c r="G54" s="33">
        <v>0</v>
      </c>
    </row>
    <row r="55" spans="1:7" x14ac:dyDescent="0.2">
      <c r="A55" s="63" t="s">
        <v>15</v>
      </c>
      <c r="B55" s="82">
        <v>86.507999999999996</v>
      </c>
      <c r="C55" s="69">
        <v>5.5439959310121606E-2</v>
      </c>
      <c r="D55" s="33">
        <v>3.2124196606094238E-2</v>
      </c>
      <c r="E55" s="33">
        <v>0.78274841633143766</v>
      </c>
      <c r="F55" s="33">
        <v>7.6305081610949288E-2</v>
      </c>
      <c r="G55" s="33">
        <v>5.3382346141397329E-2</v>
      </c>
    </row>
    <row r="56" spans="1:7" x14ac:dyDescent="0.2">
      <c r="A56" s="63" t="s">
        <v>21</v>
      </c>
      <c r="B56" s="82">
        <v>0</v>
      </c>
      <c r="C56" s="69" t="s">
        <v>54</v>
      </c>
      <c r="D56" s="33" t="s">
        <v>54</v>
      </c>
      <c r="E56" s="33" t="s">
        <v>54</v>
      </c>
      <c r="F56" s="33" t="s">
        <v>54</v>
      </c>
      <c r="G56" s="33" t="s">
        <v>54</v>
      </c>
    </row>
    <row r="57" spans="1:7" x14ac:dyDescent="0.2">
      <c r="A57" s="63" t="s">
        <v>22</v>
      </c>
      <c r="B57" s="82">
        <v>652.85900000000004</v>
      </c>
      <c r="C57" s="69">
        <v>0.13179415463369579</v>
      </c>
      <c r="D57" s="33">
        <v>3.4034914123876668E-3</v>
      </c>
      <c r="E57" s="33">
        <v>0.7116222645318514</v>
      </c>
      <c r="F57" s="33">
        <v>3.6871667542302394E-2</v>
      </c>
      <c r="G57" s="33">
        <v>0.1163084218797627</v>
      </c>
    </row>
    <row r="58" spans="1:7" x14ac:dyDescent="0.2">
      <c r="A58" s="63" t="s">
        <v>2</v>
      </c>
      <c r="B58" s="82">
        <v>159.40799999999999</v>
      </c>
      <c r="C58" s="69">
        <v>5.1434056007226746E-2</v>
      </c>
      <c r="D58" s="33">
        <v>3.4000802970992672E-2</v>
      </c>
      <c r="E58" s="33">
        <v>0.43832806383619394</v>
      </c>
      <c r="F58" s="33">
        <v>0.3223803071364047</v>
      </c>
      <c r="G58" s="33">
        <v>0.153856770049182</v>
      </c>
    </row>
    <row r="59" spans="1:7" x14ac:dyDescent="0.2">
      <c r="A59" s="63" t="s">
        <v>24</v>
      </c>
      <c r="B59" s="82">
        <v>429.745</v>
      </c>
      <c r="C59" s="69">
        <v>0.74539319829201045</v>
      </c>
      <c r="D59" s="33">
        <v>8.9718321330091097E-2</v>
      </c>
      <c r="E59" s="33">
        <v>6.9853052391534512E-2</v>
      </c>
      <c r="F59" s="33">
        <v>6.9885629850260034E-2</v>
      </c>
      <c r="G59" s="33">
        <v>2.5149798136103969E-2</v>
      </c>
    </row>
    <row r="60" spans="1:7" x14ac:dyDescent="0.2">
      <c r="A60" s="63" t="s">
        <v>25</v>
      </c>
      <c r="B60" s="82">
        <v>106.069</v>
      </c>
      <c r="C60" s="69">
        <v>0</v>
      </c>
      <c r="D60" s="33">
        <v>0.24297391320744044</v>
      </c>
      <c r="E60" s="33">
        <v>0.32049892051400503</v>
      </c>
      <c r="F60" s="33">
        <v>0.39601580103517525</v>
      </c>
      <c r="G60" s="33">
        <v>4.051136524337931E-2</v>
      </c>
    </row>
    <row r="61" spans="1:7" x14ac:dyDescent="0.2">
      <c r="A61" s="63" t="s">
        <v>26</v>
      </c>
      <c r="B61" s="82">
        <v>112.407</v>
      </c>
      <c r="C61" s="69">
        <v>0.39823142686843344</v>
      </c>
      <c r="D61" s="33">
        <v>8.8784506302988245E-2</v>
      </c>
      <c r="E61" s="33">
        <v>0.49697972546193747</v>
      </c>
      <c r="F61" s="33">
        <v>5.1954059800546236E-3</v>
      </c>
      <c r="G61" s="33">
        <v>1.0808935386586246E-2</v>
      </c>
    </row>
    <row r="62" spans="1:7" x14ac:dyDescent="0.2">
      <c r="A62" s="63" t="s">
        <v>28</v>
      </c>
      <c r="B62" s="82">
        <v>19.852</v>
      </c>
      <c r="C62" s="69">
        <v>0.56629055007052187</v>
      </c>
      <c r="D62" s="33">
        <v>1.7731210961112229E-2</v>
      </c>
      <c r="E62" s="33">
        <v>0.27438041507152927</v>
      </c>
      <c r="F62" s="33">
        <v>0.13555309288736653</v>
      </c>
      <c r="G62" s="33">
        <v>6.0447310094700786E-3</v>
      </c>
    </row>
    <row r="63" spans="1:7" x14ac:dyDescent="0.2">
      <c r="A63" s="63" t="s">
        <v>55</v>
      </c>
      <c r="B63" s="117">
        <v>95.495999999999995</v>
      </c>
      <c r="C63" s="118">
        <v>0.4496523414593282</v>
      </c>
      <c r="D63" s="120">
        <v>4.2661472731842176E-2</v>
      </c>
      <c r="E63" s="120">
        <v>0.16156697662729327</v>
      </c>
      <c r="F63" s="120">
        <v>5.5635838150289017E-2</v>
      </c>
      <c r="G63" s="120">
        <v>0.29048337103124738</v>
      </c>
    </row>
    <row r="64" spans="1:7" x14ac:dyDescent="0.2">
      <c r="A64" s="63" t="s">
        <v>12</v>
      </c>
      <c r="B64" s="82">
        <v>437.09199999999998</v>
      </c>
      <c r="C64" s="69">
        <v>0.29312593229800593</v>
      </c>
      <c r="D64" s="33">
        <v>2.019483312437656E-2</v>
      </c>
      <c r="E64" s="33">
        <v>0.21928106668618963</v>
      </c>
      <c r="F64" s="33">
        <v>0.42602701490761674</v>
      </c>
      <c r="G64" s="33">
        <v>4.1371152983811194E-2</v>
      </c>
    </row>
    <row r="65" spans="1:7" x14ac:dyDescent="0.2">
      <c r="A65" s="64" t="s">
        <v>27</v>
      </c>
      <c r="B65" s="90">
        <v>252.6</v>
      </c>
      <c r="C65" s="91">
        <v>6.0696753760886776E-2</v>
      </c>
      <c r="D65" s="34">
        <v>4.8507521773555023E-2</v>
      </c>
      <c r="E65" s="34">
        <v>5.9140934283452094E-2</v>
      </c>
      <c r="F65" s="34">
        <v>0.74886777513855896</v>
      </c>
      <c r="G65" s="34">
        <v>8.2787015043547116E-2</v>
      </c>
    </row>
    <row r="66" spans="1:7" x14ac:dyDescent="0.2">
      <c r="A66" s="64" t="s">
        <v>29</v>
      </c>
      <c r="B66" s="90">
        <v>302.63799999999998</v>
      </c>
      <c r="C66" s="91">
        <v>3.9667854003793315E-2</v>
      </c>
      <c r="D66" s="34">
        <v>2.2449262815641132E-2</v>
      </c>
      <c r="E66" s="34">
        <v>0.69599984139466964</v>
      </c>
      <c r="F66" s="34">
        <v>3.6499051672294953E-2</v>
      </c>
      <c r="G66" s="34">
        <v>0.20538399011360106</v>
      </c>
    </row>
    <row r="67" spans="1:7" x14ac:dyDescent="0.2">
      <c r="A67" s="172" t="s">
        <v>23</v>
      </c>
      <c r="B67" s="173">
        <v>4.7729999999999997</v>
      </c>
      <c r="C67" s="174">
        <v>0.15671485438927299</v>
      </c>
      <c r="D67" s="175">
        <v>0</v>
      </c>
      <c r="E67" s="175">
        <v>3.5617012361198407E-3</v>
      </c>
      <c r="F67" s="175">
        <v>0.41986172218730361</v>
      </c>
      <c r="G67" s="175">
        <v>0.41986172218730361</v>
      </c>
    </row>
    <row r="68" spans="1:7" x14ac:dyDescent="0.2">
      <c r="A68" s="106" t="s">
        <v>56</v>
      </c>
      <c r="B68" s="107">
        <v>155.857</v>
      </c>
      <c r="C68" s="110">
        <v>0.11461788690915391</v>
      </c>
      <c r="D68" s="108">
        <v>0.11922467389979276</v>
      </c>
      <c r="E68" s="108">
        <v>0.68277972757078598</v>
      </c>
      <c r="F68" s="108">
        <v>1.0022007352893998E-2</v>
      </c>
      <c r="G68" s="108">
        <v>7.3355704267373298E-2</v>
      </c>
    </row>
    <row r="71" spans="1:7" x14ac:dyDescent="0.2">
      <c r="A71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72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255" width="9.140625" style="38"/>
    <col min="256" max="256" width="21.7109375" style="38" customWidth="1"/>
    <col min="257" max="257" width="9.7109375" style="38" customWidth="1"/>
    <col min="258" max="260" width="9.140625" style="38"/>
    <col min="261" max="261" width="10.7109375" style="38" customWidth="1"/>
    <col min="262" max="262" width="9.5703125" style="38" customWidth="1"/>
    <col min="263" max="511" width="9.140625" style="38"/>
    <col min="512" max="512" width="21.7109375" style="38" customWidth="1"/>
    <col min="513" max="513" width="9.7109375" style="38" customWidth="1"/>
    <col min="514" max="516" width="9.140625" style="38"/>
    <col min="517" max="517" width="10.7109375" style="38" customWidth="1"/>
    <col min="518" max="518" width="9.5703125" style="38" customWidth="1"/>
    <col min="519" max="767" width="9.140625" style="38"/>
    <col min="768" max="768" width="21.7109375" style="38" customWidth="1"/>
    <col min="769" max="769" width="9.7109375" style="38" customWidth="1"/>
    <col min="770" max="772" width="9.140625" style="38"/>
    <col min="773" max="773" width="10.7109375" style="38" customWidth="1"/>
    <col min="774" max="774" width="9.5703125" style="38" customWidth="1"/>
    <col min="775" max="1023" width="9.140625" style="38"/>
    <col min="1024" max="1024" width="21.7109375" style="38" customWidth="1"/>
    <col min="1025" max="1025" width="9.7109375" style="38" customWidth="1"/>
    <col min="1026" max="1028" width="9.140625" style="38"/>
    <col min="1029" max="1029" width="10.7109375" style="38" customWidth="1"/>
    <col min="1030" max="1030" width="9.5703125" style="38" customWidth="1"/>
    <col min="1031" max="1279" width="9.140625" style="38"/>
    <col min="1280" max="1280" width="21.7109375" style="38" customWidth="1"/>
    <col min="1281" max="1281" width="9.7109375" style="38" customWidth="1"/>
    <col min="1282" max="1284" width="9.140625" style="38"/>
    <col min="1285" max="1285" width="10.7109375" style="38" customWidth="1"/>
    <col min="1286" max="1286" width="9.5703125" style="38" customWidth="1"/>
    <col min="1287" max="1535" width="9.140625" style="38"/>
    <col min="1536" max="1536" width="21.7109375" style="38" customWidth="1"/>
    <col min="1537" max="1537" width="9.7109375" style="38" customWidth="1"/>
    <col min="1538" max="1540" width="9.140625" style="38"/>
    <col min="1541" max="1541" width="10.7109375" style="38" customWidth="1"/>
    <col min="1542" max="1542" width="9.5703125" style="38" customWidth="1"/>
    <col min="1543" max="1791" width="9.140625" style="38"/>
    <col min="1792" max="1792" width="21.7109375" style="38" customWidth="1"/>
    <col min="1793" max="1793" width="9.7109375" style="38" customWidth="1"/>
    <col min="1794" max="1796" width="9.140625" style="38"/>
    <col min="1797" max="1797" width="10.7109375" style="38" customWidth="1"/>
    <col min="1798" max="1798" width="9.5703125" style="38" customWidth="1"/>
    <col min="1799" max="2047" width="9.140625" style="38"/>
    <col min="2048" max="2048" width="21.7109375" style="38" customWidth="1"/>
    <col min="2049" max="2049" width="9.7109375" style="38" customWidth="1"/>
    <col min="2050" max="2052" width="9.140625" style="38"/>
    <col min="2053" max="2053" width="10.7109375" style="38" customWidth="1"/>
    <col min="2054" max="2054" width="9.5703125" style="38" customWidth="1"/>
    <col min="2055" max="2303" width="9.140625" style="38"/>
    <col min="2304" max="2304" width="21.7109375" style="38" customWidth="1"/>
    <col min="2305" max="2305" width="9.7109375" style="38" customWidth="1"/>
    <col min="2306" max="2308" width="9.140625" style="38"/>
    <col min="2309" max="2309" width="10.7109375" style="38" customWidth="1"/>
    <col min="2310" max="2310" width="9.5703125" style="38" customWidth="1"/>
    <col min="2311" max="2559" width="9.140625" style="38"/>
    <col min="2560" max="2560" width="21.7109375" style="38" customWidth="1"/>
    <col min="2561" max="2561" width="9.7109375" style="38" customWidth="1"/>
    <col min="2562" max="2564" width="9.140625" style="38"/>
    <col min="2565" max="2565" width="10.7109375" style="38" customWidth="1"/>
    <col min="2566" max="2566" width="9.5703125" style="38" customWidth="1"/>
    <col min="2567" max="2815" width="9.140625" style="38"/>
    <col min="2816" max="2816" width="21.7109375" style="38" customWidth="1"/>
    <col min="2817" max="2817" width="9.7109375" style="38" customWidth="1"/>
    <col min="2818" max="2820" width="9.140625" style="38"/>
    <col min="2821" max="2821" width="10.7109375" style="38" customWidth="1"/>
    <col min="2822" max="2822" width="9.5703125" style="38" customWidth="1"/>
    <col min="2823" max="3071" width="9.140625" style="38"/>
    <col min="3072" max="3072" width="21.7109375" style="38" customWidth="1"/>
    <col min="3073" max="3073" width="9.7109375" style="38" customWidth="1"/>
    <col min="3074" max="3076" width="9.140625" style="38"/>
    <col min="3077" max="3077" width="10.7109375" style="38" customWidth="1"/>
    <col min="3078" max="3078" width="9.5703125" style="38" customWidth="1"/>
    <col min="3079" max="3327" width="9.140625" style="38"/>
    <col min="3328" max="3328" width="21.7109375" style="38" customWidth="1"/>
    <col min="3329" max="3329" width="9.7109375" style="38" customWidth="1"/>
    <col min="3330" max="3332" width="9.140625" style="38"/>
    <col min="3333" max="3333" width="10.7109375" style="38" customWidth="1"/>
    <col min="3334" max="3334" width="9.5703125" style="38" customWidth="1"/>
    <col min="3335" max="3583" width="9.140625" style="38"/>
    <col min="3584" max="3584" width="21.7109375" style="38" customWidth="1"/>
    <col min="3585" max="3585" width="9.7109375" style="38" customWidth="1"/>
    <col min="3586" max="3588" width="9.140625" style="38"/>
    <col min="3589" max="3589" width="10.7109375" style="38" customWidth="1"/>
    <col min="3590" max="3590" width="9.5703125" style="38" customWidth="1"/>
    <col min="3591" max="3839" width="9.140625" style="38"/>
    <col min="3840" max="3840" width="21.7109375" style="38" customWidth="1"/>
    <col min="3841" max="3841" width="9.7109375" style="38" customWidth="1"/>
    <col min="3842" max="3844" width="9.140625" style="38"/>
    <col min="3845" max="3845" width="10.7109375" style="38" customWidth="1"/>
    <col min="3846" max="3846" width="9.5703125" style="38" customWidth="1"/>
    <col min="3847" max="4095" width="9.140625" style="38"/>
    <col min="4096" max="4096" width="21.7109375" style="38" customWidth="1"/>
    <col min="4097" max="4097" width="9.7109375" style="38" customWidth="1"/>
    <col min="4098" max="4100" width="9.140625" style="38"/>
    <col min="4101" max="4101" width="10.7109375" style="38" customWidth="1"/>
    <col min="4102" max="4102" width="9.5703125" style="38" customWidth="1"/>
    <col min="4103" max="4351" width="9.140625" style="38"/>
    <col min="4352" max="4352" width="21.7109375" style="38" customWidth="1"/>
    <col min="4353" max="4353" width="9.7109375" style="38" customWidth="1"/>
    <col min="4354" max="4356" width="9.140625" style="38"/>
    <col min="4357" max="4357" width="10.7109375" style="38" customWidth="1"/>
    <col min="4358" max="4358" width="9.5703125" style="38" customWidth="1"/>
    <col min="4359" max="4607" width="9.140625" style="38"/>
    <col min="4608" max="4608" width="21.7109375" style="38" customWidth="1"/>
    <col min="4609" max="4609" width="9.7109375" style="38" customWidth="1"/>
    <col min="4610" max="4612" width="9.140625" style="38"/>
    <col min="4613" max="4613" width="10.7109375" style="38" customWidth="1"/>
    <col min="4614" max="4614" width="9.5703125" style="38" customWidth="1"/>
    <col min="4615" max="4863" width="9.140625" style="38"/>
    <col min="4864" max="4864" width="21.7109375" style="38" customWidth="1"/>
    <col min="4865" max="4865" width="9.7109375" style="38" customWidth="1"/>
    <col min="4866" max="4868" width="9.140625" style="38"/>
    <col min="4869" max="4869" width="10.7109375" style="38" customWidth="1"/>
    <col min="4870" max="4870" width="9.5703125" style="38" customWidth="1"/>
    <col min="4871" max="5119" width="9.140625" style="38"/>
    <col min="5120" max="5120" width="21.7109375" style="38" customWidth="1"/>
    <col min="5121" max="5121" width="9.7109375" style="38" customWidth="1"/>
    <col min="5122" max="5124" width="9.140625" style="38"/>
    <col min="5125" max="5125" width="10.7109375" style="38" customWidth="1"/>
    <col min="5126" max="5126" width="9.5703125" style="38" customWidth="1"/>
    <col min="5127" max="5375" width="9.140625" style="38"/>
    <col min="5376" max="5376" width="21.7109375" style="38" customWidth="1"/>
    <col min="5377" max="5377" width="9.7109375" style="38" customWidth="1"/>
    <col min="5378" max="5380" width="9.140625" style="38"/>
    <col min="5381" max="5381" width="10.7109375" style="38" customWidth="1"/>
    <col min="5382" max="5382" width="9.5703125" style="38" customWidth="1"/>
    <col min="5383" max="5631" width="9.140625" style="38"/>
    <col min="5632" max="5632" width="21.7109375" style="38" customWidth="1"/>
    <col min="5633" max="5633" width="9.7109375" style="38" customWidth="1"/>
    <col min="5634" max="5636" width="9.140625" style="38"/>
    <col min="5637" max="5637" width="10.7109375" style="38" customWidth="1"/>
    <col min="5638" max="5638" width="9.5703125" style="38" customWidth="1"/>
    <col min="5639" max="5887" width="9.140625" style="38"/>
    <col min="5888" max="5888" width="21.7109375" style="38" customWidth="1"/>
    <col min="5889" max="5889" width="9.7109375" style="38" customWidth="1"/>
    <col min="5890" max="5892" width="9.140625" style="38"/>
    <col min="5893" max="5893" width="10.7109375" style="38" customWidth="1"/>
    <col min="5894" max="5894" width="9.5703125" style="38" customWidth="1"/>
    <col min="5895" max="6143" width="9.140625" style="38"/>
    <col min="6144" max="6144" width="21.7109375" style="38" customWidth="1"/>
    <col min="6145" max="6145" width="9.7109375" style="38" customWidth="1"/>
    <col min="6146" max="6148" width="9.140625" style="38"/>
    <col min="6149" max="6149" width="10.7109375" style="38" customWidth="1"/>
    <col min="6150" max="6150" width="9.5703125" style="38" customWidth="1"/>
    <col min="6151" max="6399" width="9.140625" style="38"/>
    <col min="6400" max="6400" width="21.7109375" style="38" customWidth="1"/>
    <col min="6401" max="6401" width="9.7109375" style="38" customWidth="1"/>
    <col min="6402" max="6404" width="9.140625" style="38"/>
    <col min="6405" max="6405" width="10.7109375" style="38" customWidth="1"/>
    <col min="6406" max="6406" width="9.5703125" style="38" customWidth="1"/>
    <col min="6407" max="6655" width="9.140625" style="38"/>
    <col min="6656" max="6656" width="21.7109375" style="38" customWidth="1"/>
    <col min="6657" max="6657" width="9.7109375" style="38" customWidth="1"/>
    <col min="6658" max="6660" width="9.140625" style="38"/>
    <col min="6661" max="6661" width="10.7109375" style="38" customWidth="1"/>
    <col min="6662" max="6662" width="9.5703125" style="38" customWidth="1"/>
    <col min="6663" max="6911" width="9.140625" style="38"/>
    <col min="6912" max="6912" width="21.7109375" style="38" customWidth="1"/>
    <col min="6913" max="6913" width="9.7109375" style="38" customWidth="1"/>
    <col min="6914" max="6916" width="9.140625" style="38"/>
    <col min="6917" max="6917" width="10.7109375" style="38" customWidth="1"/>
    <col min="6918" max="6918" width="9.5703125" style="38" customWidth="1"/>
    <col min="6919" max="7167" width="9.140625" style="38"/>
    <col min="7168" max="7168" width="21.7109375" style="38" customWidth="1"/>
    <col min="7169" max="7169" width="9.7109375" style="38" customWidth="1"/>
    <col min="7170" max="7172" width="9.140625" style="38"/>
    <col min="7173" max="7173" width="10.7109375" style="38" customWidth="1"/>
    <col min="7174" max="7174" width="9.5703125" style="38" customWidth="1"/>
    <col min="7175" max="7423" width="9.140625" style="38"/>
    <col min="7424" max="7424" width="21.7109375" style="38" customWidth="1"/>
    <col min="7425" max="7425" width="9.7109375" style="38" customWidth="1"/>
    <col min="7426" max="7428" width="9.140625" style="38"/>
    <col min="7429" max="7429" width="10.7109375" style="38" customWidth="1"/>
    <col min="7430" max="7430" width="9.5703125" style="38" customWidth="1"/>
    <col min="7431" max="7679" width="9.140625" style="38"/>
    <col min="7680" max="7680" width="21.7109375" style="38" customWidth="1"/>
    <col min="7681" max="7681" width="9.7109375" style="38" customWidth="1"/>
    <col min="7682" max="7684" width="9.140625" style="38"/>
    <col min="7685" max="7685" width="10.7109375" style="38" customWidth="1"/>
    <col min="7686" max="7686" width="9.5703125" style="38" customWidth="1"/>
    <col min="7687" max="7935" width="9.140625" style="38"/>
    <col min="7936" max="7936" width="21.7109375" style="38" customWidth="1"/>
    <col min="7937" max="7937" width="9.7109375" style="38" customWidth="1"/>
    <col min="7938" max="7940" width="9.140625" style="38"/>
    <col min="7941" max="7941" width="10.7109375" style="38" customWidth="1"/>
    <col min="7942" max="7942" width="9.5703125" style="38" customWidth="1"/>
    <col min="7943" max="8191" width="9.140625" style="38"/>
    <col min="8192" max="8192" width="21.7109375" style="38" customWidth="1"/>
    <col min="8193" max="8193" width="9.7109375" style="38" customWidth="1"/>
    <col min="8194" max="8196" width="9.140625" style="38"/>
    <col min="8197" max="8197" width="10.7109375" style="38" customWidth="1"/>
    <col min="8198" max="8198" width="9.5703125" style="38" customWidth="1"/>
    <col min="8199" max="8447" width="9.140625" style="38"/>
    <col min="8448" max="8448" width="21.7109375" style="38" customWidth="1"/>
    <col min="8449" max="8449" width="9.7109375" style="38" customWidth="1"/>
    <col min="8450" max="8452" width="9.140625" style="38"/>
    <col min="8453" max="8453" width="10.7109375" style="38" customWidth="1"/>
    <col min="8454" max="8454" width="9.5703125" style="38" customWidth="1"/>
    <col min="8455" max="8703" width="9.140625" style="38"/>
    <col min="8704" max="8704" width="21.7109375" style="38" customWidth="1"/>
    <col min="8705" max="8705" width="9.7109375" style="38" customWidth="1"/>
    <col min="8706" max="8708" width="9.140625" style="38"/>
    <col min="8709" max="8709" width="10.7109375" style="38" customWidth="1"/>
    <col min="8710" max="8710" width="9.5703125" style="38" customWidth="1"/>
    <col min="8711" max="8959" width="9.140625" style="38"/>
    <col min="8960" max="8960" width="21.7109375" style="38" customWidth="1"/>
    <col min="8961" max="8961" width="9.7109375" style="38" customWidth="1"/>
    <col min="8962" max="8964" width="9.140625" style="38"/>
    <col min="8965" max="8965" width="10.7109375" style="38" customWidth="1"/>
    <col min="8966" max="8966" width="9.5703125" style="38" customWidth="1"/>
    <col min="8967" max="9215" width="9.140625" style="38"/>
    <col min="9216" max="9216" width="21.7109375" style="38" customWidth="1"/>
    <col min="9217" max="9217" width="9.7109375" style="38" customWidth="1"/>
    <col min="9218" max="9220" width="9.140625" style="38"/>
    <col min="9221" max="9221" width="10.7109375" style="38" customWidth="1"/>
    <col min="9222" max="9222" width="9.5703125" style="38" customWidth="1"/>
    <col min="9223" max="9471" width="9.140625" style="38"/>
    <col min="9472" max="9472" width="21.7109375" style="38" customWidth="1"/>
    <col min="9473" max="9473" width="9.7109375" style="38" customWidth="1"/>
    <col min="9474" max="9476" width="9.140625" style="38"/>
    <col min="9477" max="9477" width="10.7109375" style="38" customWidth="1"/>
    <col min="9478" max="9478" width="9.5703125" style="38" customWidth="1"/>
    <col min="9479" max="9727" width="9.140625" style="38"/>
    <col min="9728" max="9728" width="21.7109375" style="38" customWidth="1"/>
    <col min="9729" max="9729" width="9.7109375" style="38" customWidth="1"/>
    <col min="9730" max="9732" width="9.140625" style="38"/>
    <col min="9733" max="9733" width="10.7109375" style="38" customWidth="1"/>
    <col min="9734" max="9734" width="9.5703125" style="38" customWidth="1"/>
    <col min="9735" max="9983" width="9.140625" style="38"/>
    <col min="9984" max="9984" width="21.7109375" style="38" customWidth="1"/>
    <col min="9985" max="9985" width="9.7109375" style="38" customWidth="1"/>
    <col min="9986" max="9988" width="9.140625" style="38"/>
    <col min="9989" max="9989" width="10.7109375" style="38" customWidth="1"/>
    <col min="9990" max="9990" width="9.5703125" style="38" customWidth="1"/>
    <col min="9991" max="10239" width="9.140625" style="38"/>
    <col min="10240" max="10240" width="21.7109375" style="38" customWidth="1"/>
    <col min="10241" max="10241" width="9.7109375" style="38" customWidth="1"/>
    <col min="10242" max="10244" width="9.140625" style="38"/>
    <col min="10245" max="10245" width="10.7109375" style="38" customWidth="1"/>
    <col min="10246" max="10246" width="9.5703125" style="38" customWidth="1"/>
    <col min="10247" max="10495" width="9.140625" style="38"/>
    <col min="10496" max="10496" width="21.7109375" style="38" customWidth="1"/>
    <col min="10497" max="10497" width="9.7109375" style="38" customWidth="1"/>
    <col min="10498" max="10500" width="9.140625" style="38"/>
    <col min="10501" max="10501" width="10.7109375" style="38" customWidth="1"/>
    <col min="10502" max="10502" width="9.5703125" style="38" customWidth="1"/>
    <col min="10503" max="10751" width="9.140625" style="38"/>
    <col min="10752" max="10752" width="21.7109375" style="38" customWidth="1"/>
    <col min="10753" max="10753" width="9.7109375" style="38" customWidth="1"/>
    <col min="10754" max="10756" width="9.140625" style="38"/>
    <col min="10757" max="10757" width="10.7109375" style="38" customWidth="1"/>
    <col min="10758" max="10758" width="9.5703125" style="38" customWidth="1"/>
    <col min="10759" max="11007" width="9.140625" style="38"/>
    <col min="11008" max="11008" width="21.7109375" style="38" customWidth="1"/>
    <col min="11009" max="11009" width="9.7109375" style="38" customWidth="1"/>
    <col min="11010" max="11012" width="9.140625" style="38"/>
    <col min="11013" max="11013" width="10.7109375" style="38" customWidth="1"/>
    <col min="11014" max="11014" width="9.5703125" style="38" customWidth="1"/>
    <col min="11015" max="11263" width="9.140625" style="38"/>
    <col min="11264" max="11264" width="21.7109375" style="38" customWidth="1"/>
    <col min="11265" max="11265" width="9.7109375" style="38" customWidth="1"/>
    <col min="11266" max="11268" width="9.140625" style="38"/>
    <col min="11269" max="11269" width="10.7109375" style="38" customWidth="1"/>
    <col min="11270" max="11270" width="9.5703125" style="38" customWidth="1"/>
    <col min="11271" max="11519" width="9.140625" style="38"/>
    <col min="11520" max="11520" width="21.7109375" style="38" customWidth="1"/>
    <col min="11521" max="11521" width="9.7109375" style="38" customWidth="1"/>
    <col min="11522" max="11524" width="9.140625" style="38"/>
    <col min="11525" max="11525" width="10.7109375" style="38" customWidth="1"/>
    <col min="11526" max="11526" width="9.5703125" style="38" customWidth="1"/>
    <col min="11527" max="11775" width="9.140625" style="38"/>
    <col min="11776" max="11776" width="21.7109375" style="38" customWidth="1"/>
    <col min="11777" max="11777" width="9.7109375" style="38" customWidth="1"/>
    <col min="11778" max="11780" width="9.140625" style="38"/>
    <col min="11781" max="11781" width="10.7109375" style="38" customWidth="1"/>
    <col min="11782" max="11782" width="9.5703125" style="38" customWidth="1"/>
    <col min="11783" max="12031" width="9.140625" style="38"/>
    <col min="12032" max="12032" width="21.7109375" style="38" customWidth="1"/>
    <col min="12033" max="12033" width="9.7109375" style="38" customWidth="1"/>
    <col min="12034" max="12036" width="9.140625" style="38"/>
    <col min="12037" max="12037" width="10.7109375" style="38" customWidth="1"/>
    <col min="12038" max="12038" width="9.5703125" style="38" customWidth="1"/>
    <col min="12039" max="12287" width="9.140625" style="38"/>
    <col min="12288" max="12288" width="21.7109375" style="38" customWidth="1"/>
    <col min="12289" max="12289" width="9.7109375" style="38" customWidth="1"/>
    <col min="12290" max="12292" width="9.140625" style="38"/>
    <col min="12293" max="12293" width="10.7109375" style="38" customWidth="1"/>
    <col min="12294" max="12294" width="9.5703125" style="38" customWidth="1"/>
    <col min="12295" max="12543" width="9.140625" style="38"/>
    <col min="12544" max="12544" width="21.7109375" style="38" customWidth="1"/>
    <col min="12545" max="12545" width="9.7109375" style="38" customWidth="1"/>
    <col min="12546" max="12548" width="9.140625" style="38"/>
    <col min="12549" max="12549" width="10.7109375" style="38" customWidth="1"/>
    <col min="12550" max="12550" width="9.5703125" style="38" customWidth="1"/>
    <col min="12551" max="12799" width="9.140625" style="38"/>
    <col min="12800" max="12800" width="21.7109375" style="38" customWidth="1"/>
    <col min="12801" max="12801" width="9.7109375" style="38" customWidth="1"/>
    <col min="12802" max="12804" width="9.140625" style="38"/>
    <col min="12805" max="12805" width="10.7109375" style="38" customWidth="1"/>
    <col min="12806" max="12806" width="9.5703125" style="38" customWidth="1"/>
    <col min="12807" max="13055" width="9.140625" style="38"/>
    <col min="13056" max="13056" width="21.7109375" style="38" customWidth="1"/>
    <col min="13057" max="13057" width="9.7109375" style="38" customWidth="1"/>
    <col min="13058" max="13060" width="9.140625" style="38"/>
    <col min="13061" max="13061" width="10.7109375" style="38" customWidth="1"/>
    <col min="13062" max="13062" width="9.5703125" style="38" customWidth="1"/>
    <col min="13063" max="13311" width="9.140625" style="38"/>
    <col min="13312" max="13312" width="21.7109375" style="38" customWidth="1"/>
    <col min="13313" max="13313" width="9.7109375" style="38" customWidth="1"/>
    <col min="13314" max="13316" width="9.140625" style="38"/>
    <col min="13317" max="13317" width="10.7109375" style="38" customWidth="1"/>
    <col min="13318" max="13318" width="9.5703125" style="38" customWidth="1"/>
    <col min="13319" max="13567" width="9.140625" style="38"/>
    <col min="13568" max="13568" width="21.7109375" style="38" customWidth="1"/>
    <col min="13569" max="13569" width="9.7109375" style="38" customWidth="1"/>
    <col min="13570" max="13572" width="9.140625" style="38"/>
    <col min="13573" max="13573" width="10.7109375" style="38" customWidth="1"/>
    <col min="13574" max="13574" width="9.5703125" style="38" customWidth="1"/>
    <col min="13575" max="13823" width="9.140625" style="38"/>
    <col min="13824" max="13824" width="21.7109375" style="38" customWidth="1"/>
    <col min="13825" max="13825" width="9.7109375" style="38" customWidth="1"/>
    <col min="13826" max="13828" width="9.140625" style="38"/>
    <col min="13829" max="13829" width="10.7109375" style="38" customWidth="1"/>
    <col min="13830" max="13830" width="9.5703125" style="38" customWidth="1"/>
    <col min="13831" max="14079" width="9.140625" style="38"/>
    <col min="14080" max="14080" width="21.7109375" style="38" customWidth="1"/>
    <col min="14081" max="14081" width="9.7109375" style="38" customWidth="1"/>
    <col min="14082" max="14084" width="9.140625" style="38"/>
    <col min="14085" max="14085" width="10.7109375" style="38" customWidth="1"/>
    <col min="14086" max="14086" width="9.5703125" style="38" customWidth="1"/>
    <col min="14087" max="14335" width="9.140625" style="38"/>
    <col min="14336" max="14336" width="21.7109375" style="38" customWidth="1"/>
    <col min="14337" max="14337" width="9.7109375" style="38" customWidth="1"/>
    <col min="14338" max="14340" width="9.140625" style="38"/>
    <col min="14341" max="14341" width="10.7109375" style="38" customWidth="1"/>
    <col min="14342" max="14342" width="9.5703125" style="38" customWidth="1"/>
    <col min="14343" max="14591" width="9.140625" style="38"/>
    <col min="14592" max="14592" width="21.7109375" style="38" customWidth="1"/>
    <col min="14593" max="14593" width="9.7109375" style="38" customWidth="1"/>
    <col min="14594" max="14596" width="9.140625" style="38"/>
    <col min="14597" max="14597" width="10.7109375" style="38" customWidth="1"/>
    <col min="14598" max="14598" width="9.5703125" style="38" customWidth="1"/>
    <col min="14599" max="14847" width="9.140625" style="38"/>
    <col min="14848" max="14848" width="21.7109375" style="38" customWidth="1"/>
    <col min="14849" max="14849" width="9.7109375" style="38" customWidth="1"/>
    <col min="14850" max="14852" width="9.140625" style="38"/>
    <col min="14853" max="14853" width="10.7109375" style="38" customWidth="1"/>
    <col min="14854" max="14854" width="9.5703125" style="38" customWidth="1"/>
    <col min="14855" max="15103" width="9.140625" style="38"/>
    <col min="15104" max="15104" width="21.7109375" style="38" customWidth="1"/>
    <col min="15105" max="15105" width="9.7109375" style="38" customWidth="1"/>
    <col min="15106" max="15108" width="9.140625" style="38"/>
    <col min="15109" max="15109" width="10.7109375" style="38" customWidth="1"/>
    <col min="15110" max="15110" width="9.5703125" style="38" customWidth="1"/>
    <col min="15111" max="15359" width="9.140625" style="38"/>
    <col min="15360" max="15360" width="21.7109375" style="38" customWidth="1"/>
    <col min="15361" max="15361" width="9.7109375" style="38" customWidth="1"/>
    <col min="15362" max="15364" width="9.140625" style="38"/>
    <col min="15365" max="15365" width="10.7109375" style="38" customWidth="1"/>
    <col min="15366" max="15366" width="9.5703125" style="38" customWidth="1"/>
    <col min="15367" max="15615" width="9.140625" style="38"/>
    <col min="15616" max="15616" width="21.7109375" style="38" customWidth="1"/>
    <col min="15617" max="15617" width="9.7109375" style="38" customWidth="1"/>
    <col min="15618" max="15620" width="9.140625" style="38"/>
    <col min="15621" max="15621" width="10.7109375" style="38" customWidth="1"/>
    <col min="15622" max="15622" width="9.5703125" style="38" customWidth="1"/>
    <col min="15623" max="15871" width="9.140625" style="38"/>
    <col min="15872" max="15872" width="21.7109375" style="38" customWidth="1"/>
    <col min="15873" max="15873" width="9.7109375" style="38" customWidth="1"/>
    <col min="15874" max="15876" width="9.140625" style="38"/>
    <col min="15877" max="15877" width="10.7109375" style="38" customWidth="1"/>
    <col min="15878" max="15878" width="9.5703125" style="38" customWidth="1"/>
    <col min="15879" max="16127" width="9.140625" style="38"/>
    <col min="16128" max="16128" width="21.7109375" style="38" customWidth="1"/>
    <col min="16129" max="16129" width="9.7109375" style="38" customWidth="1"/>
    <col min="16130" max="16132" width="9.140625" style="38"/>
    <col min="16133" max="16133" width="10.7109375" style="38" customWidth="1"/>
    <col min="16134" max="16134" width="9.5703125" style="38" customWidth="1"/>
    <col min="16135" max="16384" width="9.140625" style="38"/>
  </cols>
  <sheetData>
    <row r="1" spans="1:9" ht="15.75" x14ac:dyDescent="0.25">
      <c r="A1" s="52" t="s">
        <v>69</v>
      </c>
      <c r="F1" s="37"/>
      <c r="G1" s="37"/>
    </row>
    <row r="2" spans="1:9" x14ac:dyDescent="0.2">
      <c r="F2" s="37"/>
      <c r="G2" s="37"/>
    </row>
    <row r="3" spans="1:9" ht="48" x14ac:dyDescent="0.2">
      <c r="A3" s="54">
        <v>2008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</row>
    <row r="4" spans="1:9" x14ac:dyDescent="0.2">
      <c r="A4" s="59" t="s">
        <v>50</v>
      </c>
      <c r="B4" s="130">
        <v>370.096</v>
      </c>
      <c r="C4" s="131" t="s">
        <v>1</v>
      </c>
      <c r="D4" s="132" t="s">
        <v>1</v>
      </c>
      <c r="E4" s="133">
        <v>0.10962465073611631</v>
      </c>
      <c r="F4" s="130">
        <v>100.16239999999998</v>
      </c>
      <c r="G4" s="134">
        <v>3041.7159999999994</v>
      </c>
      <c r="H4" s="135" t="s">
        <v>1</v>
      </c>
      <c r="I4" s="133" t="s">
        <v>1</v>
      </c>
    </row>
    <row r="5" spans="1:9" ht="13.5" x14ac:dyDescent="0.2">
      <c r="A5" s="61" t="s">
        <v>92</v>
      </c>
      <c r="B5" s="137">
        <v>11.087</v>
      </c>
      <c r="C5" s="138">
        <v>0.78713808965455034</v>
      </c>
      <c r="D5" s="139">
        <v>0.21286191034544963</v>
      </c>
      <c r="E5" s="140">
        <v>0.12482548975455979</v>
      </c>
      <c r="F5" s="137">
        <v>2.0920000000000001</v>
      </c>
      <c r="G5" s="141">
        <v>76.995999999999995</v>
      </c>
      <c r="H5" s="142">
        <v>0.33513429269052936</v>
      </c>
      <c r="I5" s="140">
        <v>0.66486570730947059</v>
      </c>
    </row>
    <row r="6" spans="1:9" x14ac:dyDescent="0.2">
      <c r="A6" s="63" t="s">
        <v>4</v>
      </c>
      <c r="B6" s="117">
        <v>4.4909999999999997</v>
      </c>
      <c r="C6" s="118">
        <v>0.81295925183700735</v>
      </c>
      <c r="D6" s="119">
        <v>0.18704074816299265</v>
      </c>
      <c r="E6" s="120">
        <v>9.9718009636521082E-2</v>
      </c>
      <c r="F6" s="117">
        <v>1.3720000000000001</v>
      </c>
      <c r="G6" s="121">
        <v>58.908000000000001</v>
      </c>
      <c r="H6" s="122">
        <v>0.83915597202417325</v>
      </c>
      <c r="I6" s="120">
        <v>0.16084402797582673</v>
      </c>
    </row>
    <row r="7" spans="1:9" x14ac:dyDescent="0.2">
      <c r="A7" s="63" t="s">
        <v>6</v>
      </c>
      <c r="B7" s="117">
        <v>11.875999999999999</v>
      </c>
      <c r="C7" s="118">
        <v>0.6749747389693499</v>
      </c>
      <c r="D7" s="119">
        <v>0.32502526103065005</v>
      </c>
      <c r="E7" s="120">
        <v>0.14219689168801936</v>
      </c>
      <c r="F7" s="117">
        <v>4.8220000000000001</v>
      </c>
      <c r="G7" s="121">
        <v>127.617</v>
      </c>
      <c r="H7" s="122">
        <v>0.58736688685676675</v>
      </c>
      <c r="I7" s="120">
        <v>0.41263311314323325</v>
      </c>
    </row>
    <row r="8" spans="1:9" x14ac:dyDescent="0.2">
      <c r="A8" s="63" t="s">
        <v>8</v>
      </c>
      <c r="B8" s="117">
        <v>16.777000000000001</v>
      </c>
      <c r="C8" s="118" t="s">
        <v>1</v>
      </c>
      <c r="D8" s="119" t="s">
        <v>1</v>
      </c>
      <c r="E8" s="120">
        <v>0.46105859074420136</v>
      </c>
      <c r="F8" s="117">
        <v>5.3650000000000002</v>
      </c>
      <c r="G8" s="121">
        <v>110.318</v>
      </c>
      <c r="H8" s="122" t="s">
        <v>1</v>
      </c>
      <c r="I8" s="120" t="s">
        <v>1</v>
      </c>
    </row>
    <row r="9" spans="1:9" x14ac:dyDescent="0.2">
      <c r="A9" s="63" t="s">
        <v>7</v>
      </c>
      <c r="B9" s="117">
        <v>79.484999999999999</v>
      </c>
      <c r="C9" s="118">
        <v>0.67673145876580487</v>
      </c>
      <c r="D9" s="119">
        <v>0.32326854123419513</v>
      </c>
      <c r="E9" s="120">
        <v>0.12473831397301377</v>
      </c>
      <c r="F9" s="117">
        <v>21.992999999999999</v>
      </c>
      <c r="G9" s="121">
        <v>641.75</v>
      </c>
      <c r="H9" s="122">
        <v>0.24010284378652122</v>
      </c>
      <c r="I9" s="120">
        <v>0.75989715621347875</v>
      </c>
    </row>
    <row r="10" spans="1:9" ht="13.5" x14ac:dyDescent="0.2">
      <c r="A10" s="63" t="s">
        <v>93</v>
      </c>
      <c r="B10" s="117">
        <v>0.91500000000000004</v>
      </c>
      <c r="C10" s="118">
        <v>0</v>
      </c>
      <c r="D10" s="119">
        <v>0.10382513661202186</v>
      </c>
      <c r="E10" s="120">
        <v>8.6475758434930536E-2</v>
      </c>
      <c r="F10" s="117">
        <v>1.607</v>
      </c>
      <c r="G10" s="121">
        <v>9.1259999999999994</v>
      </c>
      <c r="H10" s="122">
        <v>0.77394258163488938</v>
      </c>
      <c r="I10" s="120">
        <v>0.22605741836511067</v>
      </c>
    </row>
    <row r="11" spans="1:9" ht="13.5" x14ac:dyDescent="0.2">
      <c r="A11" s="63" t="s">
        <v>94</v>
      </c>
      <c r="B11" s="117">
        <v>1.835</v>
      </c>
      <c r="C11" s="118">
        <v>0</v>
      </c>
      <c r="D11" s="119">
        <v>1</v>
      </c>
      <c r="E11" s="120">
        <v>6.1815731851103249E-2</v>
      </c>
      <c r="F11" s="117">
        <v>0.27700000000000002</v>
      </c>
      <c r="G11" s="121">
        <v>13.542</v>
      </c>
      <c r="H11" s="122">
        <v>0</v>
      </c>
      <c r="I11" s="120">
        <v>1</v>
      </c>
    </row>
    <row r="12" spans="1:9" x14ac:dyDescent="0.2">
      <c r="A12" s="63" t="s">
        <v>10</v>
      </c>
      <c r="B12" s="117">
        <v>1.1990000000000001</v>
      </c>
      <c r="C12" s="118">
        <v>1</v>
      </c>
      <c r="D12" s="119">
        <v>0</v>
      </c>
      <c r="E12" s="120">
        <v>1.8959819098973735E-2</v>
      </c>
      <c r="F12" s="117">
        <v>0.40300000000000002</v>
      </c>
      <c r="G12" s="121">
        <v>8.9920000000000009</v>
      </c>
      <c r="H12" s="122">
        <v>1</v>
      </c>
      <c r="I12" s="120">
        <v>0</v>
      </c>
    </row>
    <row r="13" spans="1:9" x14ac:dyDescent="0.2">
      <c r="A13" s="63" t="s">
        <v>11</v>
      </c>
      <c r="B13" s="117">
        <v>21.984000000000002</v>
      </c>
      <c r="C13" s="118">
        <v>0</v>
      </c>
      <c r="D13" s="119">
        <v>1</v>
      </c>
      <c r="E13" s="120">
        <v>7.0069419211719039E-2</v>
      </c>
      <c r="F13" s="117">
        <v>3.585</v>
      </c>
      <c r="G13" s="121">
        <v>180.62100000000001</v>
      </c>
      <c r="H13" s="122">
        <v>0</v>
      </c>
      <c r="I13" s="120">
        <v>1</v>
      </c>
    </row>
    <row r="14" spans="1:9" x14ac:dyDescent="0.2">
      <c r="A14" s="63" t="s">
        <v>13</v>
      </c>
      <c r="B14" s="117">
        <v>18.039000000000001</v>
      </c>
      <c r="C14" s="118">
        <v>0.49431786684406009</v>
      </c>
      <c r="D14" s="119">
        <v>0.50568213315593991</v>
      </c>
      <c r="E14" s="120">
        <v>3.139876730378599E-2</v>
      </c>
      <c r="F14" s="117">
        <v>5.1120000000000001</v>
      </c>
      <c r="G14" s="121">
        <v>181.874</v>
      </c>
      <c r="H14" s="122">
        <v>0.3633504514114167</v>
      </c>
      <c r="I14" s="120">
        <v>0.63664954858858336</v>
      </c>
    </row>
    <row r="15" spans="1:9" x14ac:dyDescent="0.2">
      <c r="A15" s="63" t="s">
        <v>17</v>
      </c>
      <c r="B15" s="117">
        <v>30.452999999999999</v>
      </c>
      <c r="C15" s="118">
        <v>0.58683873509999018</v>
      </c>
      <c r="D15" s="119">
        <v>0.41316126490000987</v>
      </c>
      <c r="E15" s="120">
        <v>9.5425360904211151E-2</v>
      </c>
      <c r="F15" s="117">
        <v>6.7290000000000001</v>
      </c>
      <c r="G15" s="121">
        <v>198.37299999999999</v>
      </c>
      <c r="H15" s="122">
        <v>0.40738911041321146</v>
      </c>
      <c r="I15" s="120">
        <v>0.59261088958678854</v>
      </c>
    </row>
    <row r="16" spans="1:9" x14ac:dyDescent="0.2">
      <c r="A16" s="63" t="s">
        <v>5</v>
      </c>
      <c r="B16" s="117">
        <v>1.4E-2</v>
      </c>
      <c r="C16" s="118">
        <v>0</v>
      </c>
      <c r="D16" s="119">
        <v>1</v>
      </c>
      <c r="E16" s="120">
        <v>2.756448119708604E-3</v>
      </c>
      <c r="F16" s="117">
        <v>5.0000000000000001E-3</v>
      </c>
      <c r="G16" s="121">
        <v>6.7000000000000004E-2</v>
      </c>
      <c r="H16" s="122">
        <v>0</v>
      </c>
      <c r="I16" s="120">
        <v>1</v>
      </c>
    </row>
    <row r="17" spans="1:9" x14ac:dyDescent="0.2">
      <c r="A17" s="63" t="s">
        <v>20</v>
      </c>
      <c r="B17" s="117">
        <v>1.772</v>
      </c>
      <c r="C17" s="118">
        <v>0.97629796839729122</v>
      </c>
      <c r="D17" s="119">
        <v>2.3702031602708805E-2</v>
      </c>
      <c r="E17" s="120">
        <v>0.3359878649981039</v>
      </c>
      <c r="F17" s="117">
        <v>0.53200000000000003</v>
      </c>
      <c r="G17" s="121">
        <v>8.1549999999999994</v>
      </c>
      <c r="H17" s="122">
        <v>0.96811771919068057</v>
      </c>
      <c r="I17" s="120">
        <v>3.1882280809319437E-2</v>
      </c>
    </row>
    <row r="18" spans="1:9" x14ac:dyDescent="0.2">
      <c r="A18" s="63" t="s">
        <v>18</v>
      </c>
      <c r="B18" s="117">
        <v>1.772</v>
      </c>
      <c r="C18" s="118">
        <v>0.93002257336343119</v>
      </c>
      <c r="D18" s="119">
        <v>6.9977426636568849E-2</v>
      </c>
      <c r="E18" s="120">
        <v>0.1273720529039678</v>
      </c>
      <c r="F18" s="117">
        <v>1.0820000000000001</v>
      </c>
      <c r="G18" s="121">
        <v>15.183999999999999</v>
      </c>
      <c r="H18" s="122">
        <v>0.88342992623814542</v>
      </c>
      <c r="I18" s="120">
        <v>0.11657007376185459</v>
      </c>
    </row>
    <row r="19" spans="1:9" ht="13.5" x14ac:dyDescent="0.2">
      <c r="A19" s="63" t="s">
        <v>95</v>
      </c>
      <c r="B19" s="117">
        <v>0.42199999999999999</v>
      </c>
      <c r="C19" s="118">
        <v>0</v>
      </c>
      <c r="D19" s="119">
        <v>1</v>
      </c>
      <c r="E19" s="120">
        <v>0.1186393027832443</v>
      </c>
      <c r="F19" s="117" t="s">
        <v>1</v>
      </c>
      <c r="G19" s="121">
        <v>2.3660000000000001</v>
      </c>
      <c r="H19" s="122">
        <v>0</v>
      </c>
      <c r="I19" s="120">
        <v>1</v>
      </c>
    </row>
    <row r="20" spans="1:9" x14ac:dyDescent="0.2">
      <c r="A20" s="63" t="s">
        <v>15</v>
      </c>
      <c r="B20" s="117">
        <v>8.43</v>
      </c>
      <c r="C20" s="118">
        <v>0.96144721233689201</v>
      </c>
      <c r="D20" s="119">
        <v>3.8552787663107949E-2</v>
      </c>
      <c r="E20" s="120">
        <v>0.21061836352279825</v>
      </c>
      <c r="F20" s="117">
        <v>0.19040000000000001</v>
      </c>
      <c r="G20" s="121">
        <v>45.868000000000002</v>
      </c>
      <c r="H20" s="122">
        <v>0.88996686142844683</v>
      </c>
      <c r="I20" s="120">
        <v>0.11003313857155315</v>
      </c>
    </row>
    <row r="21" spans="1:9" x14ac:dyDescent="0.2">
      <c r="A21" s="63" t="s">
        <v>21</v>
      </c>
      <c r="B21" s="117">
        <v>0</v>
      </c>
      <c r="C21" s="118">
        <v>0</v>
      </c>
      <c r="D21" s="119">
        <v>0</v>
      </c>
      <c r="E21" s="120">
        <v>0</v>
      </c>
      <c r="F21" s="117">
        <v>0</v>
      </c>
      <c r="G21" s="121">
        <v>0</v>
      </c>
      <c r="H21" s="122">
        <v>0</v>
      </c>
      <c r="I21" s="120">
        <v>0</v>
      </c>
    </row>
    <row r="22" spans="1:9" x14ac:dyDescent="0.2">
      <c r="A22" s="63" t="s">
        <v>22</v>
      </c>
      <c r="B22" s="117">
        <v>36.207000000000001</v>
      </c>
      <c r="C22" s="118" t="s">
        <v>1</v>
      </c>
      <c r="D22" s="119" t="s">
        <v>1</v>
      </c>
      <c r="E22" s="120">
        <v>0.33635561335872544</v>
      </c>
      <c r="F22" s="117">
        <v>8.9710000000000001</v>
      </c>
      <c r="G22" s="121">
        <v>246.256</v>
      </c>
      <c r="H22" s="122" t="s">
        <v>1</v>
      </c>
      <c r="I22" s="120" t="s">
        <v>1</v>
      </c>
    </row>
    <row r="23" spans="1:9" x14ac:dyDescent="0.2">
      <c r="A23" s="63" t="s">
        <v>2</v>
      </c>
      <c r="B23" s="117">
        <v>10.295</v>
      </c>
      <c r="C23" s="118" t="s">
        <v>1</v>
      </c>
      <c r="D23" s="119" t="s">
        <v>1</v>
      </c>
      <c r="E23" s="120">
        <v>0.15342543330203723</v>
      </c>
      <c r="F23" s="117">
        <v>3.6539999999999999</v>
      </c>
      <c r="G23" s="121">
        <v>96.352000000000004</v>
      </c>
      <c r="H23" s="122" t="s">
        <v>1</v>
      </c>
      <c r="I23" s="120" t="s">
        <v>1</v>
      </c>
    </row>
    <row r="24" spans="1:9" x14ac:dyDescent="0.2">
      <c r="A24" s="63" t="s">
        <v>24</v>
      </c>
      <c r="B24" s="117">
        <v>26.405999999999999</v>
      </c>
      <c r="C24" s="118">
        <v>0.76425812315382868</v>
      </c>
      <c r="D24" s="119">
        <v>0.23574187684617132</v>
      </c>
      <c r="E24" s="120">
        <v>0.16907631036381565</v>
      </c>
      <c r="F24" s="117">
        <v>8.7789999999999999</v>
      </c>
      <c r="G24" s="121">
        <v>259.71300000000002</v>
      </c>
      <c r="H24" s="122">
        <v>0.58410245155229046</v>
      </c>
      <c r="I24" s="120">
        <v>0.4158975484477096</v>
      </c>
    </row>
    <row r="25" spans="1:9" x14ac:dyDescent="0.2">
      <c r="A25" s="63" t="s">
        <v>25</v>
      </c>
      <c r="B25" s="117">
        <v>5.4480000000000004</v>
      </c>
      <c r="C25" s="118">
        <v>0.67529368575624082</v>
      </c>
      <c r="D25" s="119">
        <v>0.32470631424375918</v>
      </c>
      <c r="E25" s="120">
        <v>0.11851465117796776</v>
      </c>
      <c r="F25" s="117">
        <v>1.093</v>
      </c>
      <c r="G25" s="121">
        <v>61.655999999999999</v>
      </c>
      <c r="H25" s="122">
        <v>0.48566238484494617</v>
      </c>
      <c r="I25" s="120">
        <v>0.51433761515505383</v>
      </c>
    </row>
    <row r="26" spans="1:9" ht="13.5" x14ac:dyDescent="0.2">
      <c r="A26" s="63" t="s">
        <v>96</v>
      </c>
      <c r="B26" s="117">
        <v>6.2060000000000004</v>
      </c>
      <c r="C26" s="118">
        <v>0.84305510796003869</v>
      </c>
      <c r="D26" s="119">
        <v>0.15694489203996131</v>
      </c>
      <c r="E26" s="120">
        <v>9.5543068278038643E-2</v>
      </c>
      <c r="F26" s="117">
        <v>4.6929999999999996</v>
      </c>
      <c r="G26" s="121">
        <v>71.478999999999999</v>
      </c>
      <c r="H26" s="122">
        <v>0.82000307782705406</v>
      </c>
      <c r="I26" s="120">
        <v>0.17999692217294591</v>
      </c>
    </row>
    <row r="27" spans="1:9" x14ac:dyDescent="0.2">
      <c r="A27" s="63" t="s">
        <v>28</v>
      </c>
      <c r="B27" s="117">
        <v>1.1060000000000001</v>
      </c>
      <c r="C27" s="118">
        <v>0.77938517179023503</v>
      </c>
      <c r="D27" s="119">
        <v>0.22061482820976491</v>
      </c>
      <c r="E27" s="120">
        <v>6.7447249664593242E-2</v>
      </c>
      <c r="F27" s="117">
        <v>0.33500000000000002</v>
      </c>
      <c r="G27" s="121">
        <v>11.97</v>
      </c>
      <c r="H27" s="122">
        <v>0.59573934837092735</v>
      </c>
      <c r="I27" s="120">
        <v>0.40426065162907271</v>
      </c>
    </row>
    <row r="28" spans="1:9" x14ac:dyDescent="0.2">
      <c r="A28" s="63" t="s">
        <v>55</v>
      </c>
      <c r="B28" s="117">
        <v>6.9560000000000004</v>
      </c>
      <c r="C28" s="118">
        <v>0.64217941345600915</v>
      </c>
      <c r="D28" s="119">
        <v>0.35782058654399079</v>
      </c>
      <c r="E28" s="120">
        <v>0.24017678337131412</v>
      </c>
      <c r="F28" s="117">
        <v>2.1509999999999998</v>
      </c>
      <c r="G28" s="121">
        <v>26.145</v>
      </c>
      <c r="H28" s="122">
        <v>0.86842608529355514</v>
      </c>
      <c r="I28" s="120">
        <v>0.13157391470644483</v>
      </c>
    </row>
    <row r="29" spans="1:9" x14ac:dyDescent="0.2">
      <c r="A29" s="63" t="s">
        <v>12</v>
      </c>
      <c r="B29" s="117">
        <v>27.571000000000002</v>
      </c>
      <c r="C29" s="118">
        <v>0.64644010010518294</v>
      </c>
      <c r="D29" s="119">
        <v>0.35355989989481701</v>
      </c>
      <c r="E29" s="120">
        <v>0.35604886616044218</v>
      </c>
      <c r="F29" s="117">
        <v>5.681</v>
      </c>
      <c r="G29" s="121">
        <v>261.92599999999999</v>
      </c>
      <c r="H29" s="122">
        <v>0.46559715339447022</v>
      </c>
      <c r="I29" s="120">
        <v>0.53440284660552984</v>
      </c>
    </row>
    <row r="30" spans="1:9" x14ac:dyDescent="0.2">
      <c r="A30" s="64" t="s">
        <v>27</v>
      </c>
      <c r="B30" s="144">
        <v>14.349</v>
      </c>
      <c r="C30" s="145">
        <v>0.52115129974214236</v>
      </c>
      <c r="D30" s="146">
        <v>0.4788487002578577</v>
      </c>
      <c r="E30" s="147">
        <v>9.5656173753049883E-2</v>
      </c>
      <c r="F30" s="144">
        <v>4.1120000000000001</v>
      </c>
      <c r="G30" s="148">
        <v>164.87</v>
      </c>
      <c r="H30" s="149">
        <v>0.44697034026809002</v>
      </c>
      <c r="I30" s="147">
        <v>0.55302965973190998</v>
      </c>
    </row>
    <row r="31" spans="1:9" x14ac:dyDescent="0.2">
      <c r="A31" s="32" t="s">
        <v>29</v>
      </c>
      <c r="B31" s="127">
        <v>25.001000000000001</v>
      </c>
      <c r="C31" s="124">
        <v>9.2796288148474064E-3</v>
      </c>
      <c r="D31" s="125">
        <v>0.99072037118515255</v>
      </c>
      <c r="E31" s="126">
        <v>6.4209509818525495E-2</v>
      </c>
      <c r="F31" s="127">
        <v>5.5270000000000001</v>
      </c>
      <c r="G31" s="128">
        <v>161.59200000000001</v>
      </c>
      <c r="H31" s="129">
        <v>1.4177682063468488E-2</v>
      </c>
      <c r="I31" s="126">
        <v>0.98582231793653152</v>
      </c>
    </row>
    <row r="32" spans="1:9" x14ac:dyDescent="0.2">
      <c r="A32" s="25" t="s">
        <v>23</v>
      </c>
      <c r="B32" s="159">
        <v>0.17699999999999999</v>
      </c>
      <c r="C32" s="160">
        <v>1</v>
      </c>
      <c r="D32" s="161">
        <v>0</v>
      </c>
      <c r="E32" s="44">
        <v>1.2406339148658785E-3</v>
      </c>
      <c r="F32" s="159" t="s">
        <v>1</v>
      </c>
      <c r="G32" s="162">
        <v>3.5070000000000001</v>
      </c>
      <c r="H32" s="163">
        <v>1</v>
      </c>
      <c r="I32" s="44">
        <v>0</v>
      </c>
    </row>
    <row r="33" spans="1:10" ht="13.5" x14ac:dyDescent="0.2">
      <c r="A33" s="106" t="s">
        <v>97</v>
      </c>
      <c r="B33" s="165">
        <v>8.3390000000000004</v>
      </c>
      <c r="C33" s="166">
        <v>0.32306031898309151</v>
      </c>
      <c r="D33" s="167">
        <v>0.67693968101690849</v>
      </c>
      <c r="E33" s="168">
        <v>4.2027437026882643E-2</v>
      </c>
      <c r="F33" s="165">
        <v>4.6589999999999998</v>
      </c>
      <c r="G33" s="169">
        <v>95.247</v>
      </c>
      <c r="H33" s="170">
        <v>0.23401261982004681</v>
      </c>
      <c r="I33" s="168">
        <v>0.76598738017995316</v>
      </c>
    </row>
    <row r="34" spans="1:10" x14ac:dyDescent="0.2">
      <c r="B34" s="38"/>
      <c r="C34" s="38"/>
      <c r="D34" s="38"/>
      <c r="E34" s="38"/>
      <c r="H34" s="38"/>
      <c r="I34" s="38"/>
    </row>
    <row r="35" spans="1:10" x14ac:dyDescent="0.2">
      <c r="A35" s="25"/>
      <c r="B35" s="26"/>
      <c r="C35" s="27"/>
      <c r="D35" s="27"/>
      <c r="E35" s="27"/>
      <c r="F35" s="28"/>
      <c r="G35" s="28"/>
      <c r="H35" s="27"/>
      <c r="I35" s="27"/>
    </row>
    <row r="36" spans="1:10" x14ac:dyDescent="0.2">
      <c r="F36" s="36"/>
      <c r="G36" s="36"/>
    </row>
    <row r="37" spans="1:10" ht="36" x14ac:dyDescent="0.2">
      <c r="A37" s="54">
        <v>2008</v>
      </c>
      <c r="B37" s="72" t="s">
        <v>57</v>
      </c>
      <c r="C37" s="66" t="s">
        <v>58</v>
      </c>
      <c r="D37" s="12" t="s">
        <v>59</v>
      </c>
      <c r="E37" s="12" t="s">
        <v>60</v>
      </c>
      <c r="F37" s="102" t="s">
        <v>61</v>
      </c>
      <c r="G37" s="102" t="s">
        <v>62</v>
      </c>
      <c r="H37" s="44"/>
      <c r="I37" s="44"/>
      <c r="J37" s="46"/>
    </row>
    <row r="38" spans="1:10" x14ac:dyDescent="0.2">
      <c r="A38" s="59" t="s">
        <v>50</v>
      </c>
      <c r="B38" s="77">
        <v>8246.1809999999987</v>
      </c>
      <c r="C38" s="67">
        <v>0.34754767085515109</v>
      </c>
      <c r="D38" s="60">
        <v>5.501225355106807E-2</v>
      </c>
      <c r="E38" s="60">
        <v>0.39430640680819407</v>
      </c>
      <c r="F38" s="60">
        <v>0.11049830218376241</v>
      </c>
      <c r="G38" s="60">
        <v>9.2635366601824545E-2</v>
      </c>
      <c r="H38" s="44"/>
      <c r="I38" s="44"/>
      <c r="J38" s="46"/>
    </row>
    <row r="39" spans="1:10" x14ac:dyDescent="0.2">
      <c r="A39" s="61" t="s">
        <v>67</v>
      </c>
      <c r="B39" s="81">
        <v>147.035</v>
      </c>
      <c r="C39" s="109">
        <v>1.515285476247152E-2</v>
      </c>
      <c r="D39" s="105">
        <v>2.4926038018158941E-2</v>
      </c>
      <c r="E39" s="105">
        <v>0.64960043527051381</v>
      </c>
      <c r="F39" s="105">
        <v>8.8781582616383858E-2</v>
      </c>
      <c r="G39" s="105">
        <v>0.22153908933247185</v>
      </c>
      <c r="H39" s="44"/>
      <c r="I39" s="44"/>
      <c r="J39" s="46"/>
    </row>
    <row r="40" spans="1:10" x14ac:dyDescent="0.2">
      <c r="A40" s="63" t="s">
        <v>4</v>
      </c>
      <c r="B40" s="82">
        <v>109.077</v>
      </c>
      <c r="C40" s="69">
        <v>0.59096784840067107</v>
      </c>
      <c r="D40" s="33">
        <v>2.636669508695692E-2</v>
      </c>
      <c r="E40" s="33">
        <v>0.35030299696544642</v>
      </c>
      <c r="F40" s="33">
        <v>0</v>
      </c>
      <c r="G40" s="33">
        <v>3.2362459546925564E-2</v>
      </c>
      <c r="H40" s="44"/>
      <c r="I40" s="44"/>
      <c r="J40" s="46"/>
    </row>
    <row r="41" spans="1:10" x14ac:dyDescent="0.2">
      <c r="A41" s="63" t="s">
        <v>63</v>
      </c>
      <c r="B41" s="82">
        <v>398.24200000000002</v>
      </c>
      <c r="C41" s="69">
        <v>0.83100225491033086</v>
      </c>
      <c r="D41" s="33">
        <v>1.5668864660181497E-2</v>
      </c>
      <c r="E41" s="33">
        <v>5.0318650468810421E-2</v>
      </c>
      <c r="F41" s="33">
        <v>4.2125139990257174E-2</v>
      </c>
      <c r="G41" s="33">
        <v>6.0885089970419991E-2</v>
      </c>
    </row>
    <row r="42" spans="1:10" x14ac:dyDescent="0.2">
      <c r="A42" s="63" t="s">
        <v>8</v>
      </c>
      <c r="B42" s="82">
        <v>300.30700000000002</v>
      </c>
      <c r="C42" s="69">
        <v>0.52231882706696808</v>
      </c>
      <c r="D42" s="33">
        <v>3.6209612163552625E-2</v>
      </c>
      <c r="E42" s="33">
        <v>0.23821289547030206</v>
      </c>
      <c r="F42" s="33">
        <v>0.14908077400793188</v>
      </c>
      <c r="G42" s="33">
        <v>5.4177891291245291E-2</v>
      </c>
    </row>
    <row r="43" spans="1:10" x14ac:dyDescent="0.2">
      <c r="A43" s="63" t="s">
        <v>7</v>
      </c>
      <c r="B43" s="82">
        <v>1200.835</v>
      </c>
      <c r="C43" s="69">
        <v>0.2706949747467387</v>
      </c>
      <c r="D43" s="33">
        <v>4.6564265698451492E-2</v>
      </c>
      <c r="E43" s="33">
        <v>0.5187240545120686</v>
      </c>
      <c r="F43" s="33">
        <v>6.6818505456619756E-2</v>
      </c>
      <c r="G43" s="33">
        <v>9.7198199586121317E-2</v>
      </c>
    </row>
    <row r="44" spans="1:10" x14ac:dyDescent="0.2">
      <c r="A44" s="63" t="s">
        <v>9</v>
      </c>
      <c r="B44" s="82">
        <v>18.033999999999999</v>
      </c>
      <c r="C44" s="69">
        <v>0.50476877010092047</v>
      </c>
      <c r="D44" s="33">
        <v>4.602417655539536E-3</v>
      </c>
      <c r="E44" s="33">
        <v>0.41504935122546305</v>
      </c>
      <c r="F44" s="33">
        <v>7.1032494177664413E-2</v>
      </c>
      <c r="G44" s="33">
        <v>4.5469668404125542E-3</v>
      </c>
    </row>
    <row r="45" spans="1:10" x14ac:dyDescent="0.2">
      <c r="A45" s="63" t="s">
        <v>16</v>
      </c>
      <c r="B45" s="82">
        <v>21.498000000000001</v>
      </c>
      <c r="C45" s="69">
        <v>3.8050051167550468E-2</v>
      </c>
      <c r="D45" s="33">
        <v>7.4425527956088929E-4</v>
      </c>
      <c r="E45" s="33">
        <v>0.93664526932737924</v>
      </c>
      <c r="F45" s="33">
        <v>7.16345706577356E-3</v>
      </c>
      <c r="G45" s="33">
        <v>1.7396967159735786E-2</v>
      </c>
    </row>
    <row r="46" spans="1:10" x14ac:dyDescent="0.2">
      <c r="A46" s="63" t="s">
        <v>10</v>
      </c>
      <c r="B46" s="82">
        <v>103.967</v>
      </c>
      <c r="C46" s="69">
        <v>0.83385112583800625</v>
      </c>
      <c r="D46" s="33">
        <v>3.1019458097280867E-2</v>
      </c>
      <c r="E46" s="33">
        <v>3.281810574509219E-2</v>
      </c>
      <c r="F46" s="33">
        <v>1.3581232506468399E-2</v>
      </c>
      <c r="G46" s="33">
        <v>8.8730077813152244E-2</v>
      </c>
    </row>
    <row r="47" spans="1:10" x14ac:dyDescent="0.2">
      <c r="A47" s="63" t="s">
        <v>11</v>
      </c>
      <c r="B47" s="82">
        <v>394.35700000000003</v>
      </c>
      <c r="C47" s="69">
        <v>1.85314321794719E-2</v>
      </c>
      <c r="D47" s="33">
        <v>7.8165215781639472E-2</v>
      </c>
      <c r="E47" s="33">
        <v>0.76292800685673123</v>
      </c>
      <c r="F47" s="33">
        <v>4.9980094178624944E-2</v>
      </c>
      <c r="G47" s="33">
        <v>9.0395251003532323E-2</v>
      </c>
    </row>
    <row r="48" spans="1:10" x14ac:dyDescent="0.2">
      <c r="A48" s="63" t="s">
        <v>13</v>
      </c>
      <c r="B48" s="82">
        <v>371.27</v>
      </c>
      <c r="C48" s="69">
        <v>4.4409728768820537E-2</v>
      </c>
      <c r="D48" s="33">
        <v>2.8283998168448839E-2</v>
      </c>
      <c r="E48" s="33">
        <v>0.57182643359280316</v>
      </c>
      <c r="F48" s="33">
        <v>0.2350176421472244</v>
      </c>
      <c r="G48" s="33">
        <v>0.12046219732270316</v>
      </c>
    </row>
    <row r="49" spans="1:7" x14ac:dyDescent="0.2">
      <c r="A49" s="63" t="s">
        <v>17</v>
      </c>
      <c r="B49" s="82">
        <v>940.40200000000004</v>
      </c>
      <c r="C49" s="69">
        <v>2.8530351913330682E-3</v>
      </c>
      <c r="D49" s="33">
        <v>0.18698280097235009</v>
      </c>
      <c r="E49" s="33">
        <v>0.68975182953673009</v>
      </c>
      <c r="F49" s="33">
        <v>4.8988624013985509E-2</v>
      </c>
      <c r="G49" s="33">
        <v>7.1423710285601266E-2</v>
      </c>
    </row>
    <row r="50" spans="1:7" x14ac:dyDescent="0.2">
      <c r="A50" s="63" t="s">
        <v>5</v>
      </c>
      <c r="B50" s="82">
        <v>0.28499999999999998</v>
      </c>
      <c r="C50" s="69">
        <v>0</v>
      </c>
      <c r="D50" s="33">
        <v>1.0000000000000002</v>
      </c>
      <c r="E50" s="33">
        <v>0</v>
      </c>
      <c r="F50" s="33">
        <v>0</v>
      </c>
      <c r="G50" s="33">
        <v>0</v>
      </c>
    </row>
    <row r="51" spans="1:7" x14ac:dyDescent="0.2">
      <c r="A51" s="63" t="s">
        <v>20</v>
      </c>
      <c r="B51" s="82">
        <v>19.704000000000001</v>
      </c>
      <c r="C51" s="69">
        <v>1.5986601705237514E-2</v>
      </c>
      <c r="D51" s="33">
        <v>8.2216808769792933E-3</v>
      </c>
      <c r="E51" s="33">
        <v>0.9444782785221274</v>
      </c>
      <c r="F51" s="33">
        <v>3.1313438895655701E-2</v>
      </c>
      <c r="G51" s="33">
        <v>0</v>
      </c>
    </row>
    <row r="52" spans="1:7" x14ac:dyDescent="0.2">
      <c r="A52" s="63" t="s">
        <v>18</v>
      </c>
      <c r="B52" s="82">
        <v>35.561</v>
      </c>
      <c r="C52" s="69">
        <v>1.6872416411237029E-4</v>
      </c>
      <c r="D52" s="33">
        <v>0.16835859509012682</v>
      </c>
      <c r="E52" s="33">
        <v>0.78546722533112123</v>
      </c>
      <c r="F52" s="33">
        <v>4.2996541154635692E-2</v>
      </c>
      <c r="G52" s="33">
        <v>3.0089142600039369E-3</v>
      </c>
    </row>
    <row r="53" spans="1:7" x14ac:dyDescent="0.2">
      <c r="A53" s="63" t="s">
        <v>19</v>
      </c>
      <c r="B53" s="82">
        <v>5.2830000000000004</v>
      </c>
      <c r="C53" s="69">
        <v>0</v>
      </c>
      <c r="D53" s="33">
        <v>0</v>
      </c>
      <c r="E53" s="33">
        <v>0.80087071739541915</v>
      </c>
      <c r="F53" s="33">
        <v>9.4832481544576935E-2</v>
      </c>
      <c r="G53" s="33">
        <v>0.10429680106000377</v>
      </c>
    </row>
    <row r="54" spans="1:7" x14ac:dyDescent="0.2">
      <c r="A54" s="63" t="s">
        <v>15</v>
      </c>
      <c r="B54" s="82">
        <v>99.370999999999995</v>
      </c>
      <c r="C54" s="69">
        <v>5.8226243068903408E-2</v>
      </c>
      <c r="D54" s="33">
        <v>5.9977256946191554E-3</v>
      </c>
      <c r="E54" s="33">
        <v>0.80881746183494185</v>
      </c>
      <c r="F54" s="33">
        <v>5.3566936027613692E-2</v>
      </c>
      <c r="G54" s="33">
        <v>7.3391633373921975E-2</v>
      </c>
    </row>
    <row r="55" spans="1:7" x14ac:dyDescent="0.2">
      <c r="A55" s="63" t="s">
        <v>21</v>
      </c>
      <c r="B55" s="82">
        <v>0</v>
      </c>
      <c r="C55" s="69">
        <v>0</v>
      </c>
      <c r="D55" s="33">
        <v>0</v>
      </c>
      <c r="E55" s="33">
        <v>0</v>
      </c>
      <c r="F55" s="33">
        <v>0</v>
      </c>
      <c r="G55" s="33">
        <v>0</v>
      </c>
    </row>
    <row r="56" spans="1:7" x14ac:dyDescent="0.2">
      <c r="A56" s="63" t="s">
        <v>22</v>
      </c>
      <c r="B56" s="82">
        <v>662.84699999999998</v>
      </c>
      <c r="C56" s="69">
        <v>0.1154700858569172</v>
      </c>
      <c r="D56" s="33">
        <v>2.0104186939067386E-2</v>
      </c>
      <c r="E56" s="33">
        <v>0.70267799356412575</v>
      </c>
      <c r="F56" s="33">
        <v>1.7681305037210698E-2</v>
      </c>
      <c r="G56" s="33">
        <v>0.14406642860267904</v>
      </c>
    </row>
    <row r="57" spans="1:7" x14ac:dyDescent="0.2">
      <c r="A57" s="63" t="s">
        <v>2</v>
      </c>
      <c r="B57" s="82">
        <v>245.81899999999999</v>
      </c>
      <c r="C57" s="69">
        <v>0.10347857570000692</v>
      </c>
      <c r="D57" s="33">
        <v>7.7634356986237843E-2</v>
      </c>
      <c r="E57" s="33">
        <v>0.40445205618768282</v>
      </c>
      <c r="F57" s="33">
        <v>0.32523523405432458</v>
      </c>
      <c r="G57" s="33">
        <v>8.9199777071747921E-2</v>
      </c>
    </row>
    <row r="58" spans="1:7" x14ac:dyDescent="0.2">
      <c r="A58" s="63" t="s">
        <v>24</v>
      </c>
      <c r="B58" s="82">
        <v>1508.383</v>
      </c>
      <c r="C58" s="69">
        <v>0.91115784253733967</v>
      </c>
      <c r="D58" s="33">
        <v>2.8816288701211827E-2</v>
      </c>
      <c r="E58" s="33">
        <v>2.489553382662096E-2</v>
      </c>
      <c r="F58" s="33">
        <v>1.916555675846254E-2</v>
      </c>
      <c r="G58" s="33">
        <v>1.5964778176365022E-2</v>
      </c>
    </row>
    <row r="59" spans="1:7" x14ac:dyDescent="0.2">
      <c r="A59" s="63" t="s">
        <v>25</v>
      </c>
      <c r="B59" s="82">
        <v>103.11499999999999</v>
      </c>
      <c r="C59" s="69">
        <v>0</v>
      </c>
      <c r="D59" s="33">
        <v>0.30355428405178686</v>
      </c>
      <c r="E59" s="33">
        <v>0.25455074431460023</v>
      </c>
      <c r="F59" s="33">
        <v>0.39568443000533388</v>
      </c>
      <c r="G59" s="33">
        <v>4.621054162827911E-2</v>
      </c>
    </row>
    <row r="60" spans="1:7" x14ac:dyDescent="0.2">
      <c r="A60" s="63" t="s">
        <v>26</v>
      </c>
      <c r="B60" s="82">
        <v>216.78399999999999</v>
      </c>
      <c r="C60" s="69">
        <v>0.52146837404974544</v>
      </c>
      <c r="D60" s="33">
        <v>4.8656727433758949E-2</v>
      </c>
      <c r="E60" s="33">
        <v>0.4211288655989372</v>
      </c>
      <c r="F60" s="33">
        <v>0</v>
      </c>
      <c r="G60" s="33">
        <v>8.7460329175584918E-3</v>
      </c>
    </row>
    <row r="61" spans="1:7" x14ac:dyDescent="0.2">
      <c r="A61" s="63" t="s">
        <v>28</v>
      </c>
      <c r="B61" s="82">
        <v>64.813000000000002</v>
      </c>
      <c r="C61" s="69">
        <v>0.83321247280638133</v>
      </c>
      <c r="D61" s="33">
        <v>3.4098097603875764E-3</v>
      </c>
      <c r="E61" s="33">
        <v>0.10758644099177635</v>
      </c>
      <c r="F61" s="33">
        <v>5.3986083038896515E-2</v>
      </c>
      <c r="G61" s="33">
        <v>1.8051934025581286E-3</v>
      </c>
    </row>
    <row r="62" spans="1:7" x14ac:dyDescent="0.2">
      <c r="A62" s="63" t="s">
        <v>55</v>
      </c>
      <c r="B62" s="82">
        <v>233.59399999999999</v>
      </c>
      <c r="C62" s="69">
        <v>0.22792109386371226</v>
      </c>
      <c r="D62" s="33">
        <v>1.7440516451621188E-2</v>
      </c>
      <c r="E62" s="33">
        <v>7.4732227711328203E-2</v>
      </c>
      <c r="F62" s="33">
        <v>2.2744591042578151E-2</v>
      </c>
      <c r="G62" s="33">
        <v>0.65716157093076022</v>
      </c>
    </row>
    <row r="63" spans="1:7" x14ac:dyDescent="0.2">
      <c r="A63" s="63" t="s">
        <v>12</v>
      </c>
      <c r="B63" s="117">
        <v>488.73099999999999</v>
      </c>
      <c r="C63" s="118">
        <v>0.26467115857189333</v>
      </c>
      <c r="D63" s="120">
        <v>1.2947817920287439E-2</v>
      </c>
      <c r="E63" s="120">
        <v>0.21646263486457787</v>
      </c>
      <c r="F63" s="120">
        <v>0.45991148505005824</v>
      </c>
      <c r="G63" s="120">
        <v>4.6006903593183164E-2</v>
      </c>
    </row>
    <row r="64" spans="1:7" x14ac:dyDescent="0.2">
      <c r="A64" s="64" t="s">
        <v>27</v>
      </c>
      <c r="B64" s="90">
        <v>247.02500000000001</v>
      </c>
      <c r="C64" s="91">
        <v>7.2794251593968226E-2</v>
      </c>
      <c r="D64" s="34">
        <v>5.4885133083695983E-2</v>
      </c>
      <c r="E64" s="34">
        <v>4.2339844145329424E-2</v>
      </c>
      <c r="F64" s="34">
        <v>0.75291164861856086</v>
      </c>
      <c r="G64" s="34">
        <v>7.7069122558445502E-2</v>
      </c>
    </row>
    <row r="65" spans="1:7" x14ac:dyDescent="0.2">
      <c r="A65" s="32" t="s">
        <v>29</v>
      </c>
      <c r="B65" s="83">
        <v>309.84199999999998</v>
      </c>
      <c r="C65" s="70">
        <v>4.2666907649705335E-2</v>
      </c>
      <c r="D65" s="65">
        <v>1.4991511802789809E-2</v>
      </c>
      <c r="E65" s="65">
        <v>0.70475919985024627</v>
      </c>
      <c r="F65" s="65">
        <v>3.7270608890983145E-2</v>
      </c>
      <c r="G65" s="65">
        <v>0.20031177180627546</v>
      </c>
    </row>
    <row r="66" spans="1:7" x14ac:dyDescent="0.2">
      <c r="A66" s="25" t="s">
        <v>23</v>
      </c>
      <c r="B66" s="176">
        <v>4.766</v>
      </c>
      <c r="C66" s="177">
        <v>0.13134704154427193</v>
      </c>
      <c r="D66" s="36">
        <v>0</v>
      </c>
      <c r="E66" s="36">
        <v>0</v>
      </c>
      <c r="F66" s="36">
        <v>0.58329836340746954</v>
      </c>
      <c r="G66" s="36">
        <v>0.2853545950482585</v>
      </c>
    </row>
    <row r="67" spans="1:7" x14ac:dyDescent="0.2">
      <c r="A67" s="106" t="s">
        <v>56</v>
      </c>
      <c r="B67" s="107">
        <v>312.89100000000002</v>
      </c>
      <c r="C67" s="110">
        <v>5.7774113029777141E-2</v>
      </c>
      <c r="D67" s="108">
        <v>8.1603497703673158E-2</v>
      </c>
      <c r="E67" s="108">
        <v>0.76378355401721365</v>
      </c>
      <c r="F67" s="108">
        <v>4.9697818090005778E-3</v>
      </c>
      <c r="G67" s="108">
        <v>9.1869053440335455E-2</v>
      </c>
    </row>
    <row r="68" spans="1:7" x14ac:dyDescent="0.2">
      <c r="A68" s="36"/>
      <c r="B68" s="36"/>
      <c r="F68" s="36"/>
      <c r="G68" s="36"/>
    </row>
    <row r="69" spans="1:7" ht="13.5" x14ac:dyDescent="0.2">
      <c r="A69" s="39" t="s">
        <v>98</v>
      </c>
      <c r="B69" s="26"/>
      <c r="C69" s="27"/>
      <c r="D69" s="27"/>
      <c r="E69" s="27"/>
      <c r="F69" s="31"/>
      <c r="G69" s="31"/>
    </row>
    <row r="70" spans="1:7" ht="13.5" x14ac:dyDescent="0.2">
      <c r="A70" s="39" t="s">
        <v>99</v>
      </c>
    </row>
    <row r="71" spans="1:7" ht="13.5" x14ac:dyDescent="0.2">
      <c r="A71" s="39" t="s">
        <v>100</v>
      </c>
    </row>
    <row r="72" spans="1:7" ht="13.5" x14ac:dyDescent="0.2">
      <c r="A72" s="39" t="s">
        <v>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72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256" width="9.140625" style="38"/>
    <col min="257" max="257" width="21.7109375" style="38" customWidth="1"/>
    <col min="258" max="258" width="9.7109375" style="38" customWidth="1"/>
    <col min="259" max="261" width="9.140625" style="38"/>
    <col min="262" max="262" width="10.7109375" style="38" customWidth="1"/>
    <col min="263" max="263" width="9.5703125" style="38" customWidth="1"/>
    <col min="264" max="512" width="9.140625" style="38"/>
    <col min="513" max="513" width="21.7109375" style="38" customWidth="1"/>
    <col min="514" max="514" width="9.7109375" style="38" customWidth="1"/>
    <col min="515" max="517" width="9.140625" style="38"/>
    <col min="518" max="518" width="10.7109375" style="38" customWidth="1"/>
    <col min="519" max="519" width="9.5703125" style="38" customWidth="1"/>
    <col min="520" max="768" width="9.140625" style="38"/>
    <col min="769" max="769" width="21.7109375" style="38" customWidth="1"/>
    <col min="770" max="770" width="9.7109375" style="38" customWidth="1"/>
    <col min="771" max="773" width="9.140625" style="38"/>
    <col min="774" max="774" width="10.7109375" style="38" customWidth="1"/>
    <col min="775" max="775" width="9.5703125" style="38" customWidth="1"/>
    <col min="776" max="1024" width="9.140625" style="38"/>
    <col min="1025" max="1025" width="21.7109375" style="38" customWidth="1"/>
    <col min="1026" max="1026" width="9.7109375" style="38" customWidth="1"/>
    <col min="1027" max="1029" width="9.140625" style="38"/>
    <col min="1030" max="1030" width="10.7109375" style="38" customWidth="1"/>
    <col min="1031" max="1031" width="9.5703125" style="38" customWidth="1"/>
    <col min="1032" max="1280" width="9.140625" style="38"/>
    <col min="1281" max="1281" width="21.7109375" style="38" customWidth="1"/>
    <col min="1282" max="1282" width="9.7109375" style="38" customWidth="1"/>
    <col min="1283" max="1285" width="9.140625" style="38"/>
    <col min="1286" max="1286" width="10.7109375" style="38" customWidth="1"/>
    <col min="1287" max="1287" width="9.5703125" style="38" customWidth="1"/>
    <col min="1288" max="1536" width="9.140625" style="38"/>
    <col min="1537" max="1537" width="21.7109375" style="38" customWidth="1"/>
    <col min="1538" max="1538" width="9.7109375" style="38" customWidth="1"/>
    <col min="1539" max="1541" width="9.140625" style="38"/>
    <col min="1542" max="1542" width="10.7109375" style="38" customWidth="1"/>
    <col min="1543" max="1543" width="9.5703125" style="38" customWidth="1"/>
    <col min="1544" max="1792" width="9.140625" style="38"/>
    <col min="1793" max="1793" width="21.7109375" style="38" customWidth="1"/>
    <col min="1794" max="1794" width="9.7109375" style="38" customWidth="1"/>
    <col min="1795" max="1797" width="9.140625" style="38"/>
    <col min="1798" max="1798" width="10.7109375" style="38" customWidth="1"/>
    <col min="1799" max="1799" width="9.5703125" style="38" customWidth="1"/>
    <col min="1800" max="2048" width="9.140625" style="38"/>
    <col min="2049" max="2049" width="21.7109375" style="38" customWidth="1"/>
    <col min="2050" max="2050" width="9.7109375" style="38" customWidth="1"/>
    <col min="2051" max="2053" width="9.140625" style="38"/>
    <col min="2054" max="2054" width="10.7109375" style="38" customWidth="1"/>
    <col min="2055" max="2055" width="9.5703125" style="38" customWidth="1"/>
    <col min="2056" max="2304" width="9.140625" style="38"/>
    <col min="2305" max="2305" width="21.7109375" style="38" customWidth="1"/>
    <col min="2306" max="2306" width="9.7109375" style="38" customWidth="1"/>
    <col min="2307" max="2309" width="9.140625" style="38"/>
    <col min="2310" max="2310" width="10.7109375" style="38" customWidth="1"/>
    <col min="2311" max="2311" width="9.5703125" style="38" customWidth="1"/>
    <col min="2312" max="2560" width="9.140625" style="38"/>
    <col min="2561" max="2561" width="21.7109375" style="38" customWidth="1"/>
    <col min="2562" max="2562" width="9.7109375" style="38" customWidth="1"/>
    <col min="2563" max="2565" width="9.140625" style="38"/>
    <col min="2566" max="2566" width="10.7109375" style="38" customWidth="1"/>
    <col min="2567" max="2567" width="9.5703125" style="38" customWidth="1"/>
    <col min="2568" max="2816" width="9.140625" style="38"/>
    <col min="2817" max="2817" width="21.7109375" style="38" customWidth="1"/>
    <col min="2818" max="2818" width="9.7109375" style="38" customWidth="1"/>
    <col min="2819" max="2821" width="9.140625" style="38"/>
    <col min="2822" max="2822" width="10.7109375" style="38" customWidth="1"/>
    <col min="2823" max="2823" width="9.5703125" style="38" customWidth="1"/>
    <col min="2824" max="3072" width="9.140625" style="38"/>
    <col min="3073" max="3073" width="21.7109375" style="38" customWidth="1"/>
    <col min="3074" max="3074" width="9.7109375" style="38" customWidth="1"/>
    <col min="3075" max="3077" width="9.140625" style="38"/>
    <col min="3078" max="3078" width="10.7109375" style="38" customWidth="1"/>
    <col min="3079" max="3079" width="9.5703125" style="38" customWidth="1"/>
    <col min="3080" max="3328" width="9.140625" style="38"/>
    <col min="3329" max="3329" width="21.7109375" style="38" customWidth="1"/>
    <col min="3330" max="3330" width="9.7109375" style="38" customWidth="1"/>
    <col min="3331" max="3333" width="9.140625" style="38"/>
    <col min="3334" max="3334" width="10.7109375" style="38" customWidth="1"/>
    <col min="3335" max="3335" width="9.5703125" style="38" customWidth="1"/>
    <col min="3336" max="3584" width="9.140625" style="38"/>
    <col min="3585" max="3585" width="21.7109375" style="38" customWidth="1"/>
    <col min="3586" max="3586" width="9.7109375" style="38" customWidth="1"/>
    <col min="3587" max="3589" width="9.140625" style="38"/>
    <col min="3590" max="3590" width="10.7109375" style="38" customWidth="1"/>
    <col min="3591" max="3591" width="9.5703125" style="38" customWidth="1"/>
    <col min="3592" max="3840" width="9.140625" style="38"/>
    <col min="3841" max="3841" width="21.7109375" style="38" customWidth="1"/>
    <col min="3842" max="3842" width="9.7109375" style="38" customWidth="1"/>
    <col min="3843" max="3845" width="9.140625" style="38"/>
    <col min="3846" max="3846" width="10.7109375" style="38" customWidth="1"/>
    <col min="3847" max="3847" width="9.5703125" style="38" customWidth="1"/>
    <col min="3848" max="4096" width="9.140625" style="38"/>
    <col min="4097" max="4097" width="21.7109375" style="38" customWidth="1"/>
    <col min="4098" max="4098" width="9.7109375" style="38" customWidth="1"/>
    <col min="4099" max="4101" width="9.140625" style="38"/>
    <col min="4102" max="4102" width="10.7109375" style="38" customWidth="1"/>
    <col min="4103" max="4103" width="9.5703125" style="38" customWidth="1"/>
    <col min="4104" max="4352" width="9.140625" style="38"/>
    <col min="4353" max="4353" width="21.7109375" style="38" customWidth="1"/>
    <col min="4354" max="4354" width="9.7109375" style="38" customWidth="1"/>
    <col min="4355" max="4357" width="9.140625" style="38"/>
    <col min="4358" max="4358" width="10.7109375" style="38" customWidth="1"/>
    <col min="4359" max="4359" width="9.5703125" style="38" customWidth="1"/>
    <col min="4360" max="4608" width="9.140625" style="38"/>
    <col min="4609" max="4609" width="21.7109375" style="38" customWidth="1"/>
    <col min="4610" max="4610" width="9.7109375" style="38" customWidth="1"/>
    <col min="4611" max="4613" width="9.140625" style="38"/>
    <col min="4614" max="4614" width="10.7109375" style="38" customWidth="1"/>
    <col min="4615" max="4615" width="9.5703125" style="38" customWidth="1"/>
    <col min="4616" max="4864" width="9.140625" style="38"/>
    <col min="4865" max="4865" width="21.7109375" style="38" customWidth="1"/>
    <col min="4866" max="4866" width="9.7109375" style="38" customWidth="1"/>
    <col min="4867" max="4869" width="9.140625" style="38"/>
    <col min="4870" max="4870" width="10.7109375" style="38" customWidth="1"/>
    <col min="4871" max="4871" width="9.5703125" style="38" customWidth="1"/>
    <col min="4872" max="5120" width="9.140625" style="38"/>
    <col min="5121" max="5121" width="21.7109375" style="38" customWidth="1"/>
    <col min="5122" max="5122" width="9.7109375" style="38" customWidth="1"/>
    <col min="5123" max="5125" width="9.140625" style="38"/>
    <col min="5126" max="5126" width="10.7109375" style="38" customWidth="1"/>
    <col min="5127" max="5127" width="9.5703125" style="38" customWidth="1"/>
    <col min="5128" max="5376" width="9.140625" style="38"/>
    <col min="5377" max="5377" width="21.7109375" style="38" customWidth="1"/>
    <col min="5378" max="5378" width="9.7109375" style="38" customWidth="1"/>
    <col min="5379" max="5381" width="9.140625" style="38"/>
    <col min="5382" max="5382" width="10.7109375" style="38" customWidth="1"/>
    <col min="5383" max="5383" width="9.5703125" style="38" customWidth="1"/>
    <col min="5384" max="5632" width="9.140625" style="38"/>
    <col min="5633" max="5633" width="21.7109375" style="38" customWidth="1"/>
    <col min="5634" max="5634" width="9.7109375" style="38" customWidth="1"/>
    <col min="5635" max="5637" width="9.140625" style="38"/>
    <col min="5638" max="5638" width="10.7109375" style="38" customWidth="1"/>
    <col min="5639" max="5639" width="9.5703125" style="38" customWidth="1"/>
    <col min="5640" max="5888" width="9.140625" style="38"/>
    <col min="5889" max="5889" width="21.7109375" style="38" customWidth="1"/>
    <col min="5890" max="5890" width="9.7109375" style="38" customWidth="1"/>
    <col min="5891" max="5893" width="9.140625" style="38"/>
    <col min="5894" max="5894" width="10.7109375" style="38" customWidth="1"/>
    <col min="5895" max="5895" width="9.5703125" style="38" customWidth="1"/>
    <col min="5896" max="6144" width="9.140625" style="38"/>
    <col min="6145" max="6145" width="21.7109375" style="38" customWidth="1"/>
    <col min="6146" max="6146" width="9.7109375" style="38" customWidth="1"/>
    <col min="6147" max="6149" width="9.140625" style="38"/>
    <col min="6150" max="6150" width="10.7109375" style="38" customWidth="1"/>
    <col min="6151" max="6151" width="9.5703125" style="38" customWidth="1"/>
    <col min="6152" max="6400" width="9.140625" style="38"/>
    <col min="6401" max="6401" width="21.7109375" style="38" customWidth="1"/>
    <col min="6402" max="6402" width="9.7109375" style="38" customWidth="1"/>
    <col min="6403" max="6405" width="9.140625" style="38"/>
    <col min="6406" max="6406" width="10.7109375" style="38" customWidth="1"/>
    <col min="6407" max="6407" width="9.5703125" style="38" customWidth="1"/>
    <col min="6408" max="6656" width="9.140625" style="38"/>
    <col min="6657" max="6657" width="21.7109375" style="38" customWidth="1"/>
    <col min="6658" max="6658" width="9.7109375" style="38" customWidth="1"/>
    <col min="6659" max="6661" width="9.140625" style="38"/>
    <col min="6662" max="6662" width="10.7109375" style="38" customWidth="1"/>
    <col min="6663" max="6663" width="9.5703125" style="38" customWidth="1"/>
    <col min="6664" max="6912" width="9.140625" style="38"/>
    <col min="6913" max="6913" width="21.7109375" style="38" customWidth="1"/>
    <col min="6914" max="6914" width="9.7109375" style="38" customWidth="1"/>
    <col min="6915" max="6917" width="9.140625" style="38"/>
    <col min="6918" max="6918" width="10.7109375" style="38" customWidth="1"/>
    <col min="6919" max="6919" width="9.5703125" style="38" customWidth="1"/>
    <col min="6920" max="7168" width="9.140625" style="38"/>
    <col min="7169" max="7169" width="21.7109375" style="38" customWidth="1"/>
    <col min="7170" max="7170" width="9.7109375" style="38" customWidth="1"/>
    <col min="7171" max="7173" width="9.140625" style="38"/>
    <col min="7174" max="7174" width="10.7109375" style="38" customWidth="1"/>
    <col min="7175" max="7175" width="9.5703125" style="38" customWidth="1"/>
    <col min="7176" max="7424" width="9.140625" style="38"/>
    <col min="7425" max="7425" width="21.7109375" style="38" customWidth="1"/>
    <col min="7426" max="7426" width="9.7109375" style="38" customWidth="1"/>
    <col min="7427" max="7429" width="9.140625" style="38"/>
    <col min="7430" max="7430" width="10.7109375" style="38" customWidth="1"/>
    <col min="7431" max="7431" width="9.5703125" style="38" customWidth="1"/>
    <col min="7432" max="7680" width="9.140625" style="38"/>
    <col min="7681" max="7681" width="21.7109375" style="38" customWidth="1"/>
    <col min="7682" max="7682" width="9.7109375" style="38" customWidth="1"/>
    <col min="7683" max="7685" width="9.140625" style="38"/>
    <col min="7686" max="7686" width="10.7109375" style="38" customWidth="1"/>
    <col min="7687" max="7687" width="9.5703125" style="38" customWidth="1"/>
    <col min="7688" max="7936" width="9.140625" style="38"/>
    <col min="7937" max="7937" width="21.7109375" style="38" customWidth="1"/>
    <col min="7938" max="7938" width="9.7109375" style="38" customWidth="1"/>
    <col min="7939" max="7941" width="9.140625" style="38"/>
    <col min="7942" max="7942" width="10.7109375" style="38" customWidth="1"/>
    <col min="7943" max="7943" width="9.5703125" style="38" customWidth="1"/>
    <col min="7944" max="8192" width="9.140625" style="38"/>
    <col min="8193" max="8193" width="21.7109375" style="38" customWidth="1"/>
    <col min="8194" max="8194" width="9.7109375" style="38" customWidth="1"/>
    <col min="8195" max="8197" width="9.140625" style="38"/>
    <col min="8198" max="8198" width="10.7109375" style="38" customWidth="1"/>
    <col min="8199" max="8199" width="9.5703125" style="38" customWidth="1"/>
    <col min="8200" max="8448" width="9.140625" style="38"/>
    <col min="8449" max="8449" width="21.7109375" style="38" customWidth="1"/>
    <col min="8450" max="8450" width="9.7109375" style="38" customWidth="1"/>
    <col min="8451" max="8453" width="9.140625" style="38"/>
    <col min="8454" max="8454" width="10.7109375" style="38" customWidth="1"/>
    <col min="8455" max="8455" width="9.5703125" style="38" customWidth="1"/>
    <col min="8456" max="8704" width="9.140625" style="38"/>
    <col min="8705" max="8705" width="21.7109375" style="38" customWidth="1"/>
    <col min="8706" max="8706" width="9.7109375" style="38" customWidth="1"/>
    <col min="8707" max="8709" width="9.140625" style="38"/>
    <col min="8710" max="8710" width="10.7109375" style="38" customWidth="1"/>
    <col min="8711" max="8711" width="9.5703125" style="38" customWidth="1"/>
    <col min="8712" max="8960" width="9.140625" style="38"/>
    <col min="8961" max="8961" width="21.7109375" style="38" customWidth="1"/>
    <col min="8962" max="8962" width="9.7109375" style="38" customWidth="1"/>
    <col min="8963" max="8965" width="9.140625" style="38"/>
    <col min="8966" max="8966" width="10.7109375" style="38" customWidth="1"/>
    <col min="8967" max="8967" width="9.5703125" style="38" customWidth="1"/>
    <col min="8968" max="9216" width="9.140625" style="38"/>
    <col min="9217" max="9217" width="21.7109375" style="38" customWidth="1"/>
    <col min="9218" max="9218" width="9.7109375" style="38" customWidth="1"/>
    <col min="9219" max="9221" width="9.140625" style="38"/>
    <col min="9222" max="9222" width="10.7109375" style="38" customWidth="1"/>
    <col min="9223" max="9223" width="9.5703125" style="38" customWidth="1"/>
    <col min="9224" max="9472" width="9.140625" style="38"/>
    <col min="9473" max="9473" width="21.7109375" style="38" customWidth="1"/>
    <col min="9474" max="9474" width="9.7109375" style="38" customWidth="1"/>
    <col min="9475" max="9477" width="9.140625" style="38"/>
    <col min="9478" max="9478" width="10.7109375" style="38" customWidth="1"/>
    <col min="9479" max="9479" width="9.5703125" style="38" customWidth="1"/>
    <col min="9480" max="9728" width="9.140625" style="38"/>
    <col min="9729" max="9729" width="21.7109375" style="38" customWidth="1"/>
    <col min="9730" max="9730" width="9.7109375" style="38" customWidth="1"/>
    <col min="9731" max="9733" width="9.140625" style="38"/>
    <col min="9734" max="9734" width="10.7109375" style="38" customWidth="1"/>
    <col min="9735" max="9735" width="9.5703125" style="38" customWidth="1"/>
    <col min="9736" max="9984" width="9.140625" style="38"/>
    <col min="9985" max="9985" width="21.7109375" style="38" customWidth="1"/>
    <col min="9986" max="9986" width="9.7109375" style="38" customWidth="1"/>
    <col min="9987" max="9989" width="9.140625" style="38"/>
    <col min="9990" max="9990" width="10.7109375" style="38" customWidth="1"/>
    <col min="9991" max="9991" width="9.5703125" style="38" customWidth="1"/>
    <col min="9992" max="10240" width="9.140625" style="38"/>
    <col min="10241" max="10241" width="21.7109375" style="38" customWidth="1"/>
    <col min="10242" max="10242" width="9.7109375" style="38" customWidth="1"/>
    <col min="10243" max="10245" width="9.140625" style="38"/>
    <col min="10246" max="10246" width="10.7109375" style="38" customWidth="1"/>
    <col min="10247" max="10247" width="9.5703125" style="38" customWidth="1"/>
    <col min="10248" max="10496" width="9.140625" style="38"/>
    <col min="10497" max="10497" width="21.7109375" style="38" customWidth="1"/>
    <col min="10498" max="10498" width="9.7109375" style="38" customWidth="1"/>
    <col min="10499" max="10501" width="9.140625" style="38"/>
    <col min="10502" max="10502" width="10.7109375" style="38" customWidth="1"/>
    <col min="10503" max="10503" width="9.5703125" style="38" customWidth="1"/>
    <col min="10504" max="10752" width="9.140625" style="38"/>
    <col min="10753" max="10753" width="21.7109375" style="38" customWidth="1"/>
    <col min="10754" max="10754" width="9.7109375" style="38" customWidth="1"/>
    <col min="10755" max="10757" width="9.140625" style="38"/>
    <col min="10758" max="10758" width="10.7109375" style="38" customWidth="1"/>
    <col min="10759" max="10759" width="9.5703125" style="38" customWidth="1"/>
    <col min="10760" max="11008" width="9.140625" style="38"/>
    <col min="11009" max="11009" width="21.7109375" style="38" customWidth="1"/>
    <col min="11010" max="11010" width="9.7109375" style="38" customWidth="1"/>
    <col min="11011" max="11013" width="9.140625" style="38"/>
    <col min="11014" max="11014" width="10.7109375" style="38" customWidth="1"/>
    <col min="11015" max="11015" width="9.5703125" style="38" customWidth="1"/>
    <col min="11016" max="11264" width="9.140625" style="38"/>
    <col min="11265" max="11265" width="21.7109375" style="38" customWidth="1"/>
    <col min="11266" max="11266" width="9.7109375" style="38" customWidth="1"/>
    <col min="11267" max="11269" width="9.140625" style="38"/>
    <col min="11270" max="11270" width="10.7109375" style="38" customWidth="1"/>
    <col min="11271" max="11271" width="9.5703125" style="38" customWidth="1"/>
    <col min="11272" max="11520" width="9.140625" style="38"/>
    <col min="11521" max="11521" width="21.7109375" style="38" customWidth="1"/>
    <col min="11522" max="11522" width="9.7109375" style="38" customWidth="1"/>
    <col min="11523" max="11525" width="9.140625" style="38"/>
    <col min="11526" max="11526" width="10.7109375" style="38" customWidth="1"/>
    <col min="11527" max="11527" width="9.5703125" style="38" customWidth="1"/>
    <col min="11528" max="11776" width="9.140625" style="38"/>
    <col min="11777" max="11777" width="21.7109375" style="38" customWidth="1"/>
    <col min="11778" max="11778" width="9.7109375" style="38" customWidth="1"/>
    <col min="11779" max="11781" width="9.140625" style="38"/>
    <col min="11782" max="11782" width="10.7109375" style="38" customWidth="1"/>
    <col min="11783" max="11783" width="9.5703125" style="38" customWidth="1"/>
    <col min="11784" max="12032" width="9.140625" style="38"/>
    <col min="12033" max="12033" width="21.7109375" style="38" customWidth="1"/>
    <col min="12034" max="12034" width="9.7109375" style="38" customWidth="1"/>
    <col min="12035" max="12037" width="9.140625" style="38"/>
    <col min="12038" max="12038" width="10.7109375" style="38" customWidth="1"/>
    <col min="12039" max="12039" width="9.5703125" style="38" customWidth="1"/>
    <col min="12040" max="12288" width="9.140625" style="38"/>
    <col min="12289" max="12289" width="21.7109375" style="38" customWidth="1"/>
    <col min="12290" max="12290" width="9.7109375" style="38" customWidth="1"/>
    <col min="12291" max="12293" width="9.140625" style="38"/>
    <col min="12294" max="12294" width="10.7109375" style="38" customWidth="1"/>
    <col min="12295" max="12295" width="9.5703125" style="38" customWidth="1"/>
    <col min="12296" max="12544" width="9.140625" style="38"/>
    <col min="12545" max="12545" width="21.7109375" style="38" customWidth="1"/>
    <col min="12546" max="12546" width="9.7109375" style="38" customWidth="1"/>
    <col min="12547" max="12549" width="9.140625" style="38"/>
    <col min="12550" max="12550" width="10.7109375" style="38" customWidth="1"/>
    <col min="12551" max="12551" width="9.5703125" style="38" customWidth="1"/>
    <col min="12552" max="12800" width="9.140625" style="38"/>
    <col min="12801" max="12801" width="21.7109375" style="38" customWidth="1"/>
    <col min="12802" max="12802" width="9.7109375" style="38" customWidth="1"/>
    <col min="12803" max="12805" width="9.140625" style="38"/>
    <col min="12806" max="12806" width="10.7109375" style="38" customWidth="1"/>
    <col min="12807" max="12807" width="9.5703125" style="38" customWidth="1"/>
    <col min="12808" max="13056" width="9.140625" style="38"/>
    <col min="13057" max="13057" width="21.7109375" style="38" customWidth="1"/>
    <col min="13058" max="13058" width="9.7109375" style="38" customWidth="1"/>
    <col min="13059" max="13061" width="9.140625" style="38"/>
    <col min="13062" max="13062" width="10.7109375" style="38" customWidth="1"/>
    <col min="13063" max="13063" width="9.5703125" style="38" customWidth="1"/>
    <col min="13064" max="13312" width="9.140625" style="38"/>
    <col min="13313" max="13313" width="21.7109375" style="38" customWidth="1"/>
    <col min="13314" max="13314" width="9.7109375" style="38" customWidth="1"/>
    <col min="13315" max="13317" width="9.140625" style="38"/>
    <col min="13318" max="13318" width="10.7109375" style="38" customWidth="1"/>
    <col min="13319" max="13319" width="9.5703125" style="38" customWidth="1"/>
    <col min="13320" max="13568" width="9.140625" style="38"/>
    <col min="13569" max="13569" width="21.7109375" style="38" customWidth="1"/>
    <col min="13570" max="13570" width="9.7109375" style="38" customWidth="1"/>
    <col min="13571" max="13573" width="9.140625" style="38"/>
    <col min="13574" max="13574" width="10.7109375" style="38" customWidth="1"/>
    <col min="13575" max="13575" width="9.5703125" style="38" customWidth="1"/>
    <col min="13576" max="13824" width="9.140625" style="38"/>
    <col min="13825" max="13825" width="21.7109375" style="38" customWidth="1"/>
    <col min="13826" max="13826" width="9.7109375" style="38" customWidth="1"/>
    <col min="13827" max="13829" width="9.140625" style="38"/>
    <col min="13830" max="13830" width="10.7109375" style="38" customWidth="1"/>
    <col min="13831" max="13831" width="9.5703125" style="38" customWidth="1"/>
    <col min="13832" max="14080" width="9.140625" style="38"/>
    <col min="14081" max="14081" width="21.7109375" style="38" customWidth="1"/>
    <col min="14082" max="14082" width="9.7109375" style="38" customWidth="1"/>
    <col min="14083" max="14085" width="9.140625" style="38"/>
    <col min="14086" max="14086" width="10.7109375" style="38" customWidth="1"/>
    <col min="14087" max="14087" width="9.5703125" style="38" customWidth="1"/>
    <col min="14088" max="14336" width="9.140625" style="38"/>
    <col min="14337" max="14337" width="21.7109375" style="38" customWidth="1"/>
    <col min="14338" max="14338" width="9.7109375" style="38" customWidth="1"/>
    <col min="14339" max="14341" width="9.140625" style="38"/>
    <col min="14342" max="14342" width="10.7109375" style="38" customWidth="1"/>
    <col min="14343" max="14343" width="9.5703125" style="38" customWidth="1"/>
    <col min="14344" max="14592" width="9.140625" style="38"/>
    <col min="14593" max="14593" width="21.7109375" style="38" customWidth="1"/>
    <col min="14594" max="14594" width="9.7109375" style="38" customWidth="1"/>
    <col min="14595" max="14597" width="9.140625" style="38"/>
    <col min="14598" max="14598" width="10.7109375" style="38" customWidth="1"/>
    <col min="14599" max="14599" width="9.5703125" style="38" customWidth="1"/>
    <col min="14600" max="14848" width="9.140625" style="38"/>
    <col min="14849" max="14849" width="21.7109375" style="38" customWidth="1"/>
    <col min="14850" max="14850" width="9.7109375" style="38" customWidth="1"/>
    <col min="14851" max="14853" width="9.140625" style="38"/>
    <col min="14854" max="14854" width="10.7109375" style="38" customWidth="1"/>
    <col min="14855" max="14855" width="9.5703125" style="38" customWidth="1"/>
    <col min="14856" max="15104" width="9.140625" style="38"/>
    <col min="15105" max="15105" width="21.7109375" style="38" customWidth="1"/>
    <col min="15106" max="15106" width="9.7109375" style="38" customWidth="1"/>
    <col min="15107" max="15109" width="9.140625" style="38"/>
    <col min="15110" max="15110" width="10.7109375" style="38" customWidth="1"/>
    <col min="15111" max="15111" width="9.5703125" style="38" customWidth="1"/>
    <col min="15112" max="15360" width="9.140625" style="38"/>
    <col min="15361" max="15361" width="21.7109375" style="38" customWidth="1"/>
    <col min="15362" max="15362" width="9.7109375" style="38" customWidth="1"/>
    <col min="15363" max="15365" width="9.140625" style="38"/>
    <col min="15366" max="15366" width="10.7109375" style="38" customWidth="1"/>
    <col min="15367" max="15367" width="9.5703125" style="38" customWidth="1"/>
    <col min="15368" max="15616" width="9.140625" style="38"/>
    <col min="15617" max="15617" width="21.7109375" style="38" customWidth="1"/>
    <col min="15618" max="15618" width="9.7109375" style="38" customWidth="1"/>
    <col min="15619" max="15621" width="9.140625" style="38"/>
    <col min="15622" max="15622" width="10.7109375" style="38" customWidth="1"/>
    <col min="15623" max="15623" width="9.5703125" style="38" customWidth="1"/>
    <col min="15624" max="15872" width="9.140625" style="38"/>
    <col min="15873" max="15873" width="21.7109375" style="38" customWidth="1"/>
    <col min="15874" max="15874" width="9.7109375" style="38" customWidth="1"/>
    <col min="15875" max="15877" width="9.140625" style="38"/>
    <col min="15878" max="15878" width="10.7109375" style="38" customWidth="1"/>
    <col min="15879" max="15879" width="9.5703125" style="38" customWidth="1"/>
    <col min="15880" max="16128" width="9.140625" style="38"/>
    <col min="16129" max="16129" width="21.7109375" style="38" customWidth="1"/>
    <col min="16130" max="16130" width="9.7109375" style="38" customWidth="1"/>
    <col min="16131" max="16133" width="9.140625" style="38"/>
    <col min="16134" max="16134" width="10.7109375" style="38" customWidth="1"/>
    <col min="16135" max="16135" width="9.5703125" style="38" customWidth="1"/>
    <col min="16136" max="16384" width="9.140625" style="38"/>
  </cols>
  <sheetData>
    <row r="1" spans="1:10" ht="15.75" x14ac:dyDescent="0.25">
      <c r="A1" s="52" t="s">
        <v>68</v>
      </c>
      <c r="F1" s="37"/>
      <c r="G1" s="37"/>
      <c r="J1" s="38"/>
    </row>
    <row r="2" spans="1:10" x14ac:dyDescent="0.2">
      <c r="F2" s="37"/>
      <c r="G2" s="37"/>
      <c r="J2" s="38"/>
    </row>
    <row r="3" spans="1:10" ht="48" x14ac:dyDescent="0.2">
      <c r="A3" s="54">
        <v>2007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38"/>
    </row>
    <row r="4" spans="1:10" x14ac:dyDescent="0.2">
      <c r="A4" s="59" t="s">
        <v>50</v>
      </c>
      <c r="B4" s="130">
        <v>364.43099999999998</v>
      </c>
      <c r="C4" s="131" t="s">
        <v>1</v>
      </c>
      <c r="D4" s="132" t="s">
        <v>1</v>
      </c>
      <c r="E4" s="133">
        <v>0.10852756347756583</v>
      </c>
      <c r="F4" s="130">
        <v>97.713699999999989</v>
      </c>
      <c r="G4" s="134">
        <v>3042.2190000000001</v>
      </c>
      <c r="H4" s="135" t="s">
        <v>1</v>
      </c>
      <c r="I4" s="133" t="s">
        <v>1</v>
      </c>
      <c r="J4" s="38"/>
    </row>
    <row r="5" spans="1:10" x14ac:dyDescent="0.2">
      <c r="A5" s="61" t="s">
        <v>3</v>
      </c>
      <c r="B5" s="137">
        <v>11.087</v>
      </c>
      <c r="C5" s="138">
        <v>0.78713808965455034</v>
      </c>
      <c r="D5" s="139">
        <v>0.21286191034544963</v>
      </c>
      <c r="E5" s="140">
        <v>0.12482548975455979</v>
      </c>
      <c r="F5" s="137">
        <v>2.0920000000000001</v>
      </c>
      <c r="G5" s="141">
        <v>76.995999999999995</v>
      </c>
      <c r="H5" s="142">
        <v>0.33513429269052936</v>
      </c>
      <c r="I5" s="140">
        <v>0.66486570730947059</v>
      </c>
      <c r="J5" s="38"/>
    </row>
    <row r="6" spans="1:10" x14ac:dyDescent="0.2">
      <c r="A6" s="63" t="s">
        <v>4</v>
      </c>
      <c r="B6" s="117">
        <v>4.05</v>
      </c>
      <c r="C6" s="118">
        <v>0.69259259259259254</v>
      </c>
      <c r="D6" s="119">
        <v>0.30740740740740741</v>
      </c>
      <c r="E6" s="120">
        <v>9.3539968127121967E-2</v>
      </c>
      <c r="F6" s="117">
        <v>1.2989999999999999</v>
      </c>
      <c r="G6" s="121">
        <v>57.334000000000003</v>
      </c>
      <c r="H6" s="122">
        <v>0.71538703038336759</v>
      </c>
      <c r="I6" s="120">
        <v>0.28461296961663235</v>
      </c>
      <c r="J6" s="38"/>
    </row>
    <row r="7" spans="1:10" x14ac:dyDescent="0.2">
      <c r="A7" s="63" t="s">
        <v>6</v>
      </c>
      <c r="B7" s="117">
        <v>11.430999999999999</v>
      </c>
      <c r="C7" s="118">
        <v>0.66932026944274337</v>
      </c>
      <c r="D7" s="119">
        <v>0.33067973055725658</v>
      </c>
      <c r="E7" s="120">
        <v>0.12960611351731333</v>
      </c>
      <c r="F7" s="117">
        <v>4.633</v>
      </c>
      <c r="G7" s="121">
        <v>124.467</v>
      </c>
      <c r="H7" s="122">
        <v>0.57175797600970535</v>
      </c>
      <c r="I7" s="120">
        <v>0.4282420239902946</v>
      </c>
      <c r="J7" s="38"/>
    </row>
    <row r="8" spans="1:10" x14ac:dyDescent="0.2">
      <c r="A8" s="63" t="s">
        <v>8</v>
      </c>
      <c r="B8" s="117">
        <v>16.739000000000001</v>
      </c>
      <c r="C8" s="118" t="s">
        <v>1</v>
      </c>
      <c r="D8" s="119" t="s">
        <v>1</v>
      </c>
      <c r="E8" s="120">
        <v>0.42751698421617201</v>
      </c>
      <c r="F8" s="117">
        <v>5.6020000000000003</v>
      </c>
      <c r="G8" s="121">
        <v>109.232</v>
      </c>
      <c r="H8" s="122" t="s">
        <v>1</v>
      </c>
      <c r="I8" s="120" t="s">
        <v>1</v>
      </c>
      <c r="J8" s="38"/>
    </row>
    <row r="9" spans="1:10" x14ac:dyDescent="0.2">
      <c r="A9" s="63" t="s">
        <v>7</v>
      </c>
      <c r="B9" s="117">
        <v>77.504000000000005</v>
      </c>
      <c r="C9" s="118">
        <v>0.66772037572254339</v>
      </c>
      <c r="D9" s="119">
        <v>0.33227962427745666</v>
      </c>
      <c r="E9" s="120">
        <v>0.12165104120068874</v>
      </c>
      <c r="F9" s="117">
        <v>21.055</v>
      </c>
      <c r="G9" s="121">
        <v>633.35900000000004</v>
      </c>
      <c r="H9" s="122">
        <v>0.5463268067557262</v>
      </c>
      <c r="I9" s="120">
        <v>0.4536731932442738</v>
      </c>
      <c r="J9" s="38"/>
    </row>
    <row r="10" spans="1:10" ht="13.5" x14ac:dyDescent="0.2">
      <c r="A10" s="63" t="s">
        <v>102</v>
      </c>
      <c r="B10" s="117">
        <v>0.86899999999999999</v>
      </c>
      <c r="C10" s="118">
        <v>0.86766398158803226</v>
      </c>
      <c r="D10" s="119">
        <v>0.13233601841196779</v>
      </c>
      <c r="E10" s="120">
        <v>7.1287940935192778E-2</v>
      </c>
      <c r="F10" s="117">
        <v>1.605</v>
      </c>
      <c r="G10" s="121">
        <v>9.9979999999999993</v>
      </c>
      <c r="H10" s="122">
        <v>0.76925385077015407</v>
      </c>
      <c r="I10" s="120">
        <v>0.23074614922984596</v>
      </c>
      <c r="J10" s="38"/>
    </row>
    <row r="11" spans="1:10" ht="13.5" x14ac:dyDescent="0.2">
      <c r="A11" s="63" t="s">
        <v>94</v>
      </c>
      <c r="B11" s="117">
        <v>1.7749999999999999</v>
      </c>
      <c r="C11" s="118">
        <v>0</v>
      </c>
      <c r="D11" s="119">
        <v>1</v>
      </c>
      <c r="E11" s="120">
        <v>6.2885283072344644E-2</v>
      </c>
      <c r="F11" s="117">
        <v>0.26800000000000002</v>
      </c>
      <c r="G11" s="121">
        <v>11.589</v>
      </c>
      <c r="H11" s="122">
        <v>0</v>
      </c>
      <c r="I11" s="120">
        <v>1</v>
      </c>
      <c r="J11" s="38"/>
    </row>
    <row r="12" spans="1:10" x14ac:dyDescent="0.2">
      <c r="A12" s="63" t="s">
        <v>10</v>
      </c>
      <c r="B12" s="117">
        <v>1.0149999999999999</v>
      </c>
      <c r="C12" s="118">
        <v>1</v>
      </c>
      <c r="D12" s="119">
        <v>0</v>
      </c>
      <c r="E12" s="120">
        <v>1.5985007165692868E-2</v>
      </c>
      <c r="F12" s="117">
        <v>0.215</v>
      </c>
      <c r="G12" s="121">
        <v>9.4870000000000001</v>
      </c>
      <c r="H12" s="122">
        <v>1</v>
      </c>
      <c r="I12" s="120">
        <v>0</v>
      </c>
      <c r="J12" s="38"/>
    </row>
    <row r="13" spans="1:10" x14ac:dyDescent="0.2">
      <c r="A13" s="63" t="s">
        <v>11</v>
      </c>
      <c r="B13" s="117">
        <v>21.646999999999998</v>
      </c>
      <c r="C13" s="118">
        <v>0</v>
      </c>
      <c r="D13" s="119">
        <v>1</v>
      </c>
      <c r="E13" s="120">
        <v>7.1373226549903884E-2</v>
      </c>
      <c r="F13" s="117">
        <v>3.7530000000000001</v>
      </c>
      <c r="G13" s="121">
        <v>191.32300000000001</v>
      </c>
      <c r="H13" s="122">
        <v>0</v>
      </c>
      <c r="I13" s="120">
        <v>1</v>
      </c>
      <c r="J13" s="38"/>
    </row>
    <row r="14" spans="1:10" x14ac:dyDescent="0.2">
      <c r="A14" s="63" t="s">
        <v>13</v>
      </c>
      <c r="B14" s="117">
        <v>18.425999999999998</v>
      </c>
      <c r="C14" s="118">
        <v>0.46244437208292632</v>
      </c>
      <c r="D14" s="119">
        <v>0.53755562791707368</v>
      </c>
      <c r="E14" s="120">
        <v>3.233533564625922E-2</v>
      </c>
      <c r="F14" s="117">
        <v>5.3440000000000003</v>
      </c>
      <c r="G14" s="121">
        <v>189.089</v>
      </c>
      <c r="H14" s="122">
        <v>0.30963197224587363</v>
      </c>
      <c r="I14" s="120">
        <v>0.69036802775412631</v>
      </c>
      <c r="J14" s="38"/>
    </row>
    <row r="15" spans="1:10" x14ac:dyDescent="0.2">
      <c r="A15" s="63" t="s">
        <v>17</v>
      </c>
      <c r="B15" s="117">
        <v>32.326999999999998</v>
      </c>
      <c r="C15" s="118">
        <v>0.58826986729359354</v>
      </c>
      <c r="D15" s="119">
        <v>0.4117301327064064</v>
      </c>
      <c r="E15" s="120">
        <v>0.10298929232494497</v>
      </c>
      <c r="F15" s="117">
        <v>6.125</v>
      </c>
      <c r="G15" s="121">
        <v>204.41399999999999</v>
      </c>
      <c r="H15" s="122">
        <v>0.40770201649593474</v>
      </c>
      <c r="I15" s="120">
        <v>0.59229798350406526</v>
      </c>
      <c r="J15" s="38"/>
    </row>
    <row r="16" spans="1:10" x14ac:dyDescent="0.2">
      <c r="A16" s="63" t="s">
        <v>5</v>
      </c>
      <c r="B16" s="117">
        <v>1.4E-2</v>
      </c>
      <c r="C16" s="118">
        <v>0</v>
      </c>
      <c r="D16" s="119">
        <v>1</v>
      </c>
      <c r="E16" s="120">
        <v>2.8741531513036336E-3</v>
      </c>
      <c r="F16" s="117">
        <v>5.0000000000000001E-3</v>
      </c>
      <c r="G16" s="121">
        <v>6.7000000000000004E-2</v>
      </c>
      <c r="H16" s="122">
        <v>0</v>
      </c>
      <c r="I16" s="120">
        <v>1</v>
      </c>
      <c r="J16" s="38"/>
    </row>
    <row r="17" spans="1:10" x14ac:dyDescent="0.2">
      <c r="A17" s="63" t="s">
        <v>20</v>
      </c>
      <c r="B17" s="117">
        <v>1.9530000000000001</v>
      </c>
      <c r="C17" s="118">
        <v>0.97388632872503844</v>
      </c>
      <c r="D17" s="119">
        <v>2.6113671274961597E-2</v>
      </c>
      <c r="E17" s="120">
        <v>0.4093481450429679</v>
      </c>
      <c r="F17" s="117">
        <v>0.56499999999999995</v>
      </c>
      <c r="G17" s="121">
        <v>9.798</v>
      </c>
      <c r="H17" s="122">
        <v>0.97377015717493365</v>
      </c>
      <c r="I17" s="120">
        <v>2.6229842825066341E-2</v>
      </c>
      <c r="J17" s="38"/>
    </row>
    <row r="18" spans="1:10" x14ac:dyDescent="0.2">
      <c r="A18" s="63" t="s">
        <v>18</v>
      </c>
      <c r="B18" s="117">
        <v>1.8440000000000001</v>
      </c>
      <c r="C18" s="118">
        <v>0.8535791757049892</v>
      </c>
      <c r="D18" s="119">
        <v>0.14642082429501085</v>
      </c>
      <c r="E18" s="120">
        <v>0.13164846148354395</v>
      </c>
      <c r="F18" s="117">
        <v>1.0509999999999999</v>
      </c>
      <c r="G18" s="121">
        <v>16.89</v>
      </c>
      <c r="H18" s="122">
        <v>0.81077560686796923</v>
      </c>
      <c r="I18" s="120">
        <v>0.18922439313203079</v>
      </c>
      <c r="J18" s="38"/>
    </row>
    <row r="19" spans="1:10" ht="13.5" x14ac:dyDescent="0.2">
      <c r="A19" s="63" t="s">
        <v>103</v>
      </c>
      <c r="B19" s="117">
        <v>0.39800000000000002</v>
      </c>
      <c r="C19" s="118">
        <v>1</v>
      </c>
      <c r="D19" s="119">
        <v>0</v>
      </c>
      <c r="E19" s="120">
        <v>9.94751312171957E-2</v>
      </c>
      <c r="F19" s="117">
        <v>0.107</v>
      </c>
      <c r="G19" s="121">
        <v>2.2799999999999998</v>
      </c>
      <c r="H19" s="122">
        <v>1</v>
      </c>
      <c r="I19" s="120">
        <v>0</v>
      </c>
      <c r="J19" s="38"/>
    </row>
    <row r="20" spans="1:10" x14ac:dyDescent="0.2">
      <c r="A20" s="63" t="s">
        <v>15</v>
      </c>
      <c r="B20" s="117">
        <v>8.5679999999999996</v>
      </c>
      <c r="C20" s="118">
        <v>0.9407096171802054</v>
      </c>
      <c r="D20" s="119">
        <v>5.9290382819794582E-2</v>
      </c>
      <c r="E20" s="120">
        <v>0.21441978027478165</v>
      </c>
      <c r="F20" s="117">
        <v>0.22370000000000001</v>
      </c>
      <c r="G20" s="121">
        <v>49.222000000000001</v>
      </c>
      <c r="H20" s="122">
        <v>0.85374426069643661</v>
      </c>
      <c r="I20" s="120">
        <v>0.14625573930356345</v>
      </c>
      <c r="J20" s="38"/>
    </row>
    <row r="21" spans="1:10" x14ac:dyDescent="0.2">
      <c r="A21" s="63" t="s">
        <v>21</v>
      </c>
      <c r="B21" s="117">
        <v>0</v>
      </c>
      <c r="C21" s="118">
        <v>0</v>
      </c>
      <c r="D21" s="119">
        <v>0</v>
      </c>
      <c r="E21" s="120">
        <v>0</v>
      </c>
      <c r="F21" s="117">
        <v>0</v>
      </c>
      <c r="G21" s="121">
        <v>0</v>
      </c>
      <c r="H21" s="122">
        <v>0</v>
      </c>
      <c r="I21" s="120">
        <v>0</v>
      </c>
      <c r="J21" s="38"/>
    </row>
    <row r="22" spans="1:10" x14ac:dyDescent="0.2">
      <c r="A22" s="63" t="s">
        <v>22</v>
      </c>
      <c r="B22" s="117">
        <v>31.053000000000001</v>
      </c>
      <c r="C22" s="118" t="s">
        <v>1</v>
      </c>
      <c r="D22" s="119" t="s">
        <v>1</v>
      </c>
      <c r="E22" s="120">
        <v>0.30078166619850638</v>
      </c>
      <c r="F22" s="117">
        <v>8.343</v>
      </c>
      <c r="G22" s="121">
        <v>223.255</v>
      </c>
      <c r="H22" s="122" t="s">
        <v>1</v>
      </c>
      <c r="I22" s="120" t="s">
        <v>1</v>
      </c>
      <c r="J22" s="38"/>
    </row>
    <row r="23" spans="1:10" x14ac:dyDescent="0.2">
      <c r="A23" s="63" t="s">
        <v>2</v>
      </c>
      <c r="B23" s="117">
        <v>9.9039999999999999</v>
      </c>
      <c r="C23" s="118">
        <v>0.42376817447495962</v>
      </c>
      <c r="D23" s="119">
        <v>0.57623182552504038</v>
      </c>
      <c r="E23" s="120">
        <v>0.15614062746334542</v>
      </c>
      <c r="F23" s="117">
        <v>3.0830000000000002</v>
      </c>
      <c r="G23" s="121">
        <v>97.923000000000002</v>
      </c>
      <c r="H23" s="122">
        <v>0.32738988797320345</v>
      </c>
      <c r="I23" s="120">
        <v>0.67261011202679655</v>
      </c>
      <c r="J23" s="38"/>
    </row>
    <row r="24" spans="1:10" x14ac:dyDescent="0.2">
      <c r="A24" s="63" t="s">
        <v>24</v>
      </c>
      <c r="B24" s="117">
        <v>27.565000000000001</v>
      </c>
      <c r="C24" s="118">
        <v>0.73401052058770178</v>
      </c>
      <c r="D24" s="119">
        <v>0.26598947941229822</v>
      </c>
      <c r="E24" s="120">
        <v>0.17298616863719657</v>
      </c>
      <c r="F24" s="117">
        <v>9.02</v>
      </c>
      <c r="G24" s="121">
        <v>260.99599999999998</v>
      </c>
      <c r="H24" s="122">
        <v>0.61466459256080552</v>
      </c>
      <c r="I24" s="120">
        <v>0.38533540743919448</v>
      </c>
      <c r="J24" s="38"/>
    </row>
    <row r="25" spans="1:10" x14ac:dyDescent="0.2">
      <c r="A25" s="63" t="s">
        <v>25</v>
      </c>
      <c r="B25" s="117">
        <v>5.8230000000000004</v>
      </c>
      <c r="C25" s="118">
        <v>0.68916366134295037</v>
      </c>
      <c r="D25" s="119">
        <v>0.31083633865704963</v>
      </c>
      <c r="E25" s="120">
        <v>0.12323027109389879</v>
      </c>
      <c r="F25" s="117">
        <v>1.07</v>
      </c>
      <c r="G25" s="121">
        <v>62.994</v>
      </c>
      <c r="H25" s="122">
        <v>0.48091881766517447</v>
      </c>
      <c r="I25" s="120">
        <v>0.51908118233482559</v>
      </c>
      <c r="J25" s="38"/>
    </row>
    <row r="26" spans="1:10" ht="13.5" x14ac:dyDescent="0.2">
      <c r="A26" s="63" t="s">
        <v>96</v>
      </c>
      <c r="B26" s="117">
        <v>6.6230000000000002</v>
      </c>
      <c r="C26" s="118">
        <v>0.85354069152951839</v>
      </c>
      <c r="D26" s="119">
        <v>0.14645930847048166</v>
      </c>
      <c r="E26" s="120">
        <v>0.10738897086245197</v>
      </c>
      <c r="F26" s="117">
        <v>4.484</v>
      </c>
      <c r="G26" s="121">
        <v>73.236000000000004</v>
      </c>
      <c r="H26" s="122">
        <v>0.84229067671636904</v>
      </c>
      <c r="I26" s="120">
        <v>0.15770932328363099</v>
      </c>
      <c r="J26" s="38"/>
    </row>
    <row r="27" spans="1:10" x14ac:dyDescent="0.2">
      <c r="A27" s="63" t="s">
        <v>28</v>
      </c>
      <c r="B27" s="117">
        <v>1.087</v>
      </c>
      <c r="C27" s="118">
        <v>0.75344986200551978</v>
      </c>
      <c r="D27" s="119">
        <v>0.24655013799448022</v>
      </c>
      <c r="E27" s="120">
        <v>7.225952270158878E-2</v>
      </c>
      <c r="F27" s="117">
        <v>0.33300000000000002</v>
      </c>
      <c r="G27" s="121">
        <v>11.891999999999999</v>
      </c>
      <c r="H27" s="122">
        <v>0.56172216616212578</v>
      </c>
      <c r="I27" s="120">
        <v>0.43827783383787422</v>
      </c>
      <c r="J27" s="38"/>
    </row>
    <row r="28" spans="1:10" x14ac:dyDescent="0.2">
      <c r="A28" s="63" t="s">
        <v>55</v>
      </c>
      <c r="B28" s="117">
        <v>7.19</v>
      </c>
      <c r="C28" s="118">
        <v>0.67566063977746871</v>
      </c>
      <c r="D28" s="119">
        <v>0.32433936022253129</v>
      </c>
      <c r="E28" s="120">
        <v>0.25627316794981464</v>
      </c>
      <c r="F28" s="117">
        <v>2.1579999999999999</v>
      </c>
      <c r="G28" s="121">
        <v>28.1</v>
      </c>
      <c r="H28" s="122">
        <v>0.60875444839857651</v>
      </c>
      <c r="I28" s="120">
        <v>0.39124555160142349</v>
      </c>
      <c r="J28" s="38"/>
    </row>
    <row r="29" spans="1:10" x14ac:dyDescent="0.2">
      <c r="A29" s="63" t="s">
        <v>12</v>
      </c>
      <c r="B29" s="117">
        <v>27.917000000000002</v>
      </c>
      <c r="C29" s="118">
        <v>0.66235627037289102</v>
      </c>
      <c r="D29" s="119">
        <v>0.33764372962710892</v>
      </c>
      <c r="E29" s="120">
        <v>0.34359807505323142</v>
      </c>
      <c r="F29" s="117">
        <v>5.8220000000000001</v>
      </c>
      <c r="G29" s="121">
        <v>269.447</v>
      </c>
      <c r="H29" s="122">
        <v>0.48787331089230906</v>
      </c>
      <c r="I29" s="120">
        <v>0.51212668910769099</v>
      </c>
      <c r="J29" s="38"/>
    </row>
    <row r="30" spans="1:10" x14ac:dyDescent="0.2">
      <c r="A30" s="64" t="s">
        <v>27</v>
      </c>
      <c r="B30" s="144">
        <v>12.279</v>
      </c>
      <c r="C30" s="145">
        <v>0.51836468767814969</v>
      </c>
      <c r="D30" s="146">
        <v>0.48163531232185031</v>
      </c>
      <c r="E30" s="147">
        <v>8.2492996257952686E-2</v>
      </c>
      <c r="F30" s="144">
        <v>3.992</v>
      </c>
      <c r="G30" s="148">
        <v>155.85499999999999</v>
      </c>
      <c r="H30" s="149">
        <v>0.45357543870905648</v>
      </c>
      <c r="I30" s="147">
        <v>0.54642456129094352</v>
      </c>
      <c r="J30" s="38"/>
    </row>
    <row r="31" spans="1:10" x14ac:dyDescent="0.2">
      <c r="A31" s="32" t="s">
        <v>29</v>
      </c>
      <c r="B31" s="127">
        <v>25.343</v>
      </c>
      <c r="C31" s="124">
        <v>6.9052598350629367E-3</v>
      </c>
      <c r="D31" s="125">
        <v>0.99309474016493704</v>
      </c>
      <c r="E31" s="126">
        <v>6.3974372890597583E-2</v>
      </c>
      <c r="F31" s="127">
        <v>5.4660000000000002</v>
      </c>
      <c r="G31" s="128">
        <v>162.976</v>
      </c>
      <c r="H31" s="129">
        <v>9.2651678774788929E-3</v>
      </c>
      <c r="I31" s="126">
        <v>0.99073483212252111</v>
      </c>
      <c r="J31" s="38"/>
    </row>
    <row r="32" spans="1:10" x14ac:dyDescent="0.2">
      <c r="A32" s="25" t="s">
        <v>23</v>
      </c>
      <c r="B32" s="159">
        <v>0.151</v>
      </c>
      <c r="C32" s="160">
        <v>1</v>
      </c>
      <c r="D32" s="161">
        <v>0</v>
      </c>
      <c r="E32" s="44">
        <v>1.0984134835710804E-3</v>
      </c>
      <c r="F32" s="159" t="s">
        <v>1</v>
      </c>
      <c r="G32" s="162">
        <v>3.75</v>
      </c>
      <c r="H32" s="163">
        <v>1</v>
      </c>
      <c r="I32" s="44">
        <v>0</v>
      </c>
      <c r="J32" s="38"/>
    </row>
    <row r="33" spans="1:10" ht="13.5" x14ac:dyDescent="0.2">
      <c r="A33" s="106" t="s">
        <v>104</v>
      </c>
      <c r="B33" s="165">
        <v>8.82</v>
      </c>
      <c r="C33" s="166">
        <v>0.28877551020408165</v>
      </c>
      <c r="D33" s="167">
        <v>0.71122448979591835</v>
      </c>
      <c r="E33" s="168">
        <v>4.6043495964668661E-2</v>
      </c>
      <c r="F33" s="165">
        <v>4.4349999999999996</v>
      </c>
      <c r="G33" s="169">
        <v>101.505</v>
      </c>
      <c r="H33" s="170">
        <v>0.23556475050490125</v>
      </c>
      <c r="I33" s="168">
        <v>0.76443524949509878</v>
      </c>
      <c r="J33" s="38"/>
    </row>
    <row r="34" spans="1:10" x14ac:dyDescent="0.2">
      <c r="B34" s="38"/>
      <c r="C34" s="38"/>
      <c r="D34" s="38"/>
      <c r="E34" s="38"/>
      <c r="H34" s="38"/>
      <c r="I34" s="38"/>
      <c r="J34" s="38"/>
    </row>
    <row r="35" spans="1:10" x14ac:dyDescent="0.2">
      <c r="A35" s="25"/>
      <c r="B35" s="26"/>
      <c r="C35" s="27"/>
      <c r="D35" s="27"/>
      <c r="E35" s="27"/>
      <c r="F35" s="28"/>
      <c r="G35" s="28"/>
      <c r="H35" s="27"/>
      <c r="I35" s="27"/>
      <c r="J35" s="38"/>
    </row>
    <row r="36" spans="1:10" x14ac:dyDescent="0.2">
      <c r="F36" s="36"/>
      <c r="G36" s="36"/>
      <c r="J36" s="38"/>
    </row>
    <row r="37" spans="1:10" ht="36" x14ac:dyDescent="0.2">
      <c r="A37" s="54">
        <v>2007</v>
      </c>
      <c r="B37" s="72" t="s">
        <v>57</v>
      </c>
      <c r="C37" s="66" t="s">
        <v>58</v>
      </c>
      <c r="D37" s="12" t="s">
        <v>59</v>
      </c>
      <c r="E37" s="12" t="s">
        <v>60</v>
      </c>
      <c r="F37" s="102" t="s">
        <v>61</v>
      </c>
      <c r="G37" s="102" t="s">
        <v>62</v>
      </c>
      <c r="H37" s="44"/>
      <c r="I37" s="44"/>
      <c r="J37" s="46"/>
    </row>
    <row r="38" spans="1:10" x14ac:dyDescent="0.2">
      <c r="A38" s="59" t="s">
        <v>50</v>
      </c>
      <c r="B38" s="77">
        <v>8412.2400000000016</v>
      </c>
      <c r="C38" s="67">
        <v>0.34645088585204409</v>
      </c>
      <c r="D38" s="60">
        <v>5.8980128954951347E-2</v>
      </c>
      <c r="E38" s="60">
        <v>0.38387611385314729</v>
      </c>
      <c r="F38" s="60">
        <v>0.11871653685581959</v>
      </c>
      <c r="G38" s="60">
        <v>9.1976334484037525E-2</v>
      </c>
      <c r="H38" s="44"/>
      <c r="I38" s="44"/>
      <c r="J38" s="46"/>
    </row>
    <row r="39" spans="1:10" x14ac:dyDescent="0.2">
      <c r="A39" s="61" t="s">
        <v>3</v>
      </c>
      <c r="B39" s="81">
        <v>147.035</v>
      </c>
      <c r="C39" s="109">
        <v>1.515285476247152E-2</v>
      </c>
      <c r="D39" s="105">
        <v>2.4926038018158941E-2</v>
      </c>
      <c r="E39" s="105">
        <v>0.64960043527051381</v>
      </c>
      <c r="F39" s="105">
        <v>8.8781582616383858E-2</v>
      </c>
      <c r="G39" s="105">
        <v>0.22153908933247185</v>
      </c>
      <c r="H39" s="44"/>
      <c r="I39" s="44"/>
      <c r="J39" s="46"/>
    </row>
    <row r="40" spans="1:10" x14ac:dyDescent="0.2">
      <c r="A40" s="63" t="s">
        <v>4</v>
      </c>
      <c r="B40" s="82">
        <v>113.85</v>
      </c>
      <c r="C40" s="69">
        <v>0.55707509881422923</v>
      </c>
      <c r="D40" s="33">
        <v>5.0469916556873079E-2</v>
      </c>
      <c r="E40" s="33">
        <v>0.34391743522178309</v>
      </c>
      <c r="F40" s="33">
        <v>0</v>
      </c>
      <c r="G40" s="33">
        <v>4.8537549407114626E-2</v>
      </c>
      <c r="H40" s="44"/>
      <c r="I40" s="44"/>
      <c r="J40" s="46"/>
    </row>
    <row r="41" spans="1:10" x14ac:dyDescent="0.2">
      <c r="A41" s="63" t="s">
        <v>63</v>
      </c>
      <c r="B41" s="82">
        <v>390.64600000000002</v>
      </c>
      <c r="C41" s="69">
        <v>0.83469176697060765</v>
      </c>
      <c r="D41" s="33">
        <v>1.6726140802670448E-2</v>
      </c>
      <c r="E41" s="33">
        <v>4.3676371958243525E-2</v>
      </c>
      <c r="F41" s="33">
        <v>4.018471966947057E-2</v>
      </c>
      <c r="G41" s="33">
        <v>6.4721000599007789E-2</v>
      </c>
      <c r="J41" s="38"/>
    </row>
    <row r="42" spans="1:10" x14ac:dyDescent="0.2">
      <c r="A42" s="63" t="s">
        <v>8</v>
      </c>
      <c r="B42" s="82">
        <v>318.892</v>
      </c>
      <c r="C42" s="69">
        <v>0.5495873210993063</v>
      </c>
      <c r="D42" s="33">
        <v>3.6206615405842732E-2</v>
      </c>
      <c r="E42" s="33">
        <v>0.21884525168395569</v>
      </c>
      <c r="F42" s="33">
        <v>0.16303325263725651</v>
      </c>
      <c r="G42" s="33">
        <v>3.2327559173638727E-2</v>
      </c>
      <c r="J42" s="38"/>
    </row>
    <row r="43" spans="1:10" x14ac:dyDescent="0.2">
      <c r="A43" s="63" t="s">
        <v>7</v>
      </c>
      <c r="B43" s="82">
        <v>1319</v>
      </c>
      <c r="C43" s="69">
        <v>0.23370887035633056</v>
      </c>
      <c r="D43" s="33">
        <v>4.4984836997725548E-2</v>
      </c>
      <c r="E43" s="33">
        <v>0.46096057619408648</v>
      </c>
      <c r="F43" s="33">
        <v>0.15038362395754359</v>
      </c>
      <c r="G43" s="33">
        <v>0.10996209249431388</v>
      </c>
      <c r="J43" s="38"/>
    </row>
    <row r="44" spans="1:10" x14ac:dyDescent="0.2">
      <c r="A44" s="63" t="s">
        <v>9</v>
      </c>
      <c r="B44" s="82">
        <v>23.975999999999999</v>
      </c>
      <c r="C44" s="69">
        <v>0.6090674007340674</v>
      </c>
      <c r="D44" s="33">
        <v>4.2125458792125455E-3</v>
      </c>
      <c r="E44" s="33">
        <v>0.31639973306639974</v>
      </c>
      <c r="F44" s="33">
        <v>7.0320320320320318E-2</v>
      </c>
      <c r="G44" s="33">
        <v>0</v>
      </c>
      <c r="J44" s="38"/>
    </row>
    <row r="45" spans="1:10" x14ac:dyDescent="0.2">
      <c r="A45" s="63" t="s">
        <v>16</v>
      </c>
      <c r="B45" s="82">
        <v>21.709</v>
      </c>
      <c r="C45" s="69">
        <v>3.6528628679349577E-2</v>
      </c>
      <c r="D45" s="33">
        <v>7.8308535630383712E-4</v>
      </c>
      <c r="E45" s="33">
        <v>0.93076604173384314</v>
      </c>
      <c r="F45" s="33">
        <v>6.1725551614537745E-3</v>
      </c>
      <c r="G45" s="33">
        <v>2.5749689069049706E-2</v>
      </c>
      <c r="J45" s="38"/>
    </row>
    <row r="46" spans="1:10" x14ac:dyDescent="0.2">
      <c r="A46" s="63" t="s">
        <v>10</v>
      </c>
      <c r="B46" s="82">
        <v>87.4</v>
      </c>
      <c r="C46" s="69">
        <v>0.89064073226544627</v>
      </c>
      <c r="D46" s="33">
        <v>5.9153318077803203E-3</v>
      </c>
      <c r="E46" s="33">
        <v>6.0183066361556067E-3</v>
      </c>
      <c r="F46" s="33">
        <v>2.5858123569794051E-3</v>
      </c>
      <c r="G46" s="33">
        <v>9.4839816933638438E-2</v>
      </c>
      <c r="J46" s="38"/>
    </row>
    <row r="47" spans="1:10" ht="13.5" x14ac:dyDescent="0.2">
      <c r="A47" s="63" t="s">
        <v>105</v>
      </c>
      <c r="B47" s="82">
        <v>415.428</v>
      </c>
      <c r="C47" s="69">
        <v>1.5567077808910328E-2</v>
      </c>
      <c r="D47" s="33">
        <v>8.7514563293759687E-2</v>
      </c>
      <c r="E47" s="33">
        <v>0.76974108630135663</v>
      </c>
      <c r="F47" s="33">
        <v>0</v>
      </c>
      <c r="G47" s="33">
        <v>0.12717727259597331</v>
      </c>
      <c r="J47" s="38"/>
    </row>
    <row r="48" spans="1:10" x14ac:dyDescent="0.2">
      <c r="A48" s="63" t="s">
        <v>13</v>
      </c>
      <c r="B48" s="82">
        <v>378.15499999999997</v>
      </c>
      <c r="C48" s="69">
        <v>4.436276130158269E-2</v>
      </c>
      <c r="D48" s="33">
        <v>2.1464743293094102E-2</v>
      </c>
      <c r="E48" s="33">
        <v>0.56174320053946136</v>
      </c>
      <c r="F48" s="33">
        <v>0.22296941730242892</v>
      </c>
      <c r="G48" s="33">
        <v>0.14945987756343299</v>
      </c>
      <c r="J48" s="38"/>
    </row>
    <row r="49" spans="1:10" x14ac:dyDescent="0.2">
      <c r="A49" s="63" t="s">
        <v>17</v>
      </c>
      <c r="B49" s="82">
        <v>993.46100000000001</v>
      </c>
      <c r="C49" s="69">
        <v>5.3067005146653964E-3</v>
      </c>
      <c r="D49" s="33">
        <v>0.19064462520421036</v>
      </c>
      <c r="E49" s="33">
        <v>0.67938348863216569</v>
      </c>
      <c r="F49" s="33">
        <v>5.1864139608902612E-2</v>
      </c>
      <c r="G49" s="33">
        <v>7.2801046040055925E-2</v>
      </c>
      <c r="J49" s="38"/>
    </row>
    <row r="50" spans="1:10" x14ac:dyDescent="0.2">
      <c r="A50" s="63" t="s">
        <v>5</v>
      </c>
      <c r="B50" s="82">
        <v>0.28499999999999998</v>
      </c>
      <c r="C50" s="69">
        <v>0</v>
      </c>
      <c r="D50" s="33">
        <v>1.0000000000000002</v>
      </c>
      <c r="E50" s="33">
        <v>0</v>
      </c>
      <c r="F50" s="33">
        <v>0</v>
      </c>
      <c r="G50" s="33">
        <v>0</v>
      </c>
      <c r="J50" s="38"/>
    </row>
    <row r="51" spans="1:10" x14ac:dyDescent="0.2">
      <c r="A51" s="63" t="s">
        <v>20</v>
      </c>
      <c r="B51" s="82">
        <v>19.952000000000002</v>
      </c>
      <c r="C51" s="69">
        <v>9.2221331194867664E-3</v>
      </c>
      <c r="D51" s="33">
        <v>2.24037690457097E-2</v>
      </c>
      <c r="E51" s="33">
        <v>0.93795108259823567</v>
      </c>
      <c r="F51" s="33">
        <v>3.042301523656776E-2</v>
      </c>
      <c r="G51" s="33">
        <v>0</v>
      </c>
      <c r="J51" s="38"/>
    </row>
    <row r="52" spans="1:10" x14ac:dyDescent="0.2">
      <c r="A52" s="63" t="s">
        <v>18</v>
      </c>
      <c r="B52" s="82">
        <v>39.402999999999999</v>
      </c>
      <c r="C52" s="69">
        <v>7.1821942491688455E-3</v>
      </c>
      <c r="D52" s="33">
        <v>0.16699236098774203</v>
      </c>
      <c r="E52" s="33">
        <v>0.78562545999035605</v>
      </c>
      <c r="F52" s="33">
        <v>4.0199984772733038E-2</v>
      </c>
      <c r="G52" s="33">
        <v>0</v>
      </c>
      <c r="J52" s="38"/>
    </row>
    <row r="53" spans="1:10" x14ac:dyDescent="0.2">
      <c r="A53" s="63" t="s">
        <v>19</v>
      </c>
      <c r="B53" s="82">
        <v>4.1449999999999996</v>
      </c>
      <c r="C53" s="69">
        <v>0</v>
      </c>
      <c r="D53" s="33">
        <v>0</v>
      </c>
      <c r="E53" s="33">
        <v>0.89915560916767201</v>
      </c>
      <c r="F53" s="33">
        <v>0.10084439083232812</v>
      </c>
      <c r="G53" s="33">
        <v>0</v>
      </c>
      <c r="J53" s="38"/>
    </row>
    <row r="54" spans="1:10" x14ac:dyDescent="0.2">
      <c r="A54" s="63" t="s">
        <v>15</v>
      </c>
      <c r="B54" s="82">
        <v>104.39700000000001</v>
      </c>
      <c r="C54" s="69">
        <v>6.269337241491614E-2</v>
      </c>
      <c r="D54" s="33">
        <v>1.5996628255601213E-3</v>
      </c>
      <c r="E54" s="33">
        <v>0.82039713784878865</v>
      </c>
      <c r="F54" s="33">
        <v>3.3841968638945556E-2</v>
      </c>
      <c r="G54" s="33">
        <v>8.1467858271789415E-2</v>
      </c>
      <c r="J54" s="38"/>
    </row>
    <row r="55" spans="1:10" x14ac:dyDescent="0.2">
      <c r="A55" s="63" t="s">
        <v>21</v>
      </c>
      <c r="B55" s="82">
        <v>0</v>
      </c>
      <c r="C55" s="69">
        <v>0</v>
      </c>
      <c r="D55" s="33">
        <v>0</v>
      </c>
      <c r="E55" s="33">
        <v>0</v>
      </c>
      <c r="F55" s="33">
        <v>0</v>
      </c>
      <c r="G55" s="33">
        <v>0</v>
      </c>
      <c r="J55" s="38"/>
    </row>
    <row r="56" spans="1:10" x14ac:dyDescent="0.2">
      <c r="A56" s="63" t="s">
        <v>22</v>
      </c>
      <c r="B56" s="82">
        <v>585.34500000000003</v>
      </c>
      <c r="C56" s="69">
        <v>0.14705857229497132</v>
      </c>
      <c r="D56" s="33">
        <v>2.4696546481135055E-2</v>
      </c>
      <c r="E56" s="33">
        <v>0.70749387113582585</v>
      </c>
      <c r="F56" s="33">
        <v>5.1325286796675466E-2</v>
      </c>
      <c r="G56" s="33">
        <v>6.9425723291392266E-2</v>
      </c>
      <c r="J56" s="38"/>
    </row>
    <row r="57" spans="1:10" x14ac:dyDescent="0.2">
      <c r="A57" s="63" t="s">
        <v>2</v>
      </c>
      <c r="B57" s="82">
        <v>235.15600000000001</v>
      </c>
      <c r="C57" s="69">
        <v>0.1138223136981408</v>
      </c>
      <c r="D57" s="33">
        <v>8.9536307812686053E-2</v>
      </c>
      <c r="E57" s="33">
        <v>0.38560785180901191</v>
      </c>
      <c r="F57" s="33">
        <v>0.27205769786864892</v>
      </c>
      <c r="G57" s="33">
        <v>0.13897582881151235</v>
      </c>
      <c r="J57" s="38"/>
    </row>
    <row r="58" spans="1:10" x14ac:dyDescent="0.2">
      <c r="A58" s="63" t="s">
        <v>24</v>
      </c>
      <c r="B58" s="82">
        <v>1508.383</v>
      </c>
      <c r="C58" s="69">
        <v>0.91115784253733967</v>
      </c>
      <c r="D58" s="33">
        <v>2.8816288701211827E-2</v>
      </c>
      <c r="E58" s="33">
        <v>2.489553382662096E-2</v>
      </c>
      <c r="F58" s="33">
        <v>1.916555675846254E-2</v>
      </c>
      <c r="G58" s="33">
        <v>1.5964778176365022E-2</v>
      </c>
      <c r="J58" s="38"/>
    </row>
    <row r="59" spans="1:10" x14ac:dyDescent="0.2">
      <c r="A59" s="63" t="s">
        <v>25</v>
      </c>
      <c r="B59" s="82">
        <v>106.098</v>
      </c>
      <c r="C59" s="69">
        <v>0</v>
      </c>
      <c r="D59" s="33">
        <v>0.33867744915078513</v>
      </c>
      <c r="E59" s="33">
        <v>0.23766706252709757</v>
      </c>
      <c r="F59" s="33">
        <v>0.37652924654564646</v>
      </c>
      <c r="G59" s="33">
        <v>4.7126241776470811E-2</v>
      </c>
      <c r="J59" s="38"/>
    </row>
    <row r="60" spans="1:10" x14ac:dyDescent="0.2">
      <c r="A60" s="63" t="s">
        <v>26</v>
      </c>
      <c r="B60" s="82">
        <v>221.417</v>
      </c>
      <c r="C60" s="69">
        <v>0.52143692670391162</v>
      </c>
      <c r="D60" s="33">
        <v>6.1571604709665474E-2</v>
      </c>
      <c r="E60" s="33">
        <v>0.40764710930055054</v>
      </c>
      <c r="F60" s="33">
        <v>0</v>
      </c>
      <c r="G60" s="33">
        <v>9.344359285872357E-3</v>
      </c>
      <c r="J60" s="38"/>
    </row>
    <row r="61" spans="1:10" x14ac:dyDescent="0.2">
      <c r="A61" s="63" t="s">
        <v>28</v>
      </c>
      <c r="B61" s="82">
        <v>64.230999999999995</v>
      </c>
      <c r="C61" s="69">
        <v>0.86590587099687066</v>
      </c>
      <c r="D61" s="33">
        <v>3.7520823278479241E-3</v>
      </c>
      <c r="E61" s="33">
        <v>9.5561333312574936E-2</v>
      </c>
      <c r="F61" s="33">
        <v>3.2616649281499592E-2</v>
      </c>
      <c r="G61" s="33">
        <v>2.1640640812068939E-3</v>
      </c>
      <c r="J61" s="38"/>
    </row>
    <row r="62" spans="1:10" x14ac:dyDescent="0.2">
      <c r="A62" s="63" t="s">
        <v>55</v>
      </c>
      <c r="B62" s="82">
        <v>242.977</v>
      </c>
      <c r="C62" s="69">
        <v>0.24101869724294891</v>
      </c>
      <c r="D62" s="33">
        <v>1.7569564197434325E-2</v>
      </c>
      <c r="E62" s="33">
        <v>9.7889923737637718E-2</v>
      </c>
      <c r="F62" s="33">
        <v>1.2087563843491359E-2</v>
      </c>
      <c r="G62" s="33">
        <v>0.6314342509784876</v>
      </c>
      <c r="J62" s="38"/>
    </row>
    <row r="63" spans="1:10" x14ac:dyDescent="0.2">
      <c r="A63" s="63" t="s">
        <v>12</v>
      </c>
      <c r="B63" s="117">
        <v>511.07299999999998</v>
      </c>
      <c r="C63" s="118">
        <v>0.31759259440432192</v>
      </c>
      <c r="D63" s="120">
        <v>1.9320136262334343E-2</v>
      </c>
      <c r="E63" s="120">
        <v>0.19998317265830909</v>
      </c>
      <c r="F63" s="120">
        <v>0.43931297485877752</v>
      </c>
      <c r="G63" s="120">
        <v>2.3791121816257171E-2</v>
      </c>
      <c r="J63" s="38"/>
    </row>
    <row r="64" spans="1:10" x14ac:dyDescent="0.2">
      <c r="A64" s="64" t="s">
        <v>27</v>
      </c>
      <c r="B64" s="90">
        <v>241.291</v>
      </c>
      <c r="C64" s="91">
        <v>7.5999519252686595E-2</v>
      </c>
      <c r="D64" s="34">
        <v>7.350046209763314E-2</v>
      </c>
      <c r="E64" s="34">
        <v>5.2608675831257695E-2</v>
      </c>
      <c r="F64" s="34">
        <v>0.72780584439535667</v>
      </c>
      <c r="G64" s="34">
        <v>7.0085498423065926E-2</v>
      </c>
      <c r="J64" s="38"/>
    </row>
    <row r="65" spans="1:10" x14ac:dyDescent="0.2">
      <c r="A65" s="32" t="s">
        <v>29</v>
      </c>
      <c r="B65" s="83">
        <v>318.53500000000003</v>
      </c>
      <c r="C65" s="70">
        <v>4.0544995055488406E-2</v>
      </c>
      <c r="D65" s="65">
        <v>2.0977286640400581E-2</v>
      </c>
      <c r="E65" s="65">
        <v>0.69874268133800044</v>
      </c>
      <c r="F65" s="65">
        <v>2.3548432668309603E-2</v>
      </c>
      <c r="G65" s="65">
        <v>0.21618660429780084</v>
      </c>
      <c r="J65" s="38"/>
    </row>
    <row r="66" spans="1:10" x14ac:dyDescent="0.2">
      <c r="A66" s="25" t="s">
        <v>23</v>
      </c>
      <c r="B66" s="176">
        <v>4.7729999999999997</v>
      </c>
      <c r="C66" s="177">
        <v>0.15671485438927299</v>
      </c>
      <c r="D66" s="36">
        <v>0</v>
      </c>
      <c r="E66" s="36">
        <v>3.5617012361198407E-3</v>
      </c>
      <c r="F66" s="36">
        <v>0.41986172218730361</v>
      </c>
      <c r="G66" s="36">
        <v>0.41986172218730361</v>
      </c>
      <c r="J66" s="38"/>
    </row>
    <row r="67" spans="1:10" x14ac:dyDescent="0.2">
      <c r="A67" s="106" t="s">
        <v>56</v>
      </c>
      <c r="B67" s="107">
        <v>291.08499999999998</v>
      </c>
      <c r="C67" s="110">
        <v>6.5403576274971231E-2</v>
      </c>
      <c r="D67" s="108">
        <v>0.14181424669769999</v>
      </c>
      <c r="E67" s="108">
        <v>0.70101516739096836</v>
      </c>
      <c r="F67" s="108">
        <v>5.0844255114485459E-3</v>
      </c>
      <c r="G67" s="108">
        <v>8.6682584124911963E-2</v>
      </c>
      <c r="J67" s="38"/>
    </row>
    <row r="68" spans="1:10" x14ac:dyDescent="0.2">
      <c r="A68" s="25"/>
      <c r="B68" s="26"/>
      <c r="C68" s="27"/>
      <c r="D68" s="27"/>
      <c r="E68" s="27"/>
      <c r="F68" s="31"/>
      <c r="G68" s="31"/>
    </row>
    <row r="69" spans="1:10" ht="13.5" x14ac:dyDescent="0.2">
      <c r="A69" s="39" t="s">
        <v>106</v>
      </c>
      <c r="B69" s="26"/>
      <c r="C69" s="27"/>
      <c r="D69" s="27"/>
      <c r="E69" s="27"/>
      <c r="F69" s="31"/>
      <c r="G69" s="31"/>
    </row>
    <row r="70" spans="1:10" ht="13.5" x14ac:dyDescent="0.2">
      <c r="A70" s="39" t="s">
        <v>99</v>
      </c>
    </row>
    <row r="71" spans="1:10" ht="13.5" x14ac:dyDescent="0.2">
      <c r="A71" s="39" t="s">
        <v>100</v>
      </c>
    </row>
    <row r="72" spans="1:10" ht="13.5" x14ac:dyDescent="0.2">
      <c r="A72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72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256" width="9.140625" style="38"/>
    <col min="257" max="257" width="21.7109375" style="38" customWidth="1"/>
    <col min="258" max="258" width="9.7109375" style="38" customWidth="1"/>
    <col min="259" max="261" width="9.140625" style="38"/>
    <col min="262" max="262" width="10.7109375" style="38" customWidth="1"/>
    <col min="263" max="263" width="9.5703125" style="38" customWidth="1"/>
    <col min="264" max="512" width="9.140625" style="38"/>
    <col min="513" max="513" width="21.7109375" style="38" customWidth="1"/>
    <col min="514" max="514" width="9.7109375" style="38" customWidth="1"/>
    <col min="515" max="517" width="9.140625" style="38"/>
    <col min="518" max="518" width="10.7109375" style="38" customWidth="1"/>
    <col min="519" max="519" width="9.5703125" style="38" customWidth="1"/>
    <col min="520" max="768" width="9.140625" style="38"/>
    <col min="769" max="769" width="21.7109375" style="38" customWidth="1"/>
    <col min="770" max="770" width="9.7109375" style="38" customWidth="1"/>
    <col min="771" max="773" width="9.140625" style="38"/>
    <col min="774" max="774" width="10.7109375" style="38" customWidth="1"/>
    <col min="775" max="775" width="9.5703125" style="38" customWidth="1"/>
    <col min="776" max="1024" width="9.140625" style="38"/>
    <col min="1025" max="1025" width="21.7109375" style="38" customWidth="1"/>
    <col min="1026" max="1026" width="9.7109375" style="38" customWidth="1"/>
    <col min="1027" max="1029" width="9.140625" style="38"/>
    <col min="1030" max="1030" width="10.7109375" style="38" customWidth="1"/>
    <col min="1031" max="1031" width="9.5703125" style="38" customWidth="1"/>
    <col min="1032" max="1280" width="9.140625" style="38"/>
    <col min="1281" max="1281" width="21.7109375" style="38" customWidth="1"/>
    <col min="1282" max="1282" width="9.7109375" style="38" customWidth="1"/>
    <col min="1283" max="1285" width="9.140625" style="38"/>
    <col min="1286" max="1286" width="10.7109375" style="38" customWidth="1"/>
    <col min="1287" max="1287" width="9.5703125" style="38" customWidth="1"/>
    <col min="1288" max="1536" width="9.140625" style="38"/>
    <col min="1537" max="1537" width="21.7109375" style="38" customWidth="1"/>
    <col min="1538" max="1538" width="9.7109375" style="38" customWidth="1"/>
    <col min="1539" max="1541" width="9.140625" style="38"/>
    <col min="1542" max="1542" width="10.7109375" style="38" customWidth="1"/>
    <col min="1543" max="1543" width="9.5703125" style="38" customWidth="1"/>
    <col min="1544" max="1792" width="9.140625" style="38"/>
    <col min="1793" max="1793" width="21.7109375" style="38" customWidth="1"/>
    <col min="1794" max="1794" width="9.7109375" style="38" customWidth="1"/>
    <col min="1795" max="1797" width="9.140625" style="38"/>
    <col min="1798" max="1798" width="10.7109375" style="38" customWidth="1"/>
    <col min="1799" max="1799" width="9.5703125" style="38" customWidth="1"/>
    <col min="1800" max="2048" width="9.140625" style="38"/>
    <col min="2049" max="2049" width="21.7109375" style="38" customWidth="1"/>
    <col min="2050" max="2050" width="9.7109375" style="38" customWidth="1"/>
    <col min="2051" max="2053" width="9.140625" style="38"/>
    <col min="2054" max="2054" width="10.7109375" style="38" customWidth="1"/>
    <col min="2055" max="2055" width="9.5703125" style="38" customWidth="1"/>
    <col min="2056" max="2304" width="9.140625" style="38"/>
    <col min="2305" max="2305" width="21.7109375" style="38" customWidth="1"/>
    <col min="2306" max="2306" width="9.7109375" style="38" customWidth="1"/>
    <col min="2307" max="2309" width="9.140625" style="38"/>
    <col min="2310" max="2310" width="10.7109375" style="38" customWidth="1"/>
    <col min="2311" max="2311" width="9.5703125" style="38" customWidth="1"/>
    <col min="2312" max="2560" width="9.140625" style="38"/>
    <col min="2561" max="2561" width="21.7109375" style="38" customWidth="1"/>
    <col min="2562" max="2562" width="9.7109375" style="38" customWidth="1"/>
    <col min="2563" max="2565" width="9.140625" style="38"/>
    <col min="2566" max="2566" width="10.7109375" style="38" customWidth="1"/>
    <col min="2567" max="2567" width="9.5703125" style="38" customWidth="1"/>
    <col min="2568" max="2816" width="9.140625" style="38"/>
    <col min="2817" max="2817" width="21.7109375" style="38" customWidth="1"/>
    <col min="2818" max="2818" width="9.7109375" style="38" customWidth="1"/>
    <col min="2819" max="2821" width="9.140625" style="38"/>
    <col min="2822" max="2822" width="10.7109375" style="38" customWidth="1"/>
    <col min="2823" max="2823" width="9.5703125" style="38" customWidth="1"/>
    <col min="2824" max="3072" width="9.140625" style="38"/>
    <col min="3073" max="3073" width="21.7109375" style="38" customWidth="1"/>
    <col min="3074" max="3074" width="9.7109375" style="38" customWidth="1"/>
    <col min="3075" max="3077" width="9.140625" style="38"/>
    <col min="3078" max="3078" width="10.7109375" style="38" customWidth="1"/>
    <col min="3079" max="3079" width="9.5703125" style="38" customWidth="1"/>
    <col min="3080" max="3328" width="9.140625" style="38"/>
    <col min="3329" max="3329" width="21.7109375" style="38" customWidth="1"/>
    <col min="3330" max="3330" width="9.7109375" style="38" customWidth="1"/>
    <col min="3331" max="3333" width="9.140625" style="38"/>
    <col min="3334" max="3334" width="10.7109375" style="38" customWidth="1"/>
    <col min="3335" max="3335" width="9.5703125" style="38" customWidth="1"/>
    <col min="3336" max="3584" width="9.140625" style="38"/>
    <col min="3585" max="3585" width="21.7109375" style="38" customWidth="1"/>
    <col min="3586" max="3586" width="9.7109375" style="38" customWidth="1"/>
    <col min="3587" max="3589" width="9.140625" style="38"/>
    <col min="3590" max="3590" width="10.7109375" style="38" customWidth="1"/>
    <col min="3591" max="3591" width="9.5703125" style="38" customWidth="1"/>
    <col min="3592" max="3840" width="9.140625" style="38"/>
    <col min="3841" max="3841" width="21.7109375" style="38" customWidth="1"/>
    <col min="3842" max="3842" width="9.7109375" style="38" customWidth="1"/>
    <col min="3843" max="3845" width="9.140625" style="38"/>
    <col min="3846" max="3846" width="10.7109375" style="38" customWidth="1"/>
    <col min="3847" max="3847" width="9.5703125" style="38" customWidth="1"/>
    <col min="3848" max="4096" width="9.140625" style="38"/>
    <col min="4097" max="4097" width="21.7109375" style="38" customWidth="1"/>
    <col min="4098" max="4098" width="9.7109375" style="38" customWidth="1"/>
    <col min="4099" max="4101" width="9.140625" style="38"/>
    <col min="4102" max="4102" width="10.7109375" style="38" customWidth="1"/>
    <col min="4103" max="4103" width="9.5703125" style="38" customWidth="1"/>
    <col min="4104" max="4352" width="9.140625" style="38"/>
    <col min="4353" max="4353" width="21.7109375" style="38" customWidth="1"/>
    <col min="4354" max="4354" width="9.7109375" style="38" customWidth="1"/>
    <col min="4355" max="4357" width="9.140625" style="38"/>
    <col min="4358" max="4358" width="10.7109375" style="38" customWidth="1"/>
    <col min="4359" max="4359" width="9.5703125" style="38" customWidth="1"/>
    <col min="4360" max="4608" width="9.140625" style="38"/>
    <col min="4609" max="4609" width="21.7109375" style="38" customWidth="1"/>
    <col min="4610" max="4610" width="9.7109375" style="38" customWidth="1"/>
    <col min="4611" max="4613" width="9.140625" style="38"/>
    <col min="4614" max="4614" width="10.7109375" style="38" customWidth="1"/>
    <col min="4615" max="4615" width="9.5703125" style="38" customWidth="1"/>
    <col min="4616" max="4864" width="9.140625" style="38"/>
    <col min="4865" max="4865" width="21.7109375" style="38" customWidth="1"/>
    <col min="4866" max="4866" width="9.7109375" style="38" customWidth="1"/>
    <col min="4867" max="4869" width="9.140625" style="38"/>
    <col min="4870" max="4870" width="10.7109375" style="38" customWidth="1"/>
    <col min="4871" max="4871" width="9.5703125" style="38" customWidth="1"/>
    <col min="4872" max="5120" width="9.140625" style="38"/>
    <col min="5121" max="5121" width="21.7109375" style="38" customWidth="1"/>
    <col min="5122" max="5122" width="9.7109375" style="38" customWidth="1"/>
    <col min="5123" max="5125" width="9.140625" style="38"/>
    <col min="5126" max="5126" width="10.7109375" style="38" customWidth="1"/>
    <col min="5127" max="5127" width="9.5703125" style="38" customWidth="1"/>
    <col min="5128" max="5376" width="9.140625" style="38"/>
    <col min="5377" max="5377" width="21.7109375" style="38" customWidth="1"/>
    <col min="5378" max="5378" width="9.7109375" style="38" customWidth="1"/>
    <col min="5379" max="5381" width="9.140625" style="38"/>
    <col min="5382" max="5382" width="10.7109375" style="38" customWidth="1"/>
    <col min="5383" max="5383" width="9.5703125" style="38" customWidth="1"/>
    <col min="5384" max="5632" width="9.140625" style="38"/>
    <col min="5633" max="5633" width="21.7109375" style="38" customWidth="1"/>
    <col min="5634" max="5634" width="9.7109375" style="38" customWidth="1"/>
    <col min="5635" max="5637" width="9.140625" style="38"/>
    <col min="5638" max="5638" width="10.7109375" style="38" customWidth="1"/>
    <col min="5639" max="5639" width="9.5703125" style="38" customWidth="1"/>
    <col min="5640" max="5888" width="9.140625" style="38"/>
    <col min="5889" max="5889" width="21.7109375" style="38" customWidth="1"/>
    <col min="5890" max="5890" width="9.7109375" style="38" customWidth="1"/>
    <col min="5891" max="5893" width="9.140625" style="38"/>
    <col min="5894" max="5894" width="10.7109375" style="38" customWidth="1"/>
    <col min="5895" max="5895" width="9.5703125" style="38" customWidth="1"/>
    <col min="5896" max="6144" width="9.140625" style="38"/>
    <col min="6145" max="6145" width="21.7109375" style="38" customWidth="1"/>
    <col min="6146" max="6146" width="9.7109375" style="38" customWidth="1"/>
    <col min="6147" max="6149" width="9.140625" style="38"/>
    <col min="6150" max="6150" width="10.7109375" style="38" customWidth="1"/>
    <col min="6151" max="6151" width="9.5703125" style="38" customWidth="1"/>
    <col min="6152" max="6400" width="9.140625" style="38"/>
    <col min="6401" max="6401" width="21.7109375" style="38" customWidth="1"/>
    <col min="6402" max="6402" width="9.7109375" style="38" customWidth="1"/>
    <col min="6403" max="6405" width="9.140625" style="38"/>
    <col min="6406" max="6406" width="10.7109375" style="38" customWidth="1"/>
    <col min="6407" max="6407" width="9.5703125" style="38" customWidth="1"/>
    <col min="6408" max="6656" width="9.140625" style="38"/>
    <col min="6657" max="6657" width="21.7109375" style="38" customWidth="1"/>
    <col min="6658" max="6658" width="9.7109375" style="38" customWidth="1"/>
    <col min="6659" max="6661" width="9.140625" style="38"/>
    <col min="6662" max="6662" width="10.7109375" style="38" customWidth="1"/>
    <col min="6663" max="6663" width="9.5703125" style="38" customWidth="1"/>
    <col min="6664" max="6912" width="9.140625" style="38"/>
    <col min="6913" max="6913" width="21.7109375" style="38" customWidth="1"/>
    <col min="6914" max="6914" width="9.7109375" style="38" customWidth="1"/>
    <col min="6915" max="6917" width="9.140625" style="38"/>
    <col min="6918" max="6918" width="10.7109375" style="38" customWidth="1"/>
    <col min="6919" max="6919" width="9.5703125" style="38" customWidth="1"/>
    <col min="6920" max="7168" width="9.140625" style="38"/>
    <col min="7169" max="7169" width="21.7109375" style="38" customWidth="1"/>
    <col min="7170" max="7170" width="9.7109375" style="38" customWidth="1"/>
    <col min="7171" max="7173" width="9.140625" style="38"/>
    <col min="7174" max="7174" width="10.7109375" style="38" customWidth="1"/>
    <col min="7175" max="7175" width="9.5703125" style="38" customWidth="1"/>
    <col min="7176" max="7424" width="9.140625" style="38"/>
    <col min="7425" max="7425" width="21.7109375" style="38" customWidth="1"/>
    <col min="7426" max="7426" width="9.7109375" style="38" customWidth="1"/>
    <col min="7427" max="7429" width="9.140625" style="38"/>
    <col min="7430" max="7430" width="10.7109375" style="38" customWidth="1"/>
    <col min="7431" max="7431" width="9.5703125" style="38" customWidth="1"/>
    <col min="7432" max="7680" width="9.140625" style="38"/>
    <col min="7681" max="7681" width="21.7109375" style="38" customWidth="1"/>
    <col min="7682" max="7682" width="9.7109375" style="38" customWidth="1"/>
    <col min="7683" max="7685" width="9.140625" style="38"/>
    <col min="7686" max="7686" width="10.7109375" style="38" customWidth="1"/>
    <col min="7687" max="7687" width="9.5703125" style="38" customWidth="1"/>
    <col min="7688" max="7936" width="9.140625" style="38"/>
    <col min="7937" max="7937" width="21.7109375" style="38" customWidth="1"/>
    <col min="7938" max="7938" width="9.7109375" style="38" customWidth="1"/>
    <col min="7939" max="7941" width="9.140625" style="38"/>
    <col min="7942" max="7942" width="10.7109375" style="38" customWidth="1"/>
    <col min="7943" max="7943" width="9.5703125" style="38" customWidth="1"/>
    <col min="7944" max="8192" width="9.140625" style="38"/>
    <col min="8193" max="8193" width="21.7109375" style="38" customWidth="1"/>
    <col min="8194" max="8194" width="9.7109375" style="38" customWidth="1"/>
    <col min="8195" max="8197" width="9.140625" style="38"/>
    <col min="8198" max="8198" width="10.7109375" style="38" customWidth="1"/>
    <col min="8199" max="8199" width="9.5703125" style="38" customWidth="1"/>
    <col min="8200" max="8448" width="9.140625" style="38"/>
    <col min="8449" max="8449" width="21.7109375" style="38" customWidth="1"/>
    <col min="8450" max="8450" width="9.7109375" style="38" customWidth="1"/>
    <col min="8451" max="8453" width="9.140625" style="38"/>
    <col min="8454" max="8454" width="10.7109375" style="38" customWidth="1"/>
    <col min="8455" max="8455" width="9.5703125" style="38" customWidth="1"/>
    <col min="8456" max="8704" width="9.140625" style="38"/>
    <col min="8705" max="8705" width="21.7109375" style="38" customWidth="1"/>
    <col min="8706" max="8706" width="9.7109375" style="38" customWidth="1"/>
    <col min="8707" max="8709" width="9.140625" style="38"/>
    <col min="8710" max="8710" width="10.7109375" style="38" customWidth="1"/>
    <col min="8711" max="8711" width="9.5703125" style="38" customWidth="1"/>
    <col min="8712" max="8960" width="9.140625" style="38"/>
    <col min="8961" max="8961" width="21.7109375" style="38" customWidth="1"/>
    <col min="8962" max="8962" width="9.7109375" style="38" customWidth="1"/>
    <col min="8963" max="8965" width="9.140625" style="38"/>
    <col min="8966" max="8966" width="10.7109375" style="38" customWidth="1"/>
    <col min="8967" max="8967" width="9.5703125" style="38" customWidth="1"/>
    <col min="8968" max="9216" width="9.140625" style="38"/>
    <col min="9217" max="9217" width="21.7109375" style="38" customWidth="1"/>
    <col min="9218" max="9218" width="9.7109375" style="38" customWidth="1"/>
    <col min="9219" max="9221" width="9.140625" style="38"/>
    <col min="9222" max="9222" width="10.7109375" style="38" customWidth="1"/>
    <col min="9223" max="9223" width="9.5703125" style="38" customWidth="1"/>
    <col min="9224" max="9472" width="9.140625" style="38"/>
    <col min="9473" max="9473" width="21.7109375" style="38" customWidth="1"/>
    <col min="9474" max="9474" width="9.7109375" style="38" customWidth="1"/>
    <col min="9475" max="9477" width="9.140625" style="38"/>
    <col min="9478" max="9478" width="10.7109375" style="38" customWidth="1"/>
    <col min="9479" max="9479" width="9.5703125" style="38" customWidth="1"/>
    <col min="9480" max="9728" width="9.140625" style="38"/>
    <col min="9729" max="9729" width="21.7109375" style="38" customWidth="1"/>
    <col min="9730" max="9730" width="9.7109375" style="38" customWidth="1"/>
    <col min="9731" max="9733" width="9.140625" style="38"/>
    <col min="9734" max="9734" width="10.7109375" style="38" customWidth="1"/>
    <col min="9735" max="9735" width="9.5703125" style="38" customWidth="1"/>
    <col min="9736" max="9984" width="9.140625" style="38"/>
    <col min="9985" max="9985" width="21.7109375" style="38" customWidth="1"/>
    <col min="9986" max="9986" width="9.7109375" style="38" customWidth="1"/>
    <col min="9987" max="9989" width="9.140625" style="38"/>
    <col min="9990" max="9990" width="10.7109375" style="38" customWidth="1"/>
    <col min="9991" max="9991" width="9.5703125" style="38" customWidth="1"/>
    <col min="9992" max="10240" width="9.140625" style="38"/>
    <col min="10241" max="10241" width="21.7109375" style="38" customWidth="1"/>
    <col min="10242" max="10242" width="9.7109375" style="38" customWidth="1"/>
    <col min="10243" max="10245" width="9.140625" style="38"/>
    <col min="10246" max="10246" width="10.7109375" style="38" customWidth="1"/>
    <col min="10247" max="10247" width="9.5703125" style="38" customWidth="1"/>
    <col min="10248" max="10496" width="9.140625" style="38"/>
    <col min="10497" max="10497" width="21.7109375" style="38" customWidth="1"/>
    <col min="10498" max="10498" width="9.7109375" style="38" customWidth="1"/>
    <col min="10499" max="10501" width="9.140625" style="38"/>
    <col min="10502" max="10502" width="10.7109375" style="38" customWidth="1"/>
    <col min="10503" max="10503" width="9.5703125" style="38" customWidth="1"/>
    <col min="10504" max="10752" width="9.140625" style="38"/>
    <col min="10753" max="10753" width="21.7109375" style="38" customWidth="1"/>
    <col min="10754" max="10754" width="9.7109375" style="38" customWidth="1"/>
    <col min="10755" max="10757" width="9.140625" style="38"/>
    <col min="10758" max="10758" width="10.7109375" style="38" customWidth="1"/>
    <col min="10759" max="10759" width="9.5703125" style="38" customWidth="1"/>
    <col min="10760" max="11008" width="9.140625" style="38"/>
    <col min="11009" max="11009" width="21.7109375" style="38" customWidth="1"/>
    <col min="11010" max="11010" width="9.7109375" style="38" customWidth="1"/>
    <col min="11011" max="11013" width="9.140625" style="38"/>
    <col min="11014" max="11014" width="10.7109375" style="38" customWidth="1"/>
    <col min="11015" max="11015" width="9.5703125" style="38" customWidth="1"/>
    <col min="11016" max="11264" width="9.140625" style="38"/>
    <col min="11265" max="11265" width="21.7109375" style="38" customWidth="1"/>
    <col min="11266" max="11266" width="9.7109375" style="38" customWidth="1"/>
    <col min="11267" max="11269" width="9.140625" style="38"/>
    <col min="11270" max="11270" width="10.7109375" style="38" customWidth="1"/>
    <col min="11271" max="11271" width="9.5703125" style="38" customWidth="1"/>
    <col min="11272" max="11520" width="9.140625" style="38"/>
    <col min="11521" max="11521" width="21.7109375" style="38" customWidth="1"/>
    <col min="11522" max="11522" width="9.7109375" style="38" customWidth="1"/>
    <col min="11523" max="11525" width="9.140625" style="38"/>
    <col min="11526" max="11526" width="10.7109375" style="38" customWidth="1"/>
    <col min="11527" max="11527" width="9.5703125" style="38" customWidth="1"/>
    <col min="11528" max="11776" width="9.140625" style="38"/>
    <col min="11777" max="11777" width="21.7109375" style="38" customWidth="1"/>
    <col min="11778" max="11778" width="9.7109375" style="38" customWidth="1"/>
    <col min="11779" max="11781" width="9.140625" style="38"/>
    <col min="11782" max="11782" width="10.7109375" style="38" customWidth="1"/>
    <col min="11783" max="11783" width="9.5703125" style="38" customWidth="1"/>
    <col min="11784" max="12032" width="9.140625" style="38"/>
    <col min="12033" max="12033" width="21.7109375" style="38" customWidth="1"/>
    <col min="12034" max="12034" width="9.7109375" style="38" customWidth="1"/>
    <col min="12035" max="12037" width="9.140625" style="38"/>
    <col min="12038" max="12038" width="10.7109375" style="38" customWidth="1"/>
    <col min="12039" max="12039" width="9.5703125" style="38" customWidth="1"/>
    <col min="12040" max="12288" width="9.140625" style="38"/>
    <col min="12289" max="12289" width="21.7109375" style="38" customWidth="1"/>
    <col min="12290" max="12290" width="9.7109375" style="38" customWidth="1"/>
    <col min="12291" max="12293" width="9.140625" style="38"/>
    <col min="12294" max="12294" width="10.7109375" style="38" customWidth="1"/>
    <col min="12295" max="12295" width="9.5703125" style="38" customWidth="1"/>
    <col min="12296" max="12544" width="9.140625" style="38"/>
    <col min="12545" max="12545" width="21.7109375" style="38" customWidth="1"/>
    <col min="12546" max="12546" width="9.7109375" style="38" customWidth="1"/>
    <col min="12547" max="12549" width="9.140625" style="38"/>
    <col min="12550" max="12550" width="10.7109375" style="38" customWidth="1"/>
    <col min="12551" max="12551" width="9.5703125" style="38" customWidth="1"/>
    <col min="12552" max="12800" width="9.140625" style="38"/>
    <col min="12801" max="12801" width="21.7109375" style="38" customWidth="1"/>
    <col min="12802" max="12802" width="9.7109375" style="38" customWidth="1"/>
    <col min="12803" max="12805" width="9.140625" style="38"/>
    <col min="12806" max="12806" width="10.7109375" style="38" customWidth="1"/>
    <col min="12807" max="12807" width="9.5703125" style="38" customWidth="1"/>
    <col min="12808" max="13056" width="9.140625" style="38"/>
    <col min="13057" max="13057" width="21.7109375" style="38" customWidth="1"/>
    <col min="13058" max="13058" width="9.7109375" style="38" customWidth="1"/>
    <col min="13059" max="13061" width="9.140625" style="38"/>
    <col min="13062" max="13062" width="10.7109375" style="38" customWidth="1"/>
    <col min="13063" max="13063" width="9.5703125" style="38" customWidth="1"/>
    <col min="13064" max="13312" width="9.140625" style="38"/>
    <col min="13313" max="13313" width="21.7109375" style="38" customWidth="1"/>
    <col min="13314" max="13314" width="9.7109375" style="38" customWidth="1"/>
    <col min="13315" max="13317" width="9.140625" style="38"/>
    <col min="13318" max="13318" width="10.7109375" style="38" customWidth="1"/>
    <col min="13319" max="13319" width="9.5703125" style="38" customWidth="1"/>
    <col min="13320" max="13568" width="9.140625" style="38"/>
    <col min="13569" max="13569" width="21.7109375" style="38" customWidth="1"/>
    <col min="13570" max="13570" width="9.7109375" style="38" customWidth="1"/>
    <col min="13571" max="13573" width="9.140625" style="38"/>
    <col min="13574" max="13574" width="10.7109375" style="38" customWidth="1"/>
    <col min="13575" max="13575" width="9.5703125" style="38" customWidth="1"/>
    <col min="13576" max="13824" width="9.140625" style="38"/>
    <col min="13825" max="13825" width="21.7109375" style="38" customWidth="1"/>
    <col min="13826" max="13826" width="9.7109375" style="38" customWidth="1"/>
    <col min="13827" max="13829" width="9.140625" style="38"/>
    <col min="13830" max="13830" width="10.7109375" style="38" customWidth="1"/>
    <col min="13831" max="13831" width="9.5703125" style="38" customWidth="1"/>
    <col min="13832" max="14080" width="9.140625" style="38"/>
    <col min="14081" max="14081" width="21.7109375" style="38" customWidth="1"/>
    <col min="14082" max="14082" width="9.7109375" style="38" customWidth="1"/>
    <col min="14083" max="14085" width="9.140625" style="38"/>
    <col min="14086" max="14086" width="10.7109375" style="38" customWidth="1"/>
    <col min="14087" max="14087" width="9.5703125" style="38" customWidth="1"/>
    <col min="14088" max="14336" width="9.140625" style="38"/>
    <col min="14337" max="14337" width="21.7109375" style="38" customWidth="1"/>
    <col min="14338" max="14338" width="9.7109375" style="38" customWidth="1"/>
    <col min="14339" max="14341" width="9.140625" style="38"/>
    <col min="14342" max="14342" width="10.7109375" style="38" customWidth="1"/>
    <col min="14343" max="14343" width="9.5703125" style="38" customWidth="1"/>
    <col min="14344" max="14592" width="9.140625" style="38"/>
    <col min="14593" max="14593" width="21.7109375" style="38" customWidth="1"/>
    <col min="14594" max="14594" width="9.7109375" style="38" customWidth="1"/>
    <col min="14595" max="14597" width="9.140625" style="38"/>
    <col min="14598" max="14598" width="10.7109375" style="38" customWidth="1"/>
    <col min="14599" max="14599" width="9.5703125" style="38" customWidth="1"/>
    <col min="14600" max="14848" width="9.140625" style="38"/>
    <col min="14849" max="14849" width="21.7109375" style="38" customWidth="1"/>
    <col min="14850" max="14850" width="9.7109375" style="38" customWidth="1"/>
    <col min="14851" max="14853" width="9.140625" style="38"/>
    <col min="14854" max="14854" width="10.7109375" style="38" customWidth="1"/>
    <col min="14855" max="14855" width="9.5703125" style="38" customWidth="1"/>
    <col min="14856" max="15104" width="9.140625" style="38"/>
    <col min="15105" max="15105" width="21.7109375" style="38" customWidth="1"/>
    <col min="15106" max="15106" width="9.7109375" style="38" customWidth="1"/>
    <col min="15107" max="15109" width="9.140625" style="38"/>
    <col min="15110" max="15110" width="10.7109375" style="38" customWidth="1"/>
    <col min="15111" max="15111" width="9.5703125" style="38" customWidth="1"/>
    <col min="15112" max="15360" width="9.140625" style="38"/>
    <col min="15361" max="15361" width="21.7109375" style="38" customWidth="1"/>
    <col min="15362" max="15362" width="9.7109375" style="38" customWidth="1"/>
    <col min="15363" max="15365" width="9.140625" style="38"/>
    <col min="15366" max="15366" width="10.7109375" style="38" customWidth="1"/>
    <col min="15367" max="15367" width="9.5703125" style="38" customWidth="1"/>
    <col min="15368" max="15616" width="9.140625" style="38"/>
    <col min="15617" max="15617" width="21.7109375" style="38" customWidth="1"/>
    <col min="15618" max="15618" width="9.7109375" style="38" customWidth="1"/>
    <col min="15619" max="15621" width="9.140625" style="38"/>
    <col min="15622" max="15622" width="10.7109375" style="38" customWidth="1"/>
    <col min="15623" max="15623" width="9.5703125" style="38" customWidth="1"/>
    <col min="15624" max="15872" width="9.140625" style="38"/>
    <col min="15873" max="15873" width="21.7109375" style="38" customWidth="1"/>
    <col min="15874" max="15874" width="9.7109375" style="38" customWidth="1"/>
    <col min="15875" max="15877" width="9.140625" style="38"/>
    <col min="15878" max="15878" width="10.7109375" style="38" customWidth="1"/>
    <col min="15879" max="15879" width="9.5703125" style="38" customWidth="1"/>
    <col min="15880" max="16128" width="9.140625" style="38"/>
    <col min="16129" max="16129" width="21.7109375" style="38" customWidth="1"/>
    <col min="16130" max="16130" width="9.7109375" style="38" customWidth="1"/>
    <col min="16131" max="16133" width="9.140625" style="38"/>
    <col min="16134" max="16134" width="10.7109375" style="38" customWidth="1"/>
    <col min="16135" max="16135" width="9.5703125" style="38" customWidth="1"/>
    <col min="16136" max="16384" width="9.140625" style="38"/>
  </cols>
  <sheetData>
    <row r="1" spans="1:10" ht="15.75" x14ac:dyDescent="0.25">
      <c r="A1" s="52" t="s">
        <v>70</v>
      </c>
      <c r="F1" s="37"/>
      <c r="G1" s="37"/>
    </row>
    <row r="2" spans="1:10" x14ac:dyDescent="0.2">
      <c r="F2" s="37"/>
      <c r="G2" s="37"/>
    </row>
    <row r="3" spans="1:10" ht="48" x14ac:dyDescent="0.2">
      <c r="A3" s="54">
        <v>2006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18"/>
    </row>
    <row r="4" spans="1:10" x14ac:dyDescent="0.2">
      <c r="A4" s="59" t="s">
        <v>50</v>
      </c>
      <c r="B4" s="130">
        <v>366.30200000000002</v>
      </c>
      <c r="C4" s="131" t="s">
        <v>1</v>
      </c>
      <c r="D4" s="132" t="s">
        <v>1</v>
      </c>
      <c r="E4" s="133">
        <v>0.10908474733751881</v>
      </c>
      <c r="F4" s="130">
        <v>134.24899999999997</v>
      </c>
      <c r="G4" s="134">
        <v>3107.2370000000001</v>
      </c>
      <c r="H4" s="135" t="s">
        <v>1</v>
      </c>
      <c r="I4" s="133" t="s">
        <v>1</v>
      </c>
      <c r="J4" s="26"/>
    </row>
    <row r="5" spans="1:10" x14ac:dyDescent="0.2">
      <c r="A5" s="61" t="s">
        <v>3</v>
      </c>
      <c r="B5" s="137">
        <v>7.4370000000000003</v>
      </c>
      <c r="C5" s="138">
        <v>0.6732553448971359</v>
      </c>
      <c r="D5" s="139">
        <v>0.32674465510286405</v>
      </c>
      <c r="E5" s="140">
        <v>8.6946863856900689E-2</v>
      </c>
      <c r="F5" s="137">
        <v>1.64</v>
      </c>
      <c r="G5" s="141">
        <v>74.450999999999993</v>
      </c>
      <c r="H5" s="142">
        <v>0.32037178815596834</v>
      </c>
      <c r="I5" s="140">
        <v>0.67962821184403166</v>
      </c>
      <c r="J5" s="26"/>
    </row>
    <row r="6" spans="1:10" x14ac:dyDescent="0.2">
      <c r="A6" s="63" t="s">
        <v>4</v>
      </c>
      <c r="B6" s="117">
        <v>2.766</v>
      </c>
      <c r="C6" s="118">
        <v>0.81561822125813443</v>
      </c>
      <c r="D6" s="119">
        <v>0.18438177874186551</v>
      </c>
      <c r="E6" s="120">
        <v>6.0336365421111184E-2</v>
      </c>
      <c r="F6" s="117">
        <v>1.1399999999999999</v>
      </c>
      <c r="G6" s="121">
        <v>47.97</v>
      </c>
      <c r="H6" s="122">
        <v>0.69161976235146971</v>
      </c>
      <c r="I6" s="120">
        <v>0.30838023764853034</v>
      </c>
      <c r="J6" s="26"/>
    </row>
    <row r="7" spans="1:10" ht="13.5" x14ac:dyDescent="0.2">
      <c r="A7" s="63" t="s">
        <v>107</v>
      </c>
      <c r="B7" s="117">
        <v>12.709</v>
      </c>
      <c r="C7" s="118">
        <v>0.70257297977810995</v>
      </c>
      <c r="D7" s="119">
        <v>0.29742702022188999</v>
      </c>
      <c r="E7" s="120">
        <v>0.15065018195611715</v>
      </c>
      <c r="F7" s="117">
        <v>4.87</v>
      </c>
      <c r="G7" s="121">
        <v>143.214</v>
      </c>
      <c r="H7" s="122">
        <v>0.60496878796765674</v>
      </c>
      <c r="I7" s="120">
        <v>0.3950312120323432</v>
      </c>
      <c r="J7" s="26"/>
    </row>
    <row r="8" spans="1:10" x14ac:dyDescent="0.2">
      <c r="A8" s="63" t="s">
        <v>8</v>
      </c>
      <c r="B8" s="117">
        <v>18.626000000000001</v>
      </c>
      <c r="C8" s="118" t="s">
        <v>1</v>
      </c>
      <c r="D8" s="119" t="s">
        <v>1</v>
      </c>
      <c r="E8" s="120">
        <v>0.4074284714323213</v>
      </c>
      <c r="F8" s="117">
        <v>5.7</v>
      </c>
      <c r="G8" s="121">
        <v>117.24299999999999</v>
      </c>
      <c r="H8" s="122" t="s">
        <v>1</v>
      </c>
      <c r="I8" s="120" t="s">
        <v>1</v>
      </c>
      <c r="J8" s="26"/>
    </row>
    <row r="9" spans="1:10" ht="13.5" x14ac:dyDescent="0.2">
      <c r="A9" s="63" t="s">
        <v>108</v>
      </c>
      <c r="B9" s="117">
        <v>79.721000000000004</v>
      </c>
      <c r="C9" s="118">
        <v>0.67736230102482409</v>
      </c>
      <c r="D9" s="119">
        <v>0.32263769897517591</v>
      </c>
      <c r="E9" s="120">
        <v>0.12522934338674208</v>
      </c>
      <c r="F9" s="117">
        <v>56.33</v>
      </c>
      <c r="G9" s="121">
        <v>646.50599999999997</v>
      </c>
      <c r="H9" s="122">
        <v>0.56473567144001757</v>
      </c>
      <c r="I9" s="120">
        <v>0.43526432855998243</v>
      </c>
      <c r="J9" s="26"/>
    </row>
    <row r="10" spans="1:10" ht="13.5" x14ac:dyDescent="0.2">
      <c r="A10" s="63" t="s">
        <v>102</v>
      </c>
      <c r="B10" s="117">
        <v>1.0429999999999999</v>
      </c>
      <c r="C10" s="118">
        <v>0.89261744966442957</v>
      </c>
      <c r="D10" s="119">
        <v>0.10738255033557047</v>
      </c>
      <c r="E10" s="120">
        <v>0.10718322885623266</v>
      </c>
      <c r="F10" s="117">
        <v>1.6</v>
      </c>
      <c r="G10" s="121">
        <v>11.587</v>
      </c>
      <c r="H10" s="122">
        <v>0.78286010183826704</v>
      </c>
      <c r="I10" s="120">
        <v>0.21713989816173299</v>
      </c>
      <c r="J10" s="26"/>
    </row>
    <row r="11" spans="1:10" ht="13.5" x14ac:dyDescent="0.2">
      <c r="A11" s="63" t="s">
        <v>94</v>
      </c>
      <c r="B11" s="117">
        <v>1.54</v>
      </c>
      <c r="C11" s="118">
        <v>0</v>
      </c>
      <c r="D11" s="119">
        <v>1</v>
      </c>
      <c r="E11" s="120">
        <v>5.6042796317187671E-2</v>
      </c>
      <c r="F11" s="117">
        <v>0.26200000000000001</v>
      </c>
      <c r="G11" s="121">
        <v>9.9550000000000001</v>
      </c>
      <c r="H11" s="122">
        <v>0</v>
      </c>
      <c r="I11" s="120">
        <v>1</v>
      </c>
      <c r="J11" s="26"/>
    </row>
    <row r="12" spans="1:10" x14ac:dyDescent="0.2">
      <c r="A12" s="63" t="s">
        <v>10</v>
      </c>
      <c r="B12" s="117">
        <v>1.05</v>
      </c>
      <c r="C12" s="118">
        <v>0.2</v>
      </c>
      <c r="D12" s="119">
        <v>0.8</v>
      </c>
      <c r="E12" s="120">
        <v>1.7272861866456102E-2</v>
      </c>
      <c r="F12" s="117">
        <v>0.25</v>
      </c>
      <c r="G12" s="121">
        <v>8.2799999999999994</v>
      </c>
      <c r="H12" s="122">
        <v>0.28345410628019324</v>
      </c>
      <c r="I12" s="120">
        <v>0.71654589371980681</v>
      </c>
      <c r="J12" s="26"/>
    </row>
    <row r="13" spans="1:10" x14ac:dyDescent="0.2">
      <c r="A13" s="63" t="s">
        <v>11</v>
      </c>
      <c r="B13" s="117">
        <v>21.937000000000001</v>
      </c>
      <c r="C13" s="118">
        <v>0</v>
      </c>
      <c r="D13" s="119">
        <v>1</v>
      </c>
      <c r="E13" s="120">
        <v>7.2397667380621575E-2</v>
      </c>
      <c r="F13" s="117">
        <v>3.8679999999999999</v>
      </c>
      <c r="G13" s="121">
        <v>188.83</v>
      </c>
      <c r="H13" s="122">
        <v>0</v>
      </c>
      <c r="I13" s="120">
        <v>1</v>
      </c>
      <c r="J13" s="26"/>
    </row>
    <row r="14" spans="1:10" x14ac:dyDescent="0.2">
      <c r="A14" s="63" t="s">
        <v>13</v>
      </c>
      <c r="B14" s="117">
        <v>18.422000000000001</v>
      </c>
      <c r="C14" s="118">
        <v>0.45299098903484963</v>
      </c>
      <c r="D14" s="119">
        <v>0.54700901096515031</v>
      </c>
      <c r="E14" s="120">
        <v>3.2067651569351388E-2</v>
      </c>
      <c r="F14" s="117">
        <v>5.7789999999999999</v>
      </c>
      <c r="G14" s="121">
        <v>187.386</v>
      </c>
      <c r="H14" s="122">
        <v>0.3019702645875359</v>
      </c>
      <c r="I14" s="120">
        <v>0.69802973541246416</v>
      </c>
      <c r="J14" s="26"/>
    </row>
    <row r="15" spans="1:10" x14ac:dyDescent="0.2">
      <c r="A15" s="63" t="s">
        <v>17</v>
      </c>
      <c r="B15" s="117">
        <v>30.888999999999999</v>
      </c>
      <c r="C15" s="118">
        <v>0.59088996082747902</v>
      </c>
      <c r="D15" s="119">
        <v>0.40911003917252098</v>
      </c>
      <c r="E15" s="120">
        <v>9.8334405103749495E-2</v>
      </c>
      <c r="F15" s="117">
        <v>6.24</v>
      </c>
      <c r="G15" s="121">
        <v>208.30099999999999</v>
      </c>
      <c r="H15" s="122">
        <v>0.396133479916083</v>
      </c>
      <c r="I15" s="120">
        <v>0.60386652008391706</v>
      </c>
      <c r="J15" s="26"/>
    </row>
    <row r="16" spans="1:10" x14ac:dyDescent="0.2">
      <c r="A16" s="63" t="s">
        <v>5</v>
      </c>
      <c r="B16" s="117">
        <v>1.4E-2</v>
      </c>
      <c r="C16" s="118">
        <v>0</v>
      </c>
      <c r="D16" s="119">
        <v>1</v>
      </c>
      <c r="E16" s="120">
        <v>3.0094582975064487E-3</v>
      </c>
      <c r="F16" s="117">
        <v>5.0000000000000001E-3</v>
      </c>
      <c r="G16" s="121">
        <v>6.7000000000000004E-2</v>
      </c>
      <c r="H16" s="122">
        <v>0</v>
      </c>
      <c r="I16" s="120">
        <v>1</v>
      </c>
      <c r="J16" s="26"/>
    </row>
    <row r="17" spans="1:10" ht="13.5" x14ac:dyDescent="0.2">
      <c r="A17" s="63" t="s">
        <v>109</v>
      </c>
      <c r="B17" s="117">
        <v>2.0840000000000001</v>
      </c>
      <c r="C17" s="118">
        <v>0.97456813819577737</v>
      </c>
      <c r="D17" s="119">
        <v>2.543186180422265E-2</v>
      </c>
      <c r="E17" s="120">
        <v>0.42608873441014106</v>
      </c>
      <c r="F17" s="117">
        <v>0.58799999999999997</v>
      </c>
      <c r="G17" s="121">
        <v>12.077999999999999</v>
      </c>
      <c r="H17" s="122">
        <v>0.99561185626759396</v>
      </c>
      <c r="I17" s="120">
        <v>4.3881437324060279E-3</v>
      </c>
      <c r="J17" s="26"/>
    </row>
    <row r="18" spans="1:10" x14ac:dyDescent="0.2">
      <c r="A18" s="63" t="s">
        <v>18</v>
      </c>
      <c r="B18" s="117">
        <v>1.784</v>
      </c>
      <c r="C18" s="118">
        <v>0.905829596412556</v>
      </c>
      <c r="D18" s="119">
        <v>9.417040358744394E-2</v>
      </c>
      <c r="E18" s="120">
        <v>0.1429258131709662</v>
      </c>
      <c r="F18" s="117">
        <v>1.0389999999999999</v>
      </c>
      <c r="G18" s="121">
        <v>16.940999999999999</v>
      </c>
      <c r="H18" s="122">
        <v>0.93406528540227851</v>
      </c>
      <c r="I18" s="120">
        <v>6.5934714597721503E-2</v>
      </c>
      <c r="J18" s="26"/>
    </row>
    <row r="19" spans="1:10" ht="13.5" x14ac:dyDescent="0.2">
      <c r="A19" s="63" t="s">
        <v>103</v>
      </c>
      <c r="B19" s="117">
        <v>0.47099999999999997</v>
      </c>
      <c r="C19" s="118">
        <v>0.90233545647558389</v>
      </c>
      <c r="D19" s="119">
        <v>9.7664543524416142E-2</v>
      </c>
      <c r="E19" s="120">
        <v>0.10870066928225249</v>
      </c>
      <c r="F19" s="117">
        <v>0.107</v>
      </c>
      <c r="G19" s="121">
        <v>2.69</v>
      </c>
      <c r="H19" s="122" t="s">
        <v>1</v>
      </c>
      <c r="I19" s="120" t="s">
        <v>1</v>
      </c>
      <c r="J19" s="26"/>
    </row>
    <row r="20" spans="1:10" x14ac:dyDescent="0.2">
      <c r="A20" s="63" t="s">
        <v>15</v>
      </c>
      <c r="B20" s="117">
        <v>8.02</v>
      </c>
      <c r="C20" s="118">
        <v>0.8886533665835411</v>
      </c>
      <c r="D20" s="119">
        <v>0.11134663341645885</v>
      </c>
      <c r="E20" s="120">
        <v>0.22365375498480158</v>
      </c>
      <c r="F20" s="117">
        <v>1.9750000000000001</v>
      </c>
      <c r="G20" s="121">
        <v>46.88</v>
      </c>
      <c r="H20" s="122">
        <v>0.8081058020477816</v>
      </c>
      <c r="I20" s="120">
        <v>0.19189419795221843</v>
      </c>
      <c r="J20" s="26"/>
    </row>
    <row r="21" spans="1:10" x14ac:dyDescent="0.2">
      <c r="A21" s="63" t="s">
        <v>21</v>
      </c>
      <c r="B21" s="117">
        <v>0</v>
      </c>
      <c r="C21" s="118">
        <v>0</v>
      </c>
      <c r="D21" s="119">
        <v>0</v>
      </c>
      <c r="E21" s="120">
        <v>0</v>
      </c>
      <c r="F21" s="117">
        <v>0</v>
      </c>
      <c r="G21" s="121">
        <v>0</v>
      </c>
      <c r="H21" s="122">
        <v>0</v>
      </c>
      <c r="I21" s="120">
        <v>0</v>
      </c>
      <c r="J21" s="26"/>
    </row>
    <row r="22" spans="1:10" x14ac:dyDescent="0.2">
      <c r="A22" s="63" t="s">
        <v>22</v>
      </c>
      <c r="B22" s="117">
        <v>29.420999999999999</v>
      </c>
      <c r="C22" s="118" t="s">
        <v>1</v>
      </c>
      <c r="D22" s="119" t="s">
        <v>1</v>
      </c>
      <c r="E22" s="120">
        <v>0.29901821286283436</v>
      </c>
      <c r="F22" s="117">
        <v>7.6920000000000002</v>
      </c>
      <c r="G22" s="121">
        <v>219.91200000000001</v>
      </c>
      <c r="H22" s="122" t="s">
        <v>1</v>
      </c>
      <c r="I22" s="120" t="s">
        <v>1</v>
      </c>
      <c r="J22" s="26"/>
    </row>
    <row r="23" spans="1:10" x14ac:dyDescent="0.2">
      <c r="A23" s="63" t="s">
        <v>2</v>
      </c>
      <c r="B23" s="117">
        <v>10.236000000000001</v>
      </c>
      <c r="C23" s="118">
        <v>0.47792106291520126</v>
      </c>
      <c r="D23" s="119">
        <v>0.5220789370847988</v>
      </c>
      <c r="E23" s="120">
        <v>0.16118923515424469</v>
      </c>
      <c r="F23" s="117">
        <v>3.2679999999999998</v>
      </c>
      <c r="G23" s="121">
        <v>98.870999999999995</v>
      </c>
      <c r="H23" s="122">
        <v>0.32052876981116807</v>
      </c>
      <c r="I23" s="120">
        <v>0.67947123018883193</v>
      </c>
      <c r="J23" s="26"/>
    </row>
    <row r="24" spans="1:10" x14ac:dyDescent="0.2">
      <c r="A24" s="63" t="s">
        <v>24</v>
      </c>
      <c r="B24" s="117">
        <v>25.959</v>
      </c>
      <c r="C24" s="118">
        <v>0.77337339650988102</v>
      </c>
      <c r="D24" s="119">
        <v>0.22662660349011904</v>
      </c>
      <c r="E24" s="120">
        <v>0.16049535374019278</v>
      </c>
      <c r="F24" s="117">
        <v>8.4710000000000001</v>
      </c>
      <c r="G24" s="121">
        <v>264.59800000000001</v>
      </c>
      <c r="H24" s="122">
        <v>0.60526912523904186</v>
      </c>
      <c r="I24" s="120">
        <v>0.39473087476095814</v>
      </c>
      <c r="J24" s="26"/>
    </row>
    <row r="25" spans="1:10" x14ac:dyDescent="0.2">
      <c r="A25" s="63" t="s">
        <v>25</v>
      </c>
      <c r="B25" s="117">
        <v>5.6980000000000004</v>
      </c>
      <c r="C25" s="118">
        <v>0.69199719199719201</v>
      </c>
      <c r="D25" s="119">
        <v>0.30800280800280799</v>
      </c>
      <c r="E25" s="120">
        <v>0.11618849534063334</v>
      </c>
      <c r="F25" s="117">
        <v>1.103</v>
      </c>
      <c r="G25" s="121">
        <v>63.292000000000002</v>
      </c>
      <c r="H25" s="122">
        <v>0.51739556342033743</v>
      </c>
      <c r="I25" s="120">
        <v>0.48260443657966251</v>
      </c>
      <c r="J25" s="26"/>
    </row>
    <row r="26" spans="1:10" x14ac:dyDescent="0.2">
      <c r="A26" s="63" t="s">
        <v>26</v>
      </c>
      <c r="B26" s="117">
        <v>11.304</v>
      </c>
      <c r="C26" s="118">
        <v>0.91825902335456477</v>
      </c>
      <c r="D26" s="119">
        <v>8.174097664543524E-2</v>
      </c>
      <c r="E26" s="120">
        <v>0.18029283230725063</v>
      </c>
      <c r="F26" s="117">
        <v>4.1180000000000003</v>
      </c>
      <c r="G26" s="121">
        <v>99.646000000000001</v>
      </c>
      <c r="H26" s="122">
        <v>0.96076109427372902</v>
      </c>
      <c r="I26" s="120">
        <v>3.9238905726270999E-2</v>
      </c>
      <c r="J26" s="26"/>
    </row>
    <row r="27" spans="1:10" x14ac:dyDescent="0.2">
      <c r="A27" s="63" t="s">
        <v>28</v>
      </c>
      <c r="B27" s="117">
        <v>1.123</v>
      </c>
      <c r="C27" s="118">
        <v>0.74176313446126452</v>
      </c>
      <c r="D27" s="119">
        <v>0.25823686553873554</v>
      </c>
      <c r="E27" s="120">
        <v>7.4297055904730402E-2</v>
      </c>
      <c r="F27" s="117">
        <v>0.34599999999999997</v>
      </c>
      <c r="G27" s="121">
        <v>13.507999999999999</v>
      </c>
      <c r="H27" s="122">
        <v>0.50895765472312704</v>
      </c>
      <c r="I27" s="120">
        <v>0.49104234527687296</v>
      </c>
      <c r="J27" s="26"/>
    </row>
    <row r="28" spans="1:10" x14ac:dyDescent="0.2">
      <c r="A28" s="63" t="s">
        <v>55</v>
      </c>
      <c r="B28" s="117">
        <v>8.6579999999999995</v>
      </c>
      <c r="C28" s="118">
        <v>0.70362670362670365</v>
      </c>
      <c r="D28" s="119">
        <v>0.29637329637329635</v>
      </c>
      <c r="E28" s="120">
        <v>0.27601377199693955</v>
      </c>
      <c r="F28" s="117">
        <v>2.7610000000000001</v>
      </c>
      <c r="G28" s="121">
        <v>43.6</v>
      </c>
      <c r="H28" s="122">
        <v>0.41435779816513763</v>
      </c>
      <c r="I28" s="120">
        <v>0.58564220183486237</v>
      </c>
      <c r="J28" s="26"/>
    </row>
    <row r="29" spans="1:10" x14ac:dyDescent="0.2">
      <c r="A29" s="63" t="s">
        <v>12</v>
      </c>
      <c r="B29" s="117">
        <v>28.748999999999999</v>
      </c>
      <c r="C29" s="118">
        <v>0.6736929980173223</v>
      </c>
      <c r="D29" s="119">
        <v>0.32630700198267765</v>
      </c>
      <c r="E29" s="120">
        <v>0.34930258553654742</v>
      </c>
      <c r="F29" s="117">
        <v>5.9080000000000004</v>
      </c>
      <c r="G29" s="121">
        <v>274.46699999999998</v>
      </c>
      <c r="H29" s="122">
        <v>0.49802344179810321</v>
      </c>
      <c r="I29" s="120">
        <v>0.50197655820189679</v>
      </c>
      <c r="J29" s="26"/>
    </row>
    <row r="30" spans="1:10" x14ac:dyDescent="0.2">
      <c r="A30" s="64" t="s">
        <v>27</v>
      </c>
      <c r="B30" s="144">
        <v>11.432</v>
      </c>
      <c r="C30" s="145">
        <v>0.62106368089573127</v>
      </c>
      <c r="D30" s="146">
        <v>0.37893631910426873</v>
      </c>
      <c r="E30" s="147">
        <v>7.9777805691635617E-2</v>
      </c>
      <c r="F30" s="144">
        <v>3.738</v>
      </c>
      <c r="G30" s="148">
        <v>141.45699999999999</v>
      </c>
      <c r="H30" s="149">
        <v>0.49887951815746129</v>
      </c>
      <c r="I30" s="147">
        <v>0.50112048184253877</v>
      </c>
      <c r="J30" s="26"/>
    </row>
    <row r="31" spans="1:10" x14ac:dyDescent="0.2">
      <c r="A31" s="32" t="s">
        <v>29</v>
      </c>
      <c r="B31" s="127">
        <v>25.209</v>
      </c>
      <c r="C31" s="124">
        <v>9.806021658931334E-2</v>
      </c>
      <c r="D31" s="125">
        <v>0.9019397834106867</v>
      </c>
      <c r="E31" s="126">
        <v>6.328719870859871E-2</v>
      </c>
      <c r="F31" s="127">
        <v>5.4509999999999996</v>
      </c>
      <c r="G31" s="128">
        <v>165.50700000000001</v>
      </c>
      <c r="H31" s="129">
        <v>8.0473937658225941E-2</v>
      </c>
      <c r="I31" s="126">
        <v>0.91952606234177403</v>
      </c>
      <c r="J31" s="26"/>
    </row>
    <row r="32" spans="1:10" ht="13.5" x14ac:dyDescent="0.2">
      <c r="A32" s="64" t="s">
        <v>110</v>
      </c>
      <c r="B32" s="144">
        <v>1.4319999999999999</v>
      </c>
      <c r="C32" s="145">
        <v>1</v>
      </c>
      <c r="D32" s="146">
        <v>0</v>
      </c>
      <c r="E32" s="147">
        <v>0.14420946626384692</v>
      </c>
      <c r="F32" s="144">
        <v>0.17399999999999999</v>
      </c>
      <c r="G32" s="148">
        <v>8.7089999999999996</v>
      </c>
      <c r="H32" s="149">
        <v>1</v>
      </c>
      <c r="I32" s="147">
        <v>0</v>
      </c>
    </row>
    <row r="33" spans="1:10" x14ac:dyDescent="0.2">
      <c r="A33" s="32" t="s">
        <v>23</v>
      </c>
      <c r="B33" s="127">
        <v>9.2999999999999999E-2</v>
      </c>
      <c r="C33" s="124">
        <v>1</v>
      </c>
      <c r="D33" s="125">
        <v>0</v>
      </c>
      <c r="E33" s="126">
        <v>7.6412396884346142E-4</v>
      </c>
      <c r="F33" s="127" t="s">
        <v>1</v>
      </c>
      <c r="G33" s="128">
        <v>3.6150000000000002</v>
      </c>
      <c r="H33" s="129">
        <v>1</v>
      </c>
      <c r="I33" s="126">
        <v>0</v>
      </c>
      <c r="J33" s="26"/>
    </row>
    <row r="34" spans="1:10" ht="13.5" x14ac:dyDescent="0.2">
      <c r="A34" s="95" t="s">
        <v>104</v>
      </c>
      <c r="B34" s="152">
        <v>7.7130000000000001</v>
      </c>
      <c r="C34" s="153">
        <v>0.29223389083365747</v>
      </c>
      <c r="D34" s="154">
        <v>0.70776610916634253</v>
      </c>
      <c r="E34" s="155">
        <v>4.3749290981281906E-2</v>
      </c>
      <c r="F34" s="152">
        <v>4.0419999999999998</v>
      </c>
      <c r="G34" s="156">
        <v>94.21</v>
      </c>
      <c r="H34" s="157">
        <v>0.20146481265258465</v>
      </c>
      <c r="I34" s="155">
        <v>0.79853518734741535</v>
      </c>
      <c r="J34" s="26"/>
    </row>
    <row r="35" spans="1:10" x14ac:dyDescent="0.2">
      <c r="B35" s="38"/>
      <c r="C35" s="38"/>
      <c r="D35" s="38"/>
      <c r="E35" s="38"/>
      <c r="H35" s="38"/>
      <c r="I35" s="38"/>
      <c r="J35" s="26"/>
    </row>
    <row r="36" spans="1:10" x14ac:dyDescent="0.2">
      <c r="F36" s="36"/>
      <c r="G36" s="36"/>
    </row>
    <row r="37" spans="1:10" ht="36" x14ac:dyDescent="0.2">
      <c r="A37" s="54">
        <v>2006</v>
      </c>
      <c r="B37" s="72" t="s">
        <v>57</v>
      </c>
      <c r="C37" s="66" t="s">
        <v>58</v>
      </c>
      <c r="D37" s="12" t="s">
        <v>59</v>
      </c>
      <c r="E37" s="12" t="s">
        <v>60</v>
      </c>
      <c r="F37" s="102" t="s">
        <v>61</v>
      </c>
      <c r="G37" s="102" t="s">
        <v>62</v>
      </c>
    </row>
    <row r="38" spans="1:10" x14ac:dyDescent="0.2">
      <c r="A38" s="59" t="s">
        <v>50</v>
      </c>
      <c r="B38" s="77">
        <v>8537.2079999999987</v>
      </c>
      <c r="C38" s="67">
        <v>0.34525784073669052</v>
      </c>
      <c r="D38" s="60">
        <v>6.3051292647432283E-2</v>
      </c>
      <c r="E38" s="60">
        <v>0.37718514062208636</v>
      </c>
      <c r="F38" s="60">
        <v>0.11577988963136426</v>
      </c>
      <c r="G38" s="60">
        <v>9.8725836362426711E-2</v>
      </c>
    </row>
    <row r="39" spans="1:10" x14ac:dyDescent="0.2">
      <c r="A39" s="61" t="s">
        <v>3</v>
      </c>
      <c r="B39" s="81">
        <v>146.197</v>
      </c>
      <c r="C39" s="109">
        <v>1.880339541851064E-2</v>
      </c>
      <c r="D39" s="105">
        <v>3.0903506911906537E-2</v>
      </c>
      <c r="E39" s="105">
        <v>0.60578534443251231</v>
      </c>
      <c r="F39" s="105">
        <v>8.876379132266736E-2</v>
      </c>
      <c r="G39" s="105">
        <v>0.25574396191440318</v>
      </c>
    </row>
    <row r="40" spans="1:10" x14ac:dyDescent="0.2">
      <c r="A40" s="63" t="s">
        <v>4</v>
      </c>
      <c r="B40" s="82">
        <v>106.233</v>
      </c>
      <c r="C40" s="69">
        <v>0.57520732729001345</v>
      </c>
      <c r="D40" s="33">
        <v>3.6316398859111573E-2</v>
      </c>
      <c r="E40" s="33">
        <v>0.32967157098076866</v>
      </c>
      <c r="F40" s="33">
        <v>0</v>
      </c>
      <c r="G40" s="33">
        <v>5.8804702870106279E-2</v>
      </c>
    </row>
    <row r="41" spans="1:10" x14ac:dyDescent="0.2">
      <c r="A41" s="63" t="s">
        <v>63</v>
      </c>
      <c r="B41" s="82">
        <v>379.13200000000001</v>
      </c>
      <c r="C41" s="69">
        <v>0.82448329341759596</v>
      </c>
      <c r="D41" s="33">
        <v>2.4624668980724389E-2</v>
      </c>
      <c r="E41" s="33">
        <v>4.6018273319055107E-2</v>
      </c>
      <c r="F41" s="33">
        <v>4.6165979131278817E-2</v>
      </c>
      <c r="G41" s="33">
        <v>5.8707785151345705E-2</v>
      </c>
    </row>
    <row r="42" spans="1:10" x14ac:dyDescent="0.2">
      <c r="A42" s="63" t="s">
        <v>8</v>
      </c>
      <c r="B42" s="82">
        <v>371.11900000000003</v>
      </c>
      <c r="C42" s="69">
        <v>0.55139187160991476</v>
      </c>
      <c r="D42" s="33">
        <v>4.125900317687857E-2</v>
      </c>
      <c r="E42" s="33">
        <v>0.24566244250496469</v>
      </c>
      <c r="F42" s="33">
        <v>0.13432349192577045</v>
      </c>
      <c r="G42" s="33">
        <v>2.7363190782471389E-2</v>
      </c>
    </row>
    <row r="43" spans="1:10" x14ac:dyDescent="0.2">
      <c r="A43" s="63" t="s">
        <v>7</v>
      </c>
      <c r="B43" s="82">
        <v>1353.992</v>
      </c>
      <c r="C43" s="69">
        <v>0.21016003048762474</v>
      </c>
      <c r="D43" s="33">
        <v>4.5904259404782301E-2</v>
      </c>
      <c r="E43" s="33">
        <v>0.45597906043758013</v>
      </c>
      <c r="F43" s="33">
        <v>0.14951417733635061</v>
      </c>
      <c r="G43" s="33">
        <v>0.13844247233366225</v>
      </c>
    </row>
    <row r="44" spans="1:10" x14ac:dyDescent="0.2">
      <c r="A44" s="63" t="s">
        <v>9</v>
      </c>
      <c r="B44" s="82">
        <v>20.433</v>
      </c>
      <c r="C44" s="69">
        <v>0.45592913424362552</v>
      </c>
      <c r="D44" s="33">
        <v>4.2578182352077526E-3</v>
      </c>
      <c r="E44" s="33">
        <v>0.46659815005138744</v>
      </c>
      <c r="F44" s="33">
        <v>7.3214897469779272E-2</v>
      </c>
      <c r="G44" s="33">
        <v>0</v>
      </c>
    </row>
    <row r="45" spans="1:10" x14ac:dyDescent="0.2">
      <c r="A45" s="63" t="s">
        <v>16</v>
      </c>
      <c r="B45" s="82">
        <v>18.187999999999999</v>
      </c>
      <c r="C45" s="69">
        <v>4.8163624367714979E-2</v>
      </c>
      <c r="D45" s="33">
        <v>4.9483175720255114E-4</v>
      </c>
      <c r="E45" s="33">
        <v>0.91615350780734561</v>
      </c>
      <c r="F45" s="33">
        <v>8.0272707279524964E-3</v>
      </c>
      <c r="G45" s="33">
        <v>2.7160765339784475E-2</v>
      </c>
    </row>
    <row r="46" spans="1:10" x14ac:dyDescent="0.2">
      <c r="A46" s="63" t="s">
        <v>10</v>
      </c>
      <c r="B46" s="82">
        <v>90.784000000000006</v>
      </c>
      <c r="C46" s="69">
        <v>0.85744183997180123</v>
      </c>
      <c r="D46" s="33">
        <v>1.8648660556926329E-2</v>
      </c>
      <c r="E46" s="33">
        <v>2.9531635530489955E-2</v>
      </c>
      <c r="F46" s="33">
        <v>2.9080014099400774E-3</v>
      </c>
      <c r="G46" s="33">
        <v>9.1469862530842438E-2</v>
      </c>
    </row>
    <row r="47" spans="1:10" x14ac:dyDescent="0.2">
      <c r="A47" s="63" t="s">
        <v>11</v>
      </c>
      <c r="B47" s="82">
        <v>390.86099999999999</v>
      </c>
      <c r="C47" s="69">
        <v>1.5742169211049453E-2</v>
      </c>
      <c r="D47" s="33">
        <v>7.2207255264659306E-2</v>
      </c>
      <c r="E47" s="33">
        <v>0.76986447867656282</v>
      </c>
      <c r="F47" s="33">
        <v>9.2452304016005696E-2</v>
      </c>
      <c r="G47" s="33">
        <v>4.9733792831722787E-2</v>
      </c>
    </row>
    <row r="48" spans="1:10" x14ac:dyDescent="0.2">
      <c r="A48" s="63" t="s">
        <v>13</v>
      </c>
      <c r="B48" s="82">
        <v>367.15199999999999</v>
      </c>
      <c r="C48" s="69">
        <v>4.8887109426068769E-2</v>
      </c>
      <c r="D48" s="33">
        <v>3.0488734910881596E-2</v>
      </c>
      <c r="E48" s="33">
        <v>0.57724593628796794</v>
      </c>
      <c r="F48" s="33">
        <v>0.20984769250882468</v>
      </c>
      <c r="G48" s="33">
        <v>0.13353052686625702</v>
      </c>
    </row>
    <row r="49" spans="1:7" x14ac:dyDescent="0.2">
      <c r="A49" s="63" t="s">
        <v>17</v>
      </c>
      <c r="B49" s="82">
        <v>945.73199999999997</v>
      </c>
      <c r="C49" s="69">
        <v>6.5039567234692281E-3</v>
      </c>
      <c r="D49" s="33">
        <v>0.20060862908308061</v>
      </c>
      <c r="E49" s="33">
        <v>0.66726514488248256</v>
      </c>
      <c r="F49" s="33">
        <v>5.0964755342951279E-2</v>
      </c>
      <c r="G49" s="33">
        <v>7.4657513968016315E-2</v>
      </c>
    </row>
    <row r="50" spans="1:7" x14ac:dyDescent="0.2">
      <c r="A50" s="63" t="s">
        <v>5</v>
      </c>
      <c r="B50" s="82">
        <v>0.28499999999999998</v>
      </c>
      <c r="C50" s="69">
        <v>0</v>
      </c>
      <c r="D50" s="33">
        <v>1.0000000000000002</v>
      </c>
      <c r="E50" s="33">
        <v>0</v>
      </c>
      <c r="F50" s="33">
        <v>0</v>
      </c>
      <c r="G50" s="33">
        <v>0</v>
      </c>
    </row>
    <row r="51" spans="1:7" x14ac:dyDescent="0.2">
      <c r="A51" s="63" t="s">
        <v>20</v>
      </c>
      <c r="B51" s="82">
        <v>23.669</v>
      </c>
      <c r="C51" s="69">
        <v>0</v>
      </c>
      <c r="D51" s="33">
        <v>2.0575436224597576E-2</v>
      </c>
      <c r="E51" s="33">
        <v>0.94423085047953026</v>
      </c>
      <c r="F51" s="33">
        <v>3.5193713295872238E-2</v>
      </c>
      <c r="G51" s="33">
        <v>0</v>
      </c>
    </row>
    <row r="52" spans="1:7" x14ac:dyDescent="0.2">
      <c r="A52" s="63" t="s">
        <v>18</v>
      </c>
      <c r="B52" s="82">
        <v>38.901000000000003</v>
      </c>
      <c r="C52" s="69">
        <v>5.1412560088429603E-4</v>
      </c>
      <c r="D52" s="33">
        <v>0.14264414796534791</v>
      </c>
      <c r="E52" s="33">
        <v>0.83627670239839591</v>
      </c>
      <c r="F52" s="33">
        <v>2.0565024035371839E-2</v>
      </c>
      <c r="G52" s="33">
        <v>0</v>
      </c>
    </row>
    <row r="53" spans="1:7" x14ac:dyDescent="0.2">
      <c r="A53" s="63" t="s">
        <v>19</v>
      </c>
      <c r="B53" s="82">
        <v>5.38</v>
      </c>
      <c r="C53" s="69">
        <v>0</v>
      </c>
      <c r="D53" s="33">
        <v>0</v>
      </c>
      <c r="E53" s="33">
        <v>0.93066914498141262</v>
      </c>
      <c r="F53" s="33">
        <v>6.9330855018587351E-2</v>
      </c>
      <c r="G53" s="33">
        <v>0</v>
      </c>
    </row>
    <row r="54" spans="1:7" x14ac:dyDescent="0.2">
      <c r="A54" s="63" t="s">
        <v>15</v>
      </c>
      <c r="B54" s="82">
        <v>100.861</v>
      </c>
      <c r="C54" s="69">
        <v>6.6071127591437712E-2</v>
      </c>
      <c r="D54" s="33">
        <v>1.4584428074280445E-2</v>
      </c>
      <c r="E54" s="33">
        <v>0.7985841901230406</v>
      </c>
      <c r="F54" s="33">
        <v>1.7648050287028681E-2</v>
      </c>
      <c r="G54" s="33">
        <v>0.10311220392421253</v>
      </c>
    </row>
    <row r="55" spans="1:7" x14ac:dyDescent="0.2">
      <c r="A55" s="63" t="s">
        <v>21</v>
      </c>
      <c r="B55" s="82">
        <v>0</v>
      </c>
      <c r="C55" s="69">
        <v>0</v>
      </c>
      <c r="D55" s="33">
        <v>0</v>
      </c>
      <c r="E55" s="33">
        <v>0</v>
      </c>
      <c r="F55" s="33">
        <v>0</v>
      </c>
      <c r="G55" s="33">
        <v>0</v>
      </c>
    </row>
    <row r="56" spans="1:7" x14ac:dyDescent="0.2">
      <c r="A56" s="63" t="s">
        <v>22</v>
      </c>
      <c r="B56" s="82">
        <v>608.61099999999999</v>
      </c>
      <c r="C56" s="69">
        <v>0.15007287084853871</v>
      </c>
      <c r="D56" s="33">
        <v>2.1678872054563588E-2</v>
      </c>
      <c r="E56" s="33">
        <v>0.67118077064003112</v>
      </c>
      <c r="F56" s="33">
        <v>1.6061162220203051E-2</v>
      </c>
      <c r="G56" s="33">
        <v>0.14100632423666348</v>
      </c>
    </row>
    <row r="57" spans="1:7" x14ac:dyDescent="0.2">
      <c r="A57" s="63" t="s">
        <v>2</v>
      </c>
      <c r="B57" s="82">
        <v>245.803</v>
      </c>
      <c r="C57" s="69">
        <v>0.13916022180363949</v>
      </c>
      <c r="D57" s="33">
        <v>0.10034051659255583</v>
      </c>
      <c r="E57" s="33">
        <v>0.38853065259577796</v>
      </c>
      <c r="F57" s="33">
        <v>0.25988291436638289</v>
      </c>
      <c r="G57" s="33">
        <v>0.11208569464164393</v>
      </c>
    </row>
    <row r="58" spans="1:7" x14ac:dyDescent="0.2">
      <c r="A58" s="63" t="s">
        <v>24</v>
      </c>
      <c r="B58" s="82">
        <v>1524.672</v>
      </c>
      <c r="C58" s="69">
        <v>0.91157114448222309</v>
      </c>
      <c r="D58" s="33">
        <v>2.9820184275699956E-2</v>
      </c>
      <c r="E58" s="33">
        <v>2.3765767325693656E-2</v>
      </c>
      <c r="F58" s="33">
        <v>1.9858041598455271E-2</v>
      </c>
      <c r="G58" s="33">
        <v>1.4984862317928054E-2</v>
      </c>
    </row>
    <row r="59" spans="1:7" x14ac:dyDescent="0.2">
      <c r="A59" s="63" t="s">
        <v>25</v>
      </c>
      <c r="B59" s="82">
        <v>104.727</v>
      </c>
      <c r="C59" s="69">
        <v>0</v>
      </c>
      <c r="D59" s="33">
        <v>0.3475703495755631</v>
      </c>
      <c r="E59" s="33">
        <v>0.22770632215188058</v>
      </c>
      <c r="F59" s="33">
        <v>0.37773449062801379</v>
      </c>
      <c r="G59" s="33">
        <v>4.698883764454248E-2</v>
      </c>
    </row>
    <row r="60" spans="1:7" x14ac:dyDescent="0.2">
      <c r="A60" s="63" t="s">
        <v>26</v>
      </c>
      <c r="B60" s="82">
        <v>237.51400000000001</v>
      </c>
      <c r="C60" s="69">
        <v>0.44909773739653241</v>
      </c>
      <c r="D60" s="33">
        <v>8.9514723342624003E-2</v>
      </c>
      <c r="E60" s="33">
        <v>0.45484055676718005</v>
      </c>
      <c r="F60" s="33">
        <v>7.5363978544422644E-4</v>
      </c>
      <c r="G60" s="33">
        <v>5.7933427082193043E-3</v>
      </c>
    </row>
    <row r="61" spans="1:7" x14ac:dyDescent="0.2">
      <c r="A61" s="63" t="s">
        <v>28</v>
      </c>
      <c r="B61" s="82">
        <v>63.781999999999996</v>
      </c>
      <c r="C61" s="69">
        <v>0.85245053463359566</v>
      </c>
      <c r="D61" s="33">
        <v>1.741870747232762E-2</v>
      </c>
      <c r="E61" s="33">
        <v>8.4193032517011074E-2</v>
      </c>
      <c r="F61" s="33">
        <v>4.3476215860274059E-2</v>
      </c>
      <c r="G61" s="33">
        <v>2.4615095167915711E-3</v>
      </c>
    </row>
    <row r="62" spans="1:7" x14ac:dyDescent="0.2">
      <c r="A62" s="63" t="s">
        <v>55</v>
      </c>
      <c r="B62" s="82">
        <v>304.03899999999999</v>
      </c>
      <c r="C62" s="69">
        <v>0.27662240699383961</v>
      </c>
      <c r="D62" s="33">
        <v>4.6915033926568636E-2</v>
      </c>
      <c r="E62" s="33">
        <v>9.412608250915179E-2</v>
      </c>
      <c r="F62" s="33">
        <v>8.0022628675926449E-3</v>
      </c>
      <c r="G62" s="33">
        <v>0.57433421370284732</v>
      </c>
    </row>
    <row r="63" spans="1:7" x14ac:dyDescent="0.2">
      <c r="A63" s="63" t="s">
        <v>12</v>
      </c>
      <c r="B63" s="117">
        <v>542.09699999999998</v>
      </c>
      <c r="C63" s="118">
        <v>0.30988734488477154</v>
      </c>
      <c r="D63" s="120">
        <v>1.7430459862349357E-2</v>
      </c>
      <c r="E63" s="120">
        <v>0.21144370841380786</v>
      </c>
      <c r="F63" s="120">
        <v>0.4388089216505533</v>
      </c>
      <c r="G63" s="120">
        <v>2.2429565188517922E-2</v>
      </c>
    </row>
    <row r="64" spans="1:7" x14ac:dyDescent="0.2">
      <c r="A64" s="64" t="s">
        <v>27</v>
      </c>
      <c r="B64" s="90">
        <v>231.26</v>
      </c>
      <c r="C64" s="91">
        <v>9.4568883507740203E-2</v>
      </c>
      <c r="D64" s="34">
        <v>0.11698521145031567</v>
      </c>
      <c r="E64" s="34">
        <v>4.0089077229092794E-2</v>
      </c>
      <c r="F64" s="34">
        <v>0.62520972066072822</v>
      </c>
      <c r="G64" s="34">
        <v>0.12314710715212315</v>
      </c>
    </row>
    <row r="65" spans="1:7" x14ac:dyDescent="0.2">
      <c r="A65" s="32" t="s">
        <v>29</v>
      </c>
      <c r="B65" s="83">
        <v>315.78399999999999</v>
      </c>
      <c r="C65" s="70">
        <v>2.0732526030451195E-2</v>
      </c>
      <c r="D65" s="65">
        <v>3.6483799052516912E-2</v>
      </c>
      <c r="E65" s="65">
        <v>0.71984331061738405</v>
      </c>
      <c r="F65" s="65">
        <v>2.297139817090163E-2</v>
      </c>
      <c r="G65" s="65">
        <v>0.19996896612874623</v>
      </c>
    </row>
    <row r="66" spans="1:7" x14ac:dyDescent="0.2">
      <c r="A66" s="64" t="s">
        <v>72</v>
      </c>
      <c r="B66" s="144">
        <v>43.478000000000002</v>
      </c>
      <c r="C66" s="145">
        <v>0</v>
      </c>
      <c r="D66" s="147">
        <v>0</v>
      </c>
      <c r="E66" s="147">
        <v>0</v>
      </c>
      <c r="F66" s="147">
        <v>1</v>
      </c>
      <c r="G66" s="147">
        <v>0</v>
      </c>
    </row>
    <row r="67" spans="1:7" x14ac:dyDescent="0.2">
      <c r="A67" s="32" t="s">
        <v>23</v>
      </c>
      <c r="B67" s="83">
        <v>4.6150000000000002</v>
      </c>
      <c r="C67" s="70">
        <v>0.15016251354279525</v>
      </c>
      <c r="D67" s="65">
        <v>0</v>
      </c>
      <c r="E67" s="65">
        <v>3.466955579631636E-3</v>
      </c>
      <c r="F67" s="65">
        <v>0.42318526543878654</v>
      </c>
      <c r="G67" s="65">
        <v>0.42318526543878654</v>
      </c>
    </row>
    <row r="68" spans="1:7" x14ac:dyDescent="0.2">
      <c r="A68" s="95" t="s">
        <v>56</v>
      </c>
      <c r="B68" s="96">
        <v>262.81299999999999</v>
      </c>
      <c r="C68" s="97">
        <v>8.3774394721722295E-2</v>
      </c>
      <c r="D68" s="99">
        <v>0.15258758128403085</v>
      </c>
      <c r="E68" s="99">
        <v>0.66347174607039994</v>
      </c>
      <c r="F68" s="99">
        <v>5.01116763630414E-3</v>
      </c>
      <c r="G68" s="99">
        <v>9.5155110287542852E-2</v>
      </c>
    </row>
    <row r="70" spans="1:7" ht="13.5" x14ac:dyDescent="0.2">
      <c r="A70" s="39" t="s">
        <v>106</v>
      </c>
    </row>
    <row r="71" spans="1:7" ht="13.5" x14ac:dyDescent="0.2">
      <c r="A71" s="39" t="s">
        <v>99</v>
      </c>
    </row>
    <row r="72" spans="1:7" ht="13.5" x14ac:dyDescent="0.2">
      <c r="A72" s="39" t="s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72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256" width="9.140625" style="38"/>
    <col min="257" max="257" width="21.7109375" style="38" customWidth="1"/>
    <col min="258" max="258" width="9.7109375" style="38" customWidth="1"/>
    <col min="259" max="261" width="9.140625" style="38"/>
    <col min="262" max="262" width="10.7109375" style="38" customWidth="1"/>
    <col min="263" max="263" width="9.5703125" style="38" customWidth="1"/>
    <col min="264" max="512" width="9.140625" style="38"/>
    <col min="513" max="513" width="21.7109375" style="38" customWidth="1"/>
    <col min="514" max="514" width="9.7109375" style="38" customWidth="1"/>
    <col min="515" max="517" width="9.140625" style="38"/>
    <col min="518" max="518" width="10.7109375" style="38" customWidth="1"/>
    <col min="519" max="519" width="9.5703125" style="38" customWidth="1"/>
    <col min="520" max="768" width="9.140625" style="38"/>
    <col min="769" max="769" width="21.7109375" style="38" customWidth="1"/>
    <col min="770" max="770" width="9.7109375" style="38" customWidth="1"/>
    <col min="771" max="773" width="9.140625" style="38"/>
    <col min="774" max="774" width="10.7109375" style="38" customWidth="1"/>
    <col min="775" max="775" width="9.5703125" style="38" customWidth="1"/>
    <col min="776" max="1024" width="9.140625" style="38"/>
    <col min="1025" max="1025" width="21.7109375" style="38" customWidth="1"/>
    <col min="1026" max="1026" width="9.7109375" style="38" customWidth="1"/>
    <col min="1027" max="1029" width="9.140625" style="38"/>
    <col min="1030" max="1030" width="10.7109375" style="38" customWidth="1"/>
    <col min="1031" max="1031" width="9.5703125" style="38" customWidth="1"/>
    <col min="1032" max="1280" width="9.140625" style="38"/>
    <col min="1281" max="1281" width="21.7109375" style="38" customWidth="1"/>
    <col min="1282" max="1282" width="9.7109375" style="38" customWidth="1"/>
    <col min="1283" max="1285" width="9.140625" style="38"/>
    <col min="1286" max="1286" width="10.7109375" style="38" customWidth="1"/>
    <col min="1287" max="1287" width="9.5703125" style="38" customWidth="1"/>
    <col min="1288" max="1536" width="9.140625" style="38"/>
    <col min="1537" max="1537" width="21.7109375" style="38" customWidth="1"/>
    <col min="1538" max="1538" width="9.7109375" style="38" customWidth="1"/>
    <col min="1539" max="1541" width="9.140625" style="38"/>
    <col min="1542" max="1542" width="10.7109375" style="38" customWidth="1"/>
    <col min="1543" max="1543" width="9.5703125" style="38" customWidth="1"/>
    <col min="1544" max="1792" width="9.140625" style="38"/>
    <col min="1793" max="1793" width="21.7109375" style="38" customWidth="1"/>
    <col min="1794" max="1794" width="9.7109375" style="38" customWidth="1"/>
    <col min="1795" max="1797" width="9.140625" style="38"/>
    <col min="1798" max="1798" width="10.7109375" style="38" customWidth="1"/>
    <col min="1799" max="1799" width="9.5703125" style="38" customWidth="1"/>
    <col min="1800" max="2048" width="9.140625" style="38"/>
    <col min="2049" max="2049" width="21.7109375" style="38" customWidth="1"/>
    <col min="2050" max="2050" width="9.7109375" style="38" customWidth="1"/>
    <col min="2051" max="2053" width="9.140625" style="38"/>
    <col min="2054" max="2054" width="10.7109375" style="38" customWidth="1"/>
    <col min="2055" max="2055" width="9.5703125" style="38" customWidth="1"/>
    <col min="2056" max="2304" width="9.140625" style="38"/>
    <col min="2305" max="2305" width="21.7109375" style="38" customWidth="1"/>
    <col min="2306" max="2306" width="9.7109375" style="38" customWidth="1"/>
    <col min="2307" max="2309" width="9.140625" style="38"/>
    <col min="2310" max="2310" width="10.7109375" style="38" customWidth="1"/>
    <col min="2311" max="2311" width="9.5703125" style="38" customWidth="1"/>
    <col min="2312" max="2560" width="9.140625" style="38"/>
    <col min="2561" max="2561" width="21.7109375" style="38" customWidth="1"/>
    <col min="2562" max="2562" width="9.7109375" style="38" customWidth="1"/>
    <col min="2563" max="2565" width="9.140625" style="38"/>
    <col min="2566" max="2566" width="10.7109375" style="38" customWidth="1"/>
    <col min="2567" max="2567" width="9.5703125" style="38" customWidth="1"/>
    <col min="2568" max="2816" width="9.140625" style="38"/>
    <col min="2817" max="2817" width="21.7109375" style="38" customWidth="1"/>
    <col min="2818" max="2818" width="9.7109375" style="38" customWidth="1"/>
    <col min="2819" max="2821" width="9.140625" style="38"/>
    <col min="2822" max="2822" width="10.7109375" style="38" customWidth="1"/>
    <col min="2823" max="2823" width="9.5703125" style="38" customWidth="1"/>
    <col min="2824" max="3072" width="9.140625" style="38"/>
    <col min="3073" max="3073" width="21.7109375" style="38" customWidth="1"/>
    <col min="3074" max="3074" width="9.7109375" style="38" customWidth="1"/>
    <col min="3075" max="3077" width="9.140625" style="38"/>
    <col min="3078" max="3078" width="10.7109375" style="38" customWidth="1"/>
    <col min="3079" max="3079" width="9.5703125" style="38" customWidth="1"/>
    <col min="3080" max="3328" width="9.140625" style="38"/>
    <col min="3329" max="3329" width="21.7109375" style="38" customWidth="1"/>
    <col min="3330" max="3330" width="9.7109375" style="38" customWidth="1"/>
    <col min="3331" max="3333" width="9.140625" style="38"/>
    <col min="3334" max="3334" width="10.7109375" style="38" customWidth="1"/>
    <col min="3335" max="3335" width="9.5703125" style="38" customWidth="1"/>
    <col min="3336" max="3584" width="9.140625" style="38"/>
    <col min="3585" max="3585" width="21.7109375" style="38" customWidth="1"/>
    <col min="3586" max="3586" width="9.7109375" style="38" customWidth="1"/>
    <col min="3587" max="3589" width="9.140625" style="38"/>
    <col min="3590" max="3590" width="10.7109375" style="38" customWidth="1"/>
    <col min="3591" max="3591" width="9.5703125" style="38" customWidth="1"/>
    <col min="3592" max="3840" width="9.140625" style="38"/>
    <col min="3841" max="3841" width="21.7109375" style="38" customWidth="1"/>
    <col min="3842" max="3842" width="9.7109375" style="38" customWidth="1"/>
    <col min="3843" max="3845" width="9.140625" style="38"/>
    <col min="3846" max="3846" width="10.7109375" style="38" customWidth="1"/>
    <col min="3847" max="3847" width="9.5703125" style="38" customWidth="1"/>
    <col min="3848" max="4096" width="9.140625" style="38"/>
    <col min="4097" max="4097" width="21.7109375" style="38" customWidth="1"/>
    <col min="4098" max="4098" width="9.7109375" style="38" customWidth="1"/>
    <col min="4099" max="4101" width="9.140625" style="38"/>
    <col min="4102" max="4102" width="10.7109375" style="38" customWidth="1"/>
    <col min="4103" max="4103" width="9.5703125" style="38" customWidth="1"/>
    <col min="4104" max="4352" width="9.140625" style="38"/>
    <col min="4353" max="4353" width="21.7109375" style="38" customWidth="1"/>
    <col min="4354" max="4354" width="9.7109375" style="38" customWidth="1"/>
    <col min="4355" max="4357" width="9.140625" style="38"/>
    <col min="4358" max="4358" width="10.7109375" style="38" customWidth="1"/>
    <col min="4359" max="4359" width="9.5703125" style="38" customWidth="1"/>
    <col min="4360" max="4608" width="9.140625" style="38"/>
    <col min="4609" max="4609" width="21.7109375" style="38" customWidth="1"/>
    <col min="4610" max="4610" width="9.7109375" style="38" customWidth="1"/>
    <col min="4611" max="4613" width="9.140625" style="38"/>
    <col min="4614" max="4614" width="10.7109375" style="38" customWidth="1"/>
    <col min="4615" max="4615" width="9.5703125" style="38" customWidth="1"/>
    <col min="4616" max="4864" width="9.140625" style="38"/>
    <col min="4865" max="4865" width="21.7109375" style="38" customWidth="1"/>
    <col min="4866" max="4866" width="9.7109375" style="38" customWidth="1"/>
    <col min="4867" max="4869" width="9.140625" style="38"/>
    <col min="4870" max="4870" width="10.7109375" style="38" customWidth="1"/>
    <col min="4871" max="4871" width="9.5703125" style="38" customWidth="1"/>
    <col min="4872" max="5120" width="9.140625" style="38"/>
    <col min="5121" max="5121" width="21.7109375" style="38" customWidth="1"/>
    <col min="5122" max="5122" width="9.7109375" style="38" customWidth="1"/>
    <col min="5123" max="5125" width="9.140625" style="38"/>
    <col min="5126" max="5126" width="10.7109375" style="38" customWidth="1"/>
    <col min="5127" max="5127" width="9.5703125" style="38" customWidth="1"/>
    <col min="5128" max="5376" width="9.140625" style="38"/>
    <col min="5377" max="5377" width="21.7109375" style="38" customWidth="1"/>
    <col min="5378" max="5378" width="9.7109375" style="38" customWidth="1"/>
    <col min="5379" max="5381" width="9.140625" style="38"/>
    <col min="5382" max="5382" width="10.7109375" style="38" customWidth="1"/>
    <col min="5383" max="5383" width="9.5703125" style="38" customWidth="1"/>
    <col min="5384" max="5632" width="9.140625" style="38"/>
    <col min="5633" max="5633" width="21.7109375" style="38" customWidth="1"/>
    <col min="5634" max="5634" width="9.7109375" style="38" customWidth="1"/>
    <col min="5635" max="5637" width="9.140625" style="38"/>
    <col min="5638" max="5638" width="10.7109375" style="38" customWidth="1"/>
    <col min="5639" max="5639" width="9.5703125" style="38" customWidth="1"/>
    <col min="5640" max="5888" width="9.140625" style="38"/>
    <col min="5889" max="5889" width="21.7109375" style="38" customWidth="1"/>
    <col min="5890" max="5890" width="9.7109375" style="38" customWidth="1"/>
    <col min="5891" max="5893" width="9.140625" style="38"/>
    <col min="5894" max="5894" width="10.7109375" style="38" customWidth="1"/>
    <col min="5895" max="5895" width="9.5703125" style="38" customWidth="1"/>
    <col min="5896" max="6144" width="9.140625" style="38"/>
    <col min="6145" max="6145" width="21.7109375" style="38" customWidth="1"/>
    <col min="6146" max="6146" width="9.7109375" style="38" customWidth="1"/>
    <col min="6147" max="6149" width="9.140625" style="38"/>
    <col min="6150" max="6150" width="10.7109375" style="38" customWidth="1"/>
    <col min="6151" max="6151" width="9.5703125" style="38" customWidth="1"/>
    <col min="6152" max="6400" width="9.140625" style="38"/>
    <col min="6401" max="6401" width="21.7109375" style="38" customWidth="1"/>
    <col min="6402" max="6402" width="9.7109375" style="38" customWidth="1"/>
    <col min="6403" max="6405" width="9.140625" style="38"/>
    <col min="6406" max="6406" width="10.7109375" style="38" customWidth="1"/>
    <col min="6407" max="6407" width="9.5703125" style="38" customWidth="1"/>
    <col min="6408" max="6656" width="9.140625" style="38"/>
    <col min="6657" max="6657" width="21.7109375" style="38" customWidth="1"/>
    <col min="6658" max="6658" width="9.7109375" style="38" customWidth="1"/>
    <col min="6659" max="6661" width="9.140625" style="38"/>
    <col min="6662" max="6662" width="10.7109375" style="38" customWidth="1"/>
    <col min="6663" max="6663" width="9.5703125" style="38" customWidth="1"/>
    <col min="6664" max="6912" width="9.140625" style="38"/>
    <col min="6913" max="6913" width="21.7109375" style="38" customWidth="1"/>
    <col min="6914" max="6914" width="9.7109375" style="38" customWidth="1"/>
    <col min="6915" max="6917" width="9.140625" style="38"/>
    <col min="6918" max="6918" width="10.7109375" style="38" customWidth="1"/>
    <col min="6919" max="6919" width="9.5703125" style="38" customWidth="1"/>
    <col min="6920" max="7168" width="9.140625" style="38"/>
    <col min="7169" max="7169" width="21.7109375" style="38" customWidth="1"/>
    <col min="7170" max="7170" width="9.7109375" style="38" customWidth="1"/>
    <col min="7171" max="7173" width="9.140625" style="38"/>
    <col min="7174" max="7174" width="10.7109375" style="38" customWidth="1"/>
    <col min="7175" max="7175" width="9.5703125" style="38" customWidth="1"/>
    <col min="7176" max="7424" width="9.140625" style="38"/>
    <col min="7425" max="7425" width="21.7109375" style="38" customWidth="1"/>
    <col min="7426" max="7426" width="9.7109375" style="38" customWidth="1"/>
    <col min="7427" max="7429" width="9.140625" style="38"/>
    <col min="7430" max="7430" width="10.7109375" style="38" customWidth="1"/>
    <col min="7431" max="7431" width="9.5703125" style="38" customWidth="1"/>
    <col min="7432" max="7680" width="9.140625" style="38"/>
    <col min="7681" max="7681" width="21.7109375" style="38" customWidth="1"/>
    <col min="7682" max="7682" width="9.7109375" style="38" customWidth="1"/>
    <col min="7683" max="7685" width="9.140625" style="38"/>
    <col min="7686" max="7686" width="10.7109375" style="38" customWidth="1"/>
    <col min="7687" max="7687" width="9.5703125" style="38" customWidth="1"/>
    <col min="7688" max="7936" width="9.140625" style="38"/>
    <col min="7937" max="7937" width="21.7109375" style="38" customWidth="1"/>
    <col min="7938" max="7938" width="9.7109375" style="38" customWidth="1"/>
    <col min="7939" max="7941" width="9.140625" style="38"/>
    <col min="7942" max="7942" width="10.7109375" style="38" customWidth="1"/>
    <col min="7943" max="7943" width="9.5703125" style="38" customWidth="1"/>
    <col min="7944" max="8192" width="9.140625" style="38"/>
    <col min="8193" max="8193" width="21.7109375" style="38" customWidth="1"/>
    <col min="8194" max="8194" width="9.7109375" style="38" customWidth="1"/>
    <col min="8195" max="8197" width="9.140625" style="38"/>
    <col min="8198" max="8198" width="10.7109375" style="38" customWidth="1"/>
    <col min="8199" max="8199" width="9.5703125" style="38" customWidth="1"/>
    <col min="8200" max="8448" width="9.140625" style="38"/>
    <col min="8449" max="8449" width="21.7109375" style="38" customWidth="1"/>
    <col min="8450" max="8450" width="9.7109375" style="38" customWidth="1"/>
    <col min="8451" max="8453" width="9.140625" style="38"/>
    <col min="8454" max="8454" width="10.7109375" style="38" customWidth="1"/>
    <col min="8455" max="8455" width="9.5703125" style="38" customWidth="1"/>
    <col min="8456" max="8704" width="9.140625" style="38"/>
    <col min="8705" max="8705" width="21.7109375" style="38" customWidth="1"/>
    <col min="8706" max="8706" width="9.7109375" style="38" customWidth="1"/>
    <col min="8707" max="8709" width="9.140625" style="38"/>
    <col min="8710" max="8710" width="10.7109375" style="38" customWidth="1"/>
    <col min="8711" max="8711" width="9.5703125" style="38" customWidth="1"/>
    <col min="8712" max="8960" width="9.140625" style="38"/>
    <col min="8961" max="8961" width="21.7109375" style="38" customWidth="1"/>
    <col min="8962" max="8962" width="9.7109375" style="38" customWidth="1"/>
    <col min="8963" max="8965" width="9.140625" style="38"/>
    <col min="8966" max="8966" width="10.7109375" style="38" customWidth="1"/>
    <col min="8967" max="8967" width="9.5703125" style="38" customWidth="1"/>
    <col min="8968" max="9216" width="9.140625" style="38"/>
    <col min="9217" max="9217" width="21.7109375" style="38" customWidth="1"/>
    <col min="9218" max="9218" width="9.7109375" style="38" customWidth="1"/>
    <col min="9219" max="9221" width="9.140625" style="38"/>
    <col min="9222" max="9222" width="10.7109375" style="38" customWidth="1"/>
    <col min="9223" max="9223" width="9.5703125" style="38" customWidth="1"/>
    <col min="9224" max="9472" width="9.140625" style="38"/>
    <col min="9473" max="9473" width="21.7109375" style="38" customWidth="1"/>
    <col min="9474" max="9474" width="9.7109375" style="38" customWidth="1"/>
    <col min="9475" max="9477" width="9.140625" style="38"/>
    <col min="9478" max="9478" width="10.7109375" style="38" customWidth="1"/>
    <col min="9479" max="9479" width="9.5703125" style="38" customWidth="1"/>
    <col min="9480" max="9728" width="9.140625" style="38"/>
    <col min="9729" max="9729" width="21.7109375" style="38" customWidth="1"/>
    <col min="9730" max="9730" width="9.7109375" style="38" customWidth="1"/>
    <col min="9731" max="9733" width="9.140625" style="38"/>
    <col min="9734" max="9734" width="10.7109375" style="38" customWidth="1"/>
    <col min="9735" max="9735" width="9.5703125" style="38" customWidth="1"/>
    <col min="9736" max="9984" width="9.140625" style="38"/>
    <col min="9985" max="9985" width="21.7109375" style="38" customWidth="1"/>
    <col min="9986" max="9986" width="9.7109375" style="38" customWidth="1"/>
    <col min="9987" max="9989" width="9.140625" style="38"/>
    <col min="9990" max="9990" width="10.7109375" style="38" customWidth="1"/>
    <col min="9991" max="9991" width="9.5703125" style="38" customWidth="1"/>
    <col min="9992" max="10240" width="9.140625" style="38"/>
    <col min="10241" max="10241" width="21.7109375" style="38" customWidth="1"/>
    <col min="10242" max="10242" width="9.7109375" style="38" customWidth="1"/>
    <col min="10243" max="10245" width="9.140625" style="38"/>
    <col min="10246" max="10246" width="10.7109375" style="38" customWidth="1"/>
    <col min="10247" max="10247" width="9.5703125" style="38" customWidth="1"/>
    <col min="10248" max="10496" width="9.140625" style="38"/>
    <col min="10497" max="10497" width="21.7109375" style="38" customWidth="1"/>
    <col min="10498" max="10498" width="9.7109375" style="38" customWidth="1"/>
    <col min="10499" max="10501" width="9.140625" style="38"/>
    <col min="10502" max="10502" width="10.7109375" style="38" customWidth="1"/>
    <col min="10503" max="10503" width="9.5703125" style="38" customWidth="1"/>
    <col min="10504" max="10752" width="9.140625" style="38"/>
    <col min="10753" max="10753" width="21.7109375" style="38" customWidth="1"/>
    <col min="10754" max="10754" width="9.7109375" style="38" customWidth="1"/>
    <col min="10755" max="10757" width="9.140625" style="38"/>
    <col min="10758" max="10758" width="10.7109375" style="38" customWidth="1"/>
    <col min="10759" max="10759" width="9.5703125" style="38" customWidth="1"/>
    <col min="10760" max="11008" width="9.140625" style="38"/>
    <col min="11009" max="11009" width="21.7109375" style="38" customWidth="1"/>
    <col min="11010" max="11010" width="9.7109375" style="38" customWidth="1"/>
    <col min="11011" max="11013" width="9.140625" style="38"/>
    <col min="11014" max="11014" width="10.7109375" style="38" customWidth="1"/>
    <col min="11015" max="11015" width="9.5703125" style="38" customWidth="1"/>
    <col min="11016" max="11264" width="9.140625" style="38"/>
    <col min="11265" max="11265" width="21.7109375" style="38" customWidth="1"/>
    <col min="11266" max="11266" width="9.7109375" style="38" customWidth="1"/>
    <col min="11267" max="11269" width="9.140625" style="38"/>
    <col min="11270" max="11270" width="10.7109375" style="38" customWidth="1"/>
    <col min="11271" max="11271" width="9.5703125" style="38" customWidth="1"/>
    <col min="11272" max="11520" width="9.140625" style="38"/>
    <col min="11521" max="11521" width="21.7109375" style="38" customWidth="1"/>
    <col min="11522" max="11522" width="9.7109375" style="38" customWidth="1"/>
    <col min="11523" max="11525" width="9.140625" style="38"/>
    <col min="11526" max="11526" width="10.7109375" style="38" customWidth="1"/>
    <col min="11527" max="11527" width="9.5703125" style="38" customWidth="1"/>
    <col min="11528" max="11776" width="9.140625" style="38"/>
    <col min="11777" max="11777" width="21.7109375" style="38" customWidth="1"/>
    <col min="11778" max="11778" width="9.7109375" style="38" customWidth="1"/>
    <col min="11779" max="11781" width="9.140625" style="38"/>
    <col min="11782" max="11782" width="10.7109375" style="38" customWidth="1"/>
    <col min="11783" max="11783" width="9.5703125" style="38" customWidth="1"/>
    <col min="11784" max="12032" width="9.140625" style="38"/>
    <col min="12033" max="12033" width="21.7109375" style="38" customWidth="1"/>
    <col min="12034" max="12034" width="9.7109375" style="38" customWidth="1"/>
    <col min="12035" max="12037" width="9.140625" style="38"/>
    <col min="12038" max="12038" width="10.7109375" style="38" customWidth="1"/>
    <col min="12039" max="12039" width="9.5703125" style="38" customWidth="1"/>
    <col min="12040" max="12288" width="9.140625" style="38"/>
    <col min="12289" max="12289" width="21.7109375" style="38" customWidth="1"/>
    <col min="12290" max="12290" width="9.7109375" style="38" customWidth="1"/>
    <col min="12291" max="12293" width="9.140625" style="38"/>
    <col min="12294" max="12294" width="10.7109375" style="38" customWidth="1"/>
    <col min="12295" max="12295" width="9.5703125" style="38" customWidth="1"/>
    <col min="12296" max="12544" width="9.140625" style="38"/>
    <col min="12545" max="12545" width="21.7109375" style="38" customWidth="1"/>
    <col min="12546" max="12546" width="9.7109375" style="38" customWidth="1"/>
    <col min="12547" max="12549" width="9.140625" style="38"/>
    <col min="12550" max="12550" width="10.7109375" style="38" customWidth="1"/>
    <col min="12551" max="12551" width="9.5703125" style="38" customWidth="1"/>
    <col min="12552" max="12800" width="9.140625" style="38"/>
    <col min="12801" max="12801" width="21.7109375" style="38" customWidth="1"/>
    <col min="12802" max="12802" width="9.7109375" style="38" customWidth="1"/>
    <col min="12803" max="12805" width="9.140625" style="38"/>
    <col min="12806" max="12806" width="10.7109375" style="38" customWidth="1"/>
    <col min="12807" max="12807" width="9.5703125" style="38" customWidth="1"/>
    <col min="12808" max="13056" width="9.140625" style="38"/>
    <col min="13057" max="13057" width="21.7109375" style="38" customWidth="1"/>
    <col min="13058" max="13058" width="9.7109375" style="38" customWidth="1"/>
    <col min="13059" max="13061" width="9.140625" style="38"/>
    <col min="13062" max="13062" width="10.7109375" style="38" customWidth="1"/>
    <col min="13063" max="13063" width="9.5703125" style="38" customWidth="1"/>
    <col min="13064" max="13312" width="9.140625" style="38"/>
    <col min="13313" max="13313" width="21.7109375" style="38" customWidth="1"/>
    <col min="13314" max="13314" width="9.7109375" style="38" customWidth="1"/>
    <col min="13315" max="13317" width="9.140625" style="38"/>
    <col min="13318" max="13318" width="10.7109375" style="38" customWidth="1"/>
    <col min="13319" max="13319" width="9.5703125" style="38" customWidth="1"/>
    <col min="13320" max="13568" width="9.140625" style="38"/>
    <col min="13569" max="13569" width="21.7109375" style="38" customWidth="1"/>
    <col min="13570" max="13570" width="9.7109375" style="38" customWidth="1"/>
    <col min="13571" max="13573" width="9.140625" style="38"/>
    <col min="13574" max="13574" width="10.7109375" style="38" customWidth="1"/>
    <col min="13575" max="13575" width="9.5703125" style="38" customWidth="1"/>
    <col min="13576" max="13824" width="9.140625" style="38"/>
    <col min="13825" max="13825" width="21.7109375" style="38" customWidth="1"/>
    <col min="13826" max="13826" width="9.7109375" style="38" customWidth="1"/>
    <col min="13827" max="13829" width="9.140625" style="38"/>
    <col min="13830" max="13830" width="10.7109375" style="38" customWidth="1"/>
    <col min="13831" max="13831" width="9.5703125" style="38" customWidth="1"/>
    <col min="13832" max="14080" width="9.140625" style="38"/>
    <col min="14081" max="14081" width="21.7109375" style="38" customWidth="1"/>
    <col min="14082" max="14082" width="9.7109375" style="38" customWidth="1"/>
    <col min="14083" max="14085" width="9.140625" style="38"/>
    <col min="14086" max="14086" width="10.7109375" style="38" customWidth="1"/>
    <col min="14087" max="14087" width="9.5703125" style="38" customWidth="1"/>
    <col min="14088" max="14336" width="9.140625" style="38"/>
    <col min="14337" max="14337" width="21.7109375" style="38" customWidth="1"/>
    <col min="14338" max="14338" width="9.7109375" style="38" customWidth="1"/>
    <col min="14339" max="14341" width="9.140625" style="38"/>
    <col min="14342" max="14342" width="10.7109375" style="38" customWidth="1"/>
    <col min="14343" max="14343" width="9.5703125" style="38" customWidth="1"/>
    <col min="14344" max="14592" width="9.140625" style="38"/>
    <col min="14593" max="14593" width="21.7109375" style="38" customWidth="1"/>
    <col min="14594" max="14594" width="9.7109375" style="38" customWidth="1"/>
    <col min="14595" max="14597" width="9.140625" style="38"/>
    <col min="14598" max="14598" width="10.7109375" style="38" customWidth="1"/>
    <col min="14599" max="14599" width="9.5703125" style="38" customWidth="1"/>
    <col min="14600" max="14848" width="9.140625" style="38"/>
    <col min="14849" max="14849" width="21.7109375" style="38" customWidth="1"/>
    <col min="14850" max="14850" width="9.7109375" style="38" customWidth="1"/>
    <col min="14851" max="14853" width="9.140625" style="38"/>
    <col min="14854" max="14854" width="10.7109375" style="38" customWidth="1"/>
    <col min="14855" max="14855" width="9.5703125" style="38" customWidth="1"/>
    <col min="14856" max="15104" width="9.140625" style="38"/>
    <col min="15105" max="15105" width="21.7109375" style="38" customWidth="1"/>
    <col min="15106" max="15106" width="9.7109375" style="38" customWidth="1"/>
    <col min="15107" max="15109" width="9.140625" style="38"/>
    <col min="15110" max="15110" width="10.7109375" style="38" customWidth="1"/>
    <col min="15111" max="15111" width="9.5703125" style="38" customWidth="1"/>
    <col min="15112" max="15360" width="9.140625" style="38"/>
    <col min="15361" max="15361" width="21.7109375" style="38" customWidth="1"/>
    <col min="15362" max="15362" width="9.7109375" style="38" customWidth="1"/>
    <col min="15363" max="15365" width="9.140625" style="38"/>
    <col min="15366" max="15366" width="10.7109375" style="38" customWidth="1"/>
    <col min="15367" max="15367" width="9.5703125" style="38" customWidth="1"/>
    <col min="15368" max="15616" width="9.140625" style="38"/>
    <col min="15617" max="15617" width="21.7109375" style="38" customWidth="1"/>
    <col min="15618" max="15618" width="9.7109375" style="38" customWidth="1"/>
    <col min="15619" max="15621" width="9.140625" style="38"/>
    <col min="15622" max="15622" width="10.7109375" style="38" customWidth="1"/>
    <col min="15623" max="15623" width="9.5703125" style="38" customWidth="1"/>
    <col min="15624" max="15872" width="9.140625" style="38"/>
    <col min="15873" max="15873" width="21.7109375" style="38" customWidth="1"/>
    <col min="15874" max="15874" width="9.7109375" style="38" customWidth="1"/>
    <col min="15875" max="15877" width="9.140625" style="38"/>
    <col min="15878" max="15878" width="10.7109375" style="38" customWidth="1"/>
    <col min="15879" max="15879" width="9.5703125" style="38" customWidth="1"/>
    <col min="15880" max="16128" width="9.140625" style="38"/>
    <col min="16129" max="16129" width="21.7109375" style="38" customWidth="1"/>
    <col min="16130" max="16130" width="9.7109375" style="38" customWidth="1"/>
    <col min="16131" max="16133" width="9.140625" style="38"/>
    <col min="16134" max="16134" width="10.7109375" style="38" customWidth="1"/>
    <col min="16135" max="16135" width="9.5703125" style="38" customWidth="1"/>
    <col min="16136" max="16384" width="9.140625" style="38"/>
  </cols>
  <sheetData>
    <row r="1" spans="1:10" ht="15.75" x14ac:dyDescent="0.25">
      <c r="A1" s="52" t="s">
        <v>71</v>
      </c>
      <c r="F1" s="37"/>
      <c r="G1" s="37"/>
    </row>
    <row r="2" spans="1:10" x14ac:dyDescent="0.2">
      <c r="F2" s="37"/>
      <c r="G2" s="37"/>
    </row>
    <row r="3" spans="1:10" ht="48" x14ac:dyDescent="0.2">
      <c r="A3" s="54">
        <v>2005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18"/>
    </row>
    <row r="4" spans="1:10" x14ac:dyDescent="0.2">
      <c r="A4" s="59" t="s">
        <v>50</v>
      </c>
      <c r="B4" s="77">
        <v>365.74099999999999</v>
      </c>
      <c r="C4" s="67" t="s">
        <v>1</v>
      </c>
      <c r="D4" s="73" t="s">
        <v>1</v>
      </c>
      <c r="E4" s="60">
        <v>0.11061473009571895</v>
      </c>
      <c r="F4" s="77">
        <v>101.63799999999998</v>
      </c>
      <c r="G4" s="111">
        <v>3112.4270000000001</v>
      </c>
      <c r="H4" s="86" t="s">
        <v>1</v>
      </c>
      <c r="I4" s="60" t="s">
        <v>1</v>
      </c>
      <c r="J4" s="26"/>
    </row>
    <row r="5" spans="1:10" x14ac:dyDescent="0.2">
      <c r="A5" s="61" t="s">
        <v>3</v>
      </c>
      <c r="B5" s="81">
        <v>7.3570000000000002</v>
      </c>
      <c r="C5" s="68">
        <v>0.71686828870463504</v>
      </c>
      <c r="D5" s="74">
        <v>0.28313171129536496</v>
      </c>
      <c r="E5" s="62">
        <v>8.4538925596093079E-2</v>
      </c>
      <c r="F5" s="81">
        <v>1.893</v>
      </c>
      <c r="G5" s="112">
        <v>75.864000000000004</v>
      </c>
      <c r="H5" s="87">
        <v>0.35346145734472223</v>
      </c>
      <c r="I5" s="62">
        <v>0.64653854265527777</v>
      </c>
      <c r="J5" s="26"/>
    </row>
    <row r="6" spans="1:10" x14ac:dyDescent="0.2">
      <c r="A6" s="63" t="s">
        <v>4</v>
      </c>
      <c r="B6" s="82">
        <v>2.7160000000000002</v>
      </c>
      <c r="C6" s="69">
        <v>0.84131075110456555</v>
      </c>
      <c r="D6" s="75">
        <v>0.15868924889543445</v>
      </c>
      <c r="E6" s="33">
        <v>6.1218049857999376E-2</v>
      </c>
      <c r="F6" s="82">
        <v>1.1910000000000001</v>
      </c>
      <c r="G6" s="113">
        <v>50.445999999999998</v>
      </c>
      <c r="H6" s="88">
        <v>0.67283828251992217</v>
      </c>
      <c r="I6" s="33">
        <v>0.32716171748007777</v>
      </c>
      <c r="J6" s="26"/>
    </row>
    <row r="7" spans="1:10" x14ac:dyDescent="0.2">
      <c r="A7" s="63" t="s">
        <v>63</v>
      </c>
      <c r="B7" s="82">
        <v>13.872</v>
      </c>
      <c r="C7" s="69">
        <v>0.7113610149942331</v>
      </c>
      <c r="D7" s="75">
        <v>0.28863898500576696</v>
      </c>
      <c r="E7" s="33">
        <v>0.16798663082176851</v>
      </c>
      <c r="F7" s="82">
        <v>5.1989999999999998</v>
      </c>
      <c r="G7" s="113">
        <v>150.66900000000001</v>
      </c>
      <c r="H7" s="88">
        <v>0.67504757171722451</v>
      </c>
      <c r="I7" s="33">
        <v>0.32495242828277549</v>
      </c>
      <c r="J7" s="26"/>
    </row>
    <row r="8" spans="1:10" x14ac:dyDescent="0.2">
      <c r="A8" s="63" t="s">
        <v>8</v>
      </c>
      <c r="B8" s="82">
        <v>18.888000000000002</v>
      </c>
      <c r="C8" s="69" t="s">
        <v>1</v>
      </c>
      <c r="D8" s="75" t="s">
        <v>1</v>
      </c>
      <c r="E8" s="33">
        <v>0.52067482633145878</v>
      </c>
      <c r="F8" s="82">
        <v>5.6849999999999996</v>
      </c>
      <c r="G8" s="113">
        <v>118.97499999999999</v>
      </c>
      <c r="H8" s="88" t="s">
        <v>1</v>
      </c>
      <c r="I8" s="33" t="s">
        <v>1</v>
      </c>
      <c r="J8" s="26"/>
    </row>
    <row r="9" spans="1:10" x14ac:dyDescent="0.2">
      <c r="A9" s="63" t="s">
        <v>7</v>
      </c>
      <c r="B9" s="82">
        <v>77.850999999999999</v>
      </c>
      <c r="C9" s="69">
        <v>0.67192457386546089</v>
      </c>
      <c r="D9" s="75">
        <v>0.32807542613453905</v>
      </c>
      <c r="E9" s="33">
        <v>0.12550540061260682</v>
      </c>
      <c r="F9" s="82">
        <v>20.84</v>
      </c>
      <c r="G9" s="113">
        <v>652.53099999999995</v>
      </c>
      <c r="H9" s="88">
        <v>0.5596101947646932</v>
      </c>
      <c r="I9" s="33">
        <v>0.44038980523530685</v>
      </c>
      <c r="J9" s="26"/>
    </row>
    <row r="10" spans="1:10" x14ac:dyDescent="0.2">
      <c r="A10" s="63" t="s">
        <v>9</v>
      </c>
      <c r="B10" s="82">
        <v>1.038</v>
      </c>
      <c r="C10" s="69">
        <v>0.88824662813102118</v>
      </c>
      <c r="D10" s="75">
        <v>0.11175337186897881</v>
      </c>
      <c r="E10" s="33">
        <v>0.10171484566389025</v>
      </c>
      <c r="F10" s="82">
        <v>1.6040000000000001</v>
      </c>
      <c r="G10" s="113">
        <v>11.456</v>
      </c>
      <c r="H10" s="88">
        <v>0.80935754189944131</v>
      </c>
      <c r="I10" s="33">
        <v>0.19064245810055869</v>
      </c>
      <c r="J10" s="26"/>
    </row>
    <row r="11" spans="1:10" x14ac:dyDescent="0.2">
      <c r="A11" s="63" t="s">
        <v>16</v>
      </c>
      <c r="B11" s="82">
        <v>1.0209999999999999</v>
      </c>
      <c r="C11" s="69">
        <v>9.1087169441723681E-2</v>
      </c>
      <c r="D11" s="75">
        <v>0.90891283055827632</v>
      </c>
      <c r="E11" s="33">
        <v>1.7010996334555144E-2</v>
      </c>
      <c r="F11" s="82">
        <v>0.24</v>
      </c>
      <c r="G11" s="113">
        <v>9.6880000000000006</v>
      </c>
      <c r="H11" s="88">
        <v>0.22213047068538405</v>
      </c>
      <c r="I11" s="33">
        <v>0.77786952931461595</v>
      </c>
      <c r="J11" s="26"/>
    </row>
    <row r="12" spans="1:10" x14ac:dyDescent="0.2">
      <c r="A12" s="63" t="s">
        <v>10</v>
      </c>
      <c r="B12" s="82">
        <v>22.881</v>
      </c>
      <c r="C12" s="69">
        <v>0</v>
      </c>
      <c r="D12" s="75">
        <v>1</v>
      </c>
      <c r="E12" s="33">
        <v>7.7806152810318385E-2</v>
      </c>
      <c r="F12" s="82">
        <v>3.0510000000000002</v>
      </c>
      <c r="G12" s="113">
        <v>192.50200000000001</v>
      </c>
      <c r="H12" s="88">
        <v>1</v>
      </c>
      <c r="I12" s="33">
        <v>0</v>
      </c>
      <c r="J12" s="26"/>
    </row>
    <row r="13" spans="1:10" x14ac:dyDescent="0.2">
      <c r="A13" s="63" t="s">
        <v>11</v>
      </c>
      <c r="B13" s="82">
        <v>23.207000000000001</v>
      </c>
      <c r="C13" s="69">
        <v>0.41883914336191663</v>
      </c>
      <c r="D13" s="75">
        <v>0.58116085663808337</v>
      </c>
      <c r="E13" s="33">
        <v>4.0278112845363083E-2</v>
      </c>
      <c r="F13" s="82">
        <v>6.5970000000000004</v>
      </c>
      <c r="G13" s="113">
        <v>209.20699999999999</v>
      </c>
      <c r="H13" s="88">
        <v>0.26723771193124513</v>
      </c>
      <c r="I13" s="33">
        <v>0.73276228806875487</v>
      </c>
      <c r="J13" s="26"/>
    </row>
    <row r="14" spans="1:10" x14ac:dyDescent="0.2">
      <c r="A14" s="63" t="s">
        <v>52</v>
      </c>
      <c r="B14" s="82">
        <v>0.6</v>
      </c>
      <c r="C14" s="69">
        <v>0</v>
      </c>
      <c r="D14" s="75">
        <v>1</v>
      </c>
      <c r="E14" s="33">
        <v>2.36621051386205E-2</v>
      </c>
      <c r="F14" s="82">
        <v>0.113</v>
      </c>
      <c r="G14" s="113">
        <v>4.3650000000000002</v>
      </c>
      <c r="H14" s="88">
        <v>1</v>
      </c>
      <c r="I14" s="33">
        <v>0</v>
      </c>
      <c r="J14" s="26"/>
    </row>
    <row r="15" spans="1:10" x14ac:dyDescent="0.2">
      <c r="A15" s="63" t="s">
        <v>17</v>
      </c>
      <c r="B15" s="82">
        <v>27.387</v>
      </c>
      <c r="C15" s="69" t="s">
        <v>1</v>
      </c>
      <c r="D15" s="75" t="s">
        <v>1</v>
      </c>
      <c r="E15" s="33">
        <v>9.0178103977951854E-2</v>
      </c>
      <c r="F15" s="82">
        <v>5.8879999999999999</v>
      </c>
      <c r="G15" s="113">
        <v>193.066</v>
      </c>
      <c r="H15" s="88" t="s">
        <v>1</v>
      </c>
      <c r="I15" s="33" t="s">
        <v>1</v>
      </c>
      <c r="J15" s="26"/>
    </row>
    <row r="16" spans="1:10" x14ac:dyDescent="0.2">
      <c r="A16" s="63" t="s">
        <v>5</v>
      </c>
      <c r="B16" s="82">
        <v>1.4E-2</v>
      </c>
      <c r="C16" s="69">
        <v>0</v>
      </c>
      <c r="D16" s="75">
        <v>1</v>
      </c>
      <c r="E16" s="33">
        <v>3.1985378112862695E-3</v>
      </c>
      <c r="F16" s="82">
        <v>5.0000000000000001E-3</v>
      </c>
      <c r="G16" s="113">
        <v>6.7000000000000004E-2</v>
      </c>
      <c r="H16" s="88">
        <v>0</v>
      </c>
      <c r="I16" s="33">
        <v>1</v>
      </c>
      <c r="J16" s="26"/>
    </row>
    <row r="17" spans="1:10" x14ac:dyDescent="0.2">
      <c r="A17" s="63" t="s">
        <v>20</v>
      </c>
      <c r="B17" s="82">
        <v>1.5049999999999999</v>
      </c>
      <c r="C17" s="69">
        <v>0.96279069767441861</v>
      </c>
      <c r="D17" s="75">
        <v>3.7209302325581402E-2</v>
      </c>
      <c r="E17" s="33">
        <v>0.30682976554536184</v>
      </c>
      <c r="F17" s="82">
        <v>0.58599999999999997</v>
      </c>
      <c r="G17" s="113">
        <v>11.912000000000001</v>
      </c>
      <c r="H17" s="88">
        <v>0.93007051712558764</v>
      </c>
      <c r="I17" s="33">
        <v>6.9929482874412349E-2</v>
      </c>
      <c r="J17" s="26"/>
    </row>
    <row r="18" spans="1:10" x14ac:dyDescent="0.2">
      <c r="A18" s="63" t="s">
        <v>18</v>
      </c>
      <c r="B18" s="82">
        <v>2.2959999999999998</v>
      </c>
      <c r="C18" s="69">
        <v>0.92465156794425085</v>
      </c>
      <c r="D18" s="75">
        <v>7.5348432055749134E-2</v>
      </c>
      <c r="E18" s="33">
        <v>0.15532404275470166</v>
      </c>
      <c r="F18" s="82">
        <v>1.038</v>
      </c>
      <c r="G18" s="113">
        <v>19.898</v>
      </c>
      <c r="H18" s="88">
        <v>0.93954166247864102</v>
      </c>
      <c r="I18" s="33">
        <v>6.0458337521358936E-2</v>
      </c>
      <c r="J18" s="26"/>
    </row>
    <row r="19" spans="1:10" x14ac:dyDescent="0.2">
      <c r="A19" s="63" t="s">
        <v>19</v>
      </c>
      <c r="B19" s="82">
        <v>0.41799999999999998</v>
      </c>
      <c r="C19" s="69">
        <v>0</v>
      </c>
      <c r="D19" s="75">
        <v>1</v>
      </c>
      <c r="E19" s="33">
        <v>0.1012351658997336</v>
      </c>
      <c r="F19" s="82">
        <v>0.10100000000000001</v>
      </c>
      <c r="G19" s="113">
        <v>1.194</v>
      </c>
      <c r="H19" s="88">
        <v>0</v>
      </c>
      <c r="I19" s="33">
        <v>1</v>
      </c>
      <c r="J19" s="26"/>
    </row>
    <row r="20" spans="1:10" x14ac:dyDescent="0.2">
      <c r="A20" s="63" t="s">
        <v>15</v>
      </c>
      <c r="B20" s="82">
        <v>6.8410000000000002</v>
      </c>
      <c r="C20" s="69">
        <v>0.93363543341616717</v>
      </c>
      <c r="D20" s="75">
        <v>6.6364566583832774E-2</v>
      </c>
      <c r="E20" s="33">
        <v>0.19132988393231715</v>
      </c>
      <c r="F20" s="82">
        <v>2.0470000000000002</v>
      </c>
      <c r="G20" s="113">
        <v>47.423000000000002</v>
      </c>
      <c r="H20" s="88">
        <v>0.82603378107669279</v>
      </c>
      <c r="I20" s="33">
        <v>0.17396621892330724</v>
      </c>
      <c r="J20" s="26"/>
    </row>
    <row r="21" spans="1:10" x14ac:dyDescent="0.2">
      <c r="A21" s="63" t="s">
        <v>21</v>
      </c>
      <c r="B21" s="82">
        <v>0</v>
      </c>
      <c r="C21" s="69">
        <v>0</v>
      </c>
      <c r="D21" s="75">
        <v>0</v>
      </c>
      <c r="E21" s="33">
        <v>0</v>
      </c>
      <c r="F21" s="82">
        <v>0</v>
      </c>
      <c r="G21" s="113">
        <v>0</v>
      </c>
      <c r="H21" s="88">
        <v>0</v>
      </c>
      <c r="I21" s="33">
        <v>0</v>
      </c>
      <c r="J21" s="26"/>
    </row>
    <row r="22" spans="1:10" x14ac:dyDescent="0.2">
      <c r="A22" s="63" t="s">
        <v>22</v>
      </c>
      <c r="B22" s="82">
        <v>29.466999999999999</v>
      </c>
      <c r="C22" s="69" t="s">
        <v>1</v>
      </c>
      <c r="D22" s="75" t="s">
        <v>1</v>
      </c>
      <c r="E22" s="33">
        <v>0.29402608287849608</v>
      </c>
      <c r="F22" s="82">
        <v>7.1619999999999999</v>
      </c>
      <c r="G22" s="113">
        <v>220.28100000000001</v>
      </c>
      <c r="H22" s="88" t="s">
        <v>1</v>
      </c>
      <c r="I22" s="33" t="s">
        <v>1</v>
      </c>
      <c r="J22" s="26"/>
    </row>
    <row r="23" spans="1:10" x14ac:dyDescent="0.2">
      <c r="A23" s="63" t="s">
        <v>2</v>
      </c>
      <c r="B23" s="82">
        <v>10.132999999999999</v>
      </c>
      <c r="C23" s="69">
        <v>0.47360110529951638</v>
      </c>
      <c r="D23" s="75">
        <v>0.52639889470048362</v>
      </c>
      <c r="E23" s="33">
        <v>0.15423839749151405</v>
      </c>
      <c r="F23" s="82">
        <v>3.2530000000000001</v>
      </c>
      <c r="G23" s="113">
        <v>95.847999999999999</v>
      </c>
      <c r="H23" s="88">
        <v>0.3192659210416493</v>
      </c>
      <c r="I23" s="33">
        <v>0.6807340789583507</v>
      </c>
      <c r="J23" s="26"/>
    </row>
    <row r="24" spans="1:10" x14ac:dyDescent="0.2">
      <c r="A24" s="63" t="s">
        <v>24</v>
      </c>
      <c r="B24" s="82">
        <v>26.298999999999999</v>
      </c>
      <c r="C24" s="69">
        <v>0.77436404426023797</v>
      </c>
      <c r="D24" s="75">
        <v>0.22563595573976197</v>
      </c>
      <c r="E24" s="33">
        <v>0.16757786613651424</v>
      </c>
      <c r="F24" s="82">
        <v>8.3130000000000006</v>
      </c>
      <c r="G24" s="113">
        <v>275.42500000000001</v>
      </c>
      <c r="H24" s="88">
        <v>0.61632749387310515</v>
      </c>
      <c r="I24" s="33">
        <v>0.3836725061268948</v>
      </c>
      <c r="J24" s="26"/>
    </row>
    <row r="25" spans="1:10" x14ac:dyDescent="0.2">
      <c r="A25" s="63" t="s">
        <v>25</v>
      </c>
      <c r="B25" s="82">
        <v>5.4240000000000004</v>
      </c>
      <c r="C25" s="69">
        <v>0.68104719764011801</v>
      </c>
      <c r="D25" s="75">
        <v>0.31895280235988199</v>
      </c>
      <c r="E25" s="33">
        <v>0.11644982609815793</v>
      </c>
      <c r="F25" s="82">
        <v>1.079</v>
      </c>
      <c r="G25" s="113">
        <v>59.609000000000002</v>
      </c>
      <c r="H25" s="88">
        <v>0.46419164891207709</v>
      </c>
      <c r="I25" s="33">
        <v>0.53580835108792291</v>
      </c>
      <c r="J25" s="26"/>
    </row>
    <row r="26" spans="1:10" x14ac:dyDescent="0.2">
      <c r="A26" s="63" t="s">
        <v>26</v>
      </c>
      <c r="B26" s="82">
        <v>15.548999999999999</v>
      </c>
      <c r="C26" s="69">
        <v>0.94578429480995563</v>
      </c>
      <c r="D26" s="75">
        <v>5.4215705190044379E-2</v>
      </c>
      <c r="E26" s="33">
        <v>0.26171040008079038</v>
      </c>
      <c r="F26" s="82">
        <v>5.2460000000000004</v>
      </c>
      <c r="G26" s="113">
        <v>95.385999999999996</v>
      </c>
      <c r="H26" s="88">
        <v>0.85493678317572808</v>
      </c>
      <c r="I26" s="33">
        <v>0.14506321682427192</v>
      </c>
      <c r="J26" s="26"/>
    </row>
    <row r="27" spans="1:10" x14ac:dyDescent="0.2">
      <c r="A27" s="63" t="s">
        <v>28</v>
      </c>
      <c r="B27" s="82">
        <v>1.1040000000000001</v>
      </c>
      <c r="C27" s="69" t="s">
        <v>1</v>
      </c>
      <c r="D27" s="75" t="s">
        <v>1</v>
      </c>
      <c r="E27" s="33">
        <v>7.3030363167295095E-2</v>
      </c>
      <c r="F27" s="82">
        <v>0.33600000000000002</v>
      </c>
      <c r="G27" s="113">
        <v>15.000999999999999</v>
      </c>
      <c r="H27" s="88" t="s">
        <v>1</v>
      </c>
      <c r="I27" s="33" t="s">
        <v>1</v>
      </c>
      <c r="J27" s="26"/>
    </row>
    <row r="28" spans="1:10" x14ac:dyDescent="0.2">
      <c r="A28" s="63" t="s">
        <v>55</v>
      </c>
      <c r="B28" s="82">
        <v>4.8029999999999999</v>
      </c>
      <c r="C28" s="69">
        <v>0.54965646470955654</v>
      </c>
      <c r="D28" s="75">
        <v>0.45034353529044346</v>
      </c>
      <c r="E28" s="33">
        <v>0.15269432522651408</v>
      </c>
      <c r="F28" s="82">
        <v>5.4109999999999996</v>
      </c>
      <c r="G28" s="113">
        <v>33.676000000000002</v>
      </c>
      <c r="H28" s="88">
        <v>0.58430336144435202</v>
      </c>
      <c r="I28" s="33">
        <v>0.41569663855564792</v>
      </c>
      <c r="J28" s="26"/>
    </row>
    <row r="29" spans="1:10" x14ac:dyDescent="0.2">
      <c r="A29" s="63" t="s">
        <v>12</v>
      </c>
      <c r="B29" s="117">
        <v>27.457000000000001</v>
      </c>
      <c r="C29" s="118">
        <v>0.69082565466001378</v>
      </c>
      <c r="D29" s="119">
        <v>0.30917434533998617</v>
      </c>
      <c r="E29" s="120">
        <v>0.38919049171497822</v>
      </c>
      <c r="F29" s="117">
        <v>5.8319999999999999</v>
      </c>
      <c r="G29" s="121">
        <v>249.977</v>
      </c>
      <c r="H29" s="122">
        <v>0.50672661884893411</v>
      </c>
      <c r="I29" s="120">
        <v>0.49327338115106589</v>
      </c>
      <c r="J29" s="26"/>
    </row>
    <row r="30" spans="1:10" x14ac:dyDescent="0.2">
      <c r="A30" s="64" t="s">
        <v>27</v>
      </c>
      <c r="B30" s="90">
        <v>10.666</v>
      </c>
      <c r="C30" s="91" t="s">
        <v>1</v>
      </c>
      <c r="D30" s="92" t="s">
        <v>1</v>
      </c>
      <c r="E30" s="34">
        <v>6.7320983368573867E-2</v>
      </c>
      <c r="F30" s="90">
        <v>3.488</v>
      </c>
      <c r="G30" s="114">
        <v>132.72499999999999</v>
      </c>
      <c r="H30" s="94">
        <v>0.48391034093049534</v>
      </c>
      <c r="I30" s="34">
        <v>0.51608965906950466</v>
      </c>
      <c r="J30" s="26"/>
    </row>
    <row r="31" spans="1:10" x14ac:dyDescent="0.2">
      <c r="A31" s="64" t="s">
        <v>29</v>
      </c>
      <c r="B31" s="90">
        <v>27.236999999999998</v>
      </c>
      <c r="C31" s="91">
        <v>9.4356940925946153E-2</v>
      </c>
      <c r="D31" s="92">
        <v>0.90564305907405385</v>
      </c>
      <c r="E31" s="34">
        <v>6.8365449055353494E-2</v>
      </c>
      <c r="F31" s="90">
        <v>5.44</v>
      </c>
      <c r="G31" s="114">
        <v>185.23599999999999</v>
      </c>
      <c r="H31" s="94">
        <v>7.2631669869787641E-2</v>
      </c>
      <c r="I31" s="34">
        <v>0.92736833013021236</v>
      </c>
      <c r="J31" s="26"/>
    </row>
    <row r="32" spans="1:10" x14ac:dyDescent="0.2">
      <c r="A32" s="106" t="s">
        <v>56</v>
      </c>
      <c r="B32" s="107">
        <v>7.1870000000000003</v>
      </c>
      <c r="C32" s="110">
        <v>0.29692500347850292</v>
      </c>
      <c r="D32" s="179">
        <v>0.70307499652149708</v>
      </c>
      <c r="E32" s="108">
        <v>4.4376250339598411E-2</v>
      </c>
      <c r="F32" s="107" t="s">
        <v>1</v>
      </c>
      <c r="G32" s="180">
        <v>91.57</v>
      </c>
      <c r="H32" s="181">
        <v>0.1602053074150922</v>
      </c>
      <c r="I32" s="108">
        <v>0.8397946925849078</v>
      </c>
      <c r="J32" s="26"/>
    </row>
    <row r="33" spans="1:10" x14ac:dyDescent="0.2">
      <c r="A33" s="25"/>
      <c r="B33" s="178"/>
      <c r="F33" s="178"/>
      <c r="G33" s="178"/>
      <c r="J33" s="26"/>
    </row>
    <row r="34" spans="1:10" x14ac:dyDescent="0.2">
      <c r="A34" s="25"/>
      <c r="B34" s="26"/>
      <c r="C34" s="27"/>
      <c r="D34" s="27"/>
      <c r="E34" s="27"/>
      <c r="F34" s="28"/>
      <c r="G34" s="29"/>
      <c r="H34" s="27"/>
      <c r="I34" s="27"/>
      <c r="J34" s="26"/>
    </row>
    <row r="35" spans="1:10" x14ac:dyDescent="0.2">
      <c r="A35" s="25"/>
      <c r="B35" s="26"/>
      <c r="C35" s="27"/>
      <c r="D35" s="27"/>
      <c r="E35" s="27"/>
      <c r="F35" s="28"/>
      <c r="G35" s="29"/>
      <c r="H35" s="27"/>
      <c r="I35" s="27"/>
      <c r="J35" s="26"/>
    </row>
    <row r="36" spans="1:10" x14ac:dyDescent="0.2">
      <c r="F36" s="36"/>
      <c r="G36" s="36"/>
    </row>
    <row r="37" spans="1:10" ht="36" x14ac:dyDescent="0.2">
      <c r="A37" s="54">
        <v>2005</v>
      </c>
      <c r="B37" s="72" t="s">
        <v>57</v>
      </c>
      <c r="C37" s="66" t="s">
        <v>58</v>
      </c>
      <c r="D37" s="12" t="s">
        <v>59</v>
      </c>
      <c r="E37" s="12" t="s">
        <v>60</v>
      </c>
      <c r="F37" s="102" t="s">
        <v>61</v>
      </c>
      <c r="G37" s="102" t="s">
        <v>62</v>
      </c>
    </row>
    <row r="38" spans="1:10" x14ac:dyDescent="0.2">
      <c r="A38" s="59" t="s">
        <v>50</v>
      </c>
      <c r="B38" s="77">
        <v>8259.42</v>
      </c>
      <c r="C38" s="67">
        <v>0.35394821912434532</v>
      </c>
      <c r="D38" s="60">
        <v>6.5271895605260408E-2</v>
      </c>
      <c r="E38" s="60">
        <v>0.39227839242949264</v>
      </c>
      <c r="F38" s="60">
        <v>8.9711868387852903E-2</v>
      </c>
      <c r="G38" s="60">
        <v>9.8789624453048758E-2</v>
      </c>
    </row>
    <row r="39" spans="1:10" x14ac:dyDescent="0.2">
      <c r="A39" s="61" t="s">
        <v>3</v>
      </c>
      <c r="B39" s="81">
        <v>141.09200000000001</v>
      </c>
      <c r="C39" s="109">
        <v>1.8477305587843391E-2</v>
      </c>
      <c r="D39" s="105">
        <v>3.1957871459756752E-2</v>
      </c>
      <c r="E39" s="105">
        <v>0.60425112692427629</v>
      </c>
      <c r="F39" s="105">
        <v>1.3927083038017747E-2</v>
      </c>
      <c r="G39" s="105">
        <v>0.33138661299010574</v>
      </c>
    </row>
    <row r="40" spans="1:10" x14ac:dyDescent="0.2">
      <c r="A40" s="63" t="s">
        <v>4</v>
      </c>
      <c r="B40" s="82">
        <v>110.01900000000001</v>
      </c>
      <c r="C40" s="69">
        <v>0.55297721302684077</v>
      </c>
      <c r="D40" s="33">
        <v>8.2140357574600739E-2</v>
      </c>
      <c r="E40" s="33">
        <v>0.30480189785400702</v>
      </c>
      <c r="F40" s="33">
        <v>0</v>
      </c>
      <c r="G40" s="33">
        <v>6.008053154455139E-2</v>
      </c>
    </row>
    <row r="41" spans="1:10" x14ac:dyDescent="0.2">
      <c r="A41" s="63" t="s">
        <v>63</v>
      </c>
      <c r="B41" s="82">
        <v>431.34800000000001</v>
      </c>
      <c r="C41" s="69">
        <v>0.79113357765702019</v>
      </c>
      <c r="D41" s="33">
        <v>1.6853279413623152E-2</v>
      </c>
      <c r="E41" s="33">
        <v>9.2298748894224708E-2</v>
      </c>
      <c r="F41" s="33">
        <v>4.9541261215720965E-2</v>
      </c>
      <c r="G41" s="33">
        <v>5.0173132819411104E-2</v>
      </c>
    </row>
    <row r="42" spans="1:10" x14ac:dyDescent="0.2">
      <c r="A42" s="63" t="s">
        <v>8</v>
      </c>
      <c r="B42" s="82">
        <v>299.173</v>
      </c>
      <c r="C42" s="69">
        <v>0.46353447670745684</v>
      </c>
      <c r="D42" s="33">
        <v>4.5772847148639745E-2</v>
      </c>
      <c r="E42" s="33">
        <v>0.29136653374468957</v>
      </c>
      <c r="F42" s="33">
        <v>0.16905268857818051</v>
      </c>
      <c r="G42" s="33">
        <v>3.0273453821033313E-2</v>
      </c>
    </row>
    <row r="43" spans="1:10" x14ac:dyDescent="0.2">
      <c r="A43" s="63" t="s">
        <v>7</v>
      </c>
      <c r="B43" s="82">
        <v>1204.7929999999999</v>
      </c>
      <c r="C43" s="69">
        <v>0.30995947021604542</v>
      </c>
      <c r="D43" s="33">
        <v>5.1624635933309709E-2</v>
      </c>
      <c r="E43" s="33">
        <v>0.5062081203991059</v>
      </c>
      <c r="F43" s="33">
        <v>5.3429925306670949E-2</v>
      </c>
      <c r="G43" s="33">
        <v>7.8777848144868046E-2</v>
      </c>
    </row>
    <row r="44" spans="1:10" x14ac:dyDescent="0.2">
      <c r="A44" s="63" t="s">
        <v>9</v>
      </c>
      <c r="B44" s="82">
        <v>21.751000000000001</v>
      </c>
      <c r="C44" s="69">
        <v>0.49137970668015257</v>
      </c>
      <c r="D44" s="33">
        <v>4.4595650774677019E-3</v>
      </c>
      <c r="E44" s="33">
        <v>0.43289963679830812</v>
      </c>
      <c r="F44" s="33">
        <v>7.1261091444071542E-2</v>
      </c>
      <c r="G44" s="33">
        <v>0</v>
      </c>
    </row>
    <row r="45" spans="1:10" x14ac:dyDescent="0.2">
      <c r="A45" s="63" t="s">
        <v>16</v>
      </c>
      <c r="B45" s="82">
        <v>85.254999999999995</v>
      </c>
      <c r="C45" s="69">
        <v>0.82886634215002064</v>
      </c>
      <c r="D45" s="33">
        <v>3.2608058178405959E-2</v>
      </c>
      <c r="E45" s="33">
        <v>3.7722127734443729E-2</v>
      </c>
      <c r="F45" s="33">
        <v>3.5657732684300043E-3</v>
      </c>
      <c r="G45" s="33">
        <v>9.7237698668699787E-2</v>
      </c>
    </row>
    <row r="46" spans="1:10" x14ac:dyDescent="0.2">
      <c r="A46" s="63" t="s">
        <v>10</v>
      </c>
      <c r="B46" s="82">
        <v>406.26</v>
      </c>
      <c r="C46" s="69">
        <v>1.8224782159208388E-2</v>
      </c>
      <c r="D46" s="33">
        <v>8.9511642790331317E-2</v>
      </c>
      <c r="E46" s="33">
        <v>0.7610249593856151</v>
      </c>
      <c r="F46" s="33">
        <v>0</v>
      </c>
      <c r="G46" s="33">
        <v>0.13123861566484518</v>
      </c>
    </row>
    <row r="47" spans="1:10" x14ac:dyDescent="0.2">
      <c r="A47" s="63" t="s">
        <v>11</v>
      </c>
      <c r="B47" s="82">
        <v>407.54399999999998</v>
      </c>
      <c r="C47" s="69">
        <v>5.0119741672064864E-2</v>
      </c>
      <c r="D47" s="33">
        <v>4.3455430579274874E-2</v>
      </c>
      <c r="E47" s="33">
        <v>0.53455577802642174</v>
      </c>
      <c r="F47" s="33">
        <v>0.23216634277525863</v>
      </c>
      <c r="G47" s="33">
        <v>0.13970270694697995</v>
      </c>
    </row>
    <row r="48" spans="1:10" x14ac:dyDescent="0.2">
      <c r="A48" s="63" t="s">
        <v>52</v>
      </c>
      <c r="B48" s="82">
        <v>8.3840000000000003</v>
      </c>
      <c r="C48" s="69">
        <v>0.14575381679389313</v>
      </c>
      <c r="D48" s="33">
        <v>1.0734732824427479E-3</v>
      </c>
      <c r="E48" s="33">
        <v>0.76860687022900764</v>
      </c>
      <c r="F48" s="33">
        <v>1.7533396946564885E-2</v>
      </c>
      <c r="G48" s="33">
        <v>6.70324427480916E-2</v>
      </c>
    </row>
    <row r="49" spans="1:7" x14ac:dyDescent="0.2">
      <c r="A49" s="63" t="s">
        <v>17</v>
      </c>
      <c r="B49" s="82">
        <v>887.83399999999995</v>
      </c>
      <c r="C49" s="69">
        <v>7.9564423079089112E-3</v>
      </c>
      <c r="D49" s="33">
        <v>0.18783804179610153</v>
      </c>
      <c r="E49" s="33">
        <v>0.67367097903436912</v>
      </c>
      <c r="F49" s="33">
        <v>3.5250959075683069E-2</v>
      </c>
      <c r="G49" s="33">
        <v>9.5283577785937462E-2</v>
      </c>
    </row>
    <row r="50" spans="1:7" x14ac:dyDescent="0.2">
      <c r="A50" s="63" t="s">
        <v>5</v>
      </c>
      <c r="B50" s="82">
        <v>0.28000000000000003</v>
      </c>
      <c r="C50" s="69">
        <v>0</v>
      </c>
      <c r="D50" s="33">
        <v>1</v>
      </c>
      <c r="E50" s="33">
        <v>0</v>
      </c>
      <c r="F50" s="33">
        <v>0</v>
      </c>
      <c r="G50" s="33">
        <v>0</v>
      </c>
    </row>
    <row r="51" spans="1:7" x14ac:dyDescent="0.2">
      <c r="A51" s="63" t="s">
        <v>20</v>
      </c>
      <c r="B51" s="82">
        <v>21.867999999999999</v>
      </c>
      <c r="C51" s="69">
        <v>0</v>
      </c>
      <c r="D51" s="33">
        <v>2.4144869215291753E-2</v>
      </c>
      <c r="E51" s="33">
        <v>0.91924272910188409</v>
      </c>
      <c r="F51" s="33">
        <v>5.661240168282422E-2</v>
      </c>
      <c r="G51" s="33">
        <v>0</v>
      </c>
    </row>
    <row r="52" spans="1:7" x14ac:dyDescent="0.2">
      <c r="A52" s="63" t="s">
        <v>18</v>
      </c>
      <c r="B52" s="82">
        <v>45</v>
      </c>
      <c r="C52" s="69">
        <v>0</v>
      </c>
      <c r="D52" s="33">
        <v>0.12588888888888888</v>
      </c>
      <c r="E52" s="33">
        <v>0.86897777777777774</v>
      </c>
      <c r="F52" s="33">
        <v>5.1333333333333335E-3</v>
      </c>
      <c r="G52" s="33">
        <v>0</v>
      </c>
    </row>
    <row r="53" spans="1:7" x14ac:dyDescent="0.2">
      <c r="A53" s="63" t="s">
        <v>19</v>
      </c>
      <c r="B53" s="82">
        <v>4.7759999999999998</v>
      </c>
      <c r="C53" s="69">
        <v>0</v>
      </c>
      <c r="D53" s="33">
        <v>0</v>
      </c>
      <c r="E53" s="33">
        <v>1</v>
      </c>
      <c r="F53" s="33">
        <v>0</v>
      </c>
      <c r="G53" s="33">
        <v>0</v>
      </c>
    </row>
    <row r="54" spans="1:7" x14ac:dyDescent="0.2">
      <c r="A54" s="63" t="s">
        <v>15</v>
      </c>
      <c r="B54" s="82">
        <v>97.683000000000007</v>
      </c>
      <c r="C54" s="69">
        <v>7.0135028612962336E-2</v>
      </c>
      <c r="D54" s="33">
        <v>1.7096117031622698E-2</v>
      </c>
      <c r="E54" s="33">
        <v>0.79591126398656875</v>
      </c>
      <c r="F54" s="33">
        <v>1.1967281922135888E-2</v>
      </c>
      <c r="G54" s="33">
        <v>0.10489030844671027</v>
      </c>
    </row>
    <row r="55" spans="1:7" x14ac:dyDescent="0.2">
      <c r="A55" s="63" t="s">
        <v>21</v>
      </c>
      <c r="B55" s="82">
        <v>0</v>
      </c>
      <c r="C55" s="69">
        <v>0</v>
      </c>
      <c r="D55" s="33">
        <v>0</v>
      </c>
      <c r="E55" s="33">
        <v>0</v>
      </c>
      <c r="F55" s="33">
        <v>0</v>
      </c>
      <c r="G55" s="33">
        <v>0</v>
      </c>
    </row>
    <row r="56" spans="1:7" x14ac:dyDescent="0.2">
      <c r="A56" s="63" t="s">
        <v>22</v>
      </c>
      <c r="B56" s="82">
        <v>597.49800000000005</v>
      </c>
      <c r="C56" s="69">
        <v>0.14068331609478191</v>
      </c>
      <c r="D56" s="33">
        <v>2.3518070353373565E-2</v>
      </c>
      <c r="E56" s="33">
        <v>0.69540316452942097</v>
      </c>
      <c r="F56" s="33">
        <v>2.1327268041064572E-2</v>
      </c>
      <c r="G56" s="33">
        <v>0.11906818098135892</v>
      </c>
    </row>
    <row r="57" spans="1:7" x14ac:dyDescent="0.2">
      <c r="A57" s="63" t="s">
        <v>2</v>
      </c>
      <c r="B57" s="82">
        <v>252.56899999999999</v>
      </c>
      <c r="C57" s="69">
        <v>0.14850199351464352</v>
      </c>
      <c r="D57" s="33">
        <v>9.3142863930252728E-2</v>
      </c>
      <c r="E57" s="33">
        <v>0.44994041232296916</v>
      </c>
      <c r="F57" s="33">
        <v>0.20199232684929663</v>
      </c>
      <c r="G57" s="33">
        <v>0.10642240338283795</v>
      </c>
    </row>
    <row r="58" spans="1:7" x14ac:dyDescent="0.2">
      <c r="A58" s="63" t="s">
        <v>24</v>
      </c>
      <c r="B58" s="82">
        <v>1489.787</v>
      </c>
      <c r="C58" s="69">
        <v>0.92141292681437004</v>
      </c>
      <c r="D58" s="33">
        <v>2.9270627277590687E-2</v>
      </c>
      <c r="E58" s="33">
        <v>2.7244163091770836E-2</v>
      </c>
      <c r="F58" s="33">
        <v>9.6993731318638175E-3</v>
      </c>
      <c r="G58" s="33">
        <v>1.2372909684404548E-2</v>
      </c>
    </row>
    <row r="59" spans="1:7" x14ac:dyDescent="0.2">
      <c r="A59" s="63" t="s">
        <v>25</v>
      </c>
      <c r="B59" s="82">
        <v>103.71299999999999</v>
      </c>
      <c r="C59" s="69">
        <v>0</v>
      </c>
      <c r="D59" s="33">
        <v>0.37058999353986483</v>
      </c>
      <c r="E59" s="33">
        <v>0.2101858012013923</v>
      </c>
      <c r="F59" s="33">
        <v>0.36836269320143089</v>
      </c>
      <c r="G59" s="33">
        <v>5.0861512057312007E-2</v>
      </c>
    </row>
    <row r="60" spans="1:7" x14ac:dyDescent="0.2">
      <c r="A60" s="63" t="s">
        <v>26</v>
      </c>
      <c r="B60" s="82">
        <v>265.41500000000002</v>
      </c>
      <c r="C60" s="69">
        <v>0.45472938605579938</v>
      </c>
      <c r="D60" s="33">
        <v>0.10481321703746961</v>
      </c>
      <c r="E60" s="33">
        <v>0.42924476762805414</v>
      </c>
      <c r="F60" s="33">
        <v>0</v>
      </c>
      <c r="G60" s="33">
        <v>1.1212629278676788E-2</v>
      </c>
    </row>
    <row r="61" spans="1:7" x14ac:dyDescent="0.2">
      <c r="A61" s="63" t="s">
        <v>28</v>
      </c>
      <c r="B61" s="82">
        <v>64.015000000000001</v>
      </c>
      <c r="C61" s="69">
        <v>0.84000624853549943</v>
      </c>
      <c r="D61" s="33">
        <v>1.7792704834804343E-2</v>
      </c>
      <c r="E61" s="33">
        <v>8.5698664375536984E-2</v>
      </c>
      <c r="F61" s="33">
        <v>5.4659064281808951E-2</v>
      </c>
      <c r="G61" s="33">
        <v>1.8433179723502304E-3</v>
      </c>
    </row>
    <row r="62" spans="1:7" x14ac:dyDescent="0.2">
      <c r="A62" s="63" t="s">
        <v>55</v>
      </c>
      <c r="B62" s="82">
        <v>327.71100000000001</v>
      </c>
      <c r="C62" s="69">
        <v>0.25733344318622198</v>
      </c>
      <c r="D62" s="33">
        <v>4.5079353454720777E-2</v>
      </c>
      <c r="E62" s="33">
        <v>8.1571872778149049E-2</v>
      </c>
      <c r="F62" s="33">
        <v>1.5806610092429E-3</v>
      </c>
      <c r="G62" s="33">
        <v>0.61443466957166526</v>
      </c>
    </row>
    <row r="63" spans="1:7" x14ac:dyDescent="0.2">
      <c r="A63" s="63" t="s">
        <v>12</v>
      </c>
      <c r="B63" s="117">
        <v>466.87099999999998</v>
      </c>
      <c r="C63" s="118">
        <v>0.27189309252448751</v>
      </c>
      <c r="D63" s="120">
        <v>2.2526565153971868E-2</v>
      </c>
      <c r="E63" s="120">
        <v>0.23316933371316703</v>
      </c>
      <c r="F63" s="120">
        <v>0.44576124882462181</v>
      </c>
      <c r="G63" s="120">
        <v>2.6649759783751829E-2</v>
      </c>
    </row>
    <row r="64" spans="1:7" x14ac:dyDescent="0.2">
      <c r="A64" s="63" t="s">
        <v>27</v>
      </c>
      <c r="B64" s="82">
        <v>211.40199999999999</v>
      </c>
      <c r="C64" s="69">
        <v>9.5599852413884454E-2</v>
      </c>
      <c r="D64" s="33">
        <v>0.11243507630012962</v>
      </c>
      <c r="E64" s="33">
        <v>4.1645774401377469E-2</v>
      </c>
      <c r="F64" s="33">
        <v>0.65606285654818786</v>
      </c>
      <c r="G64" s="33">
        <v>9.4256440336420666E-2</v>
      </c>
    </row>
    <row r="65" spans="1:7" x14ac:dyDescent="0.2">
      <c r="A65" s="64" t="s">
        <v>29</v>
      </c>
      <c r="B65" s="90">
        <v>343.35700000000003</v>
      </c>
      <c r="C65" s="91">
        <v>2.9989194919573504E-2</v>
      </c>
      <c r="D65" s="34">
        <v>4.0115681346237296E-2</v>
      </c>
      <c r="E65" s="34">
        <v>0.71749811420766141</v>
      </c>
      <c r="F65" s="34">
        <v>1.9405458458688771E-2</v>
      </c>
      <c r="G65" s="34">
        <v>0.192991551067839</v>
      </c>
    </row>
    <row r="66" spans="1:7" x14ac:dyDescent="0.2">
      <c r="A66" s="106" t="s">
        <v>56</v>
      </c>
      <c r="B66" s="107">
        <v>258.43599999999998</v>
      </c>
      <c r="C66" s="110">
        <v>7.9590304756303312E-2</v>
      </c>
      <c r="D66" s="108">
        <v>0.20831850051850365</v>
      </c>
      <c r="E66" s="108">
        <v>0.62522249222244575</v>
      </c>
      <c r="F66" s="108">
        <v>1.803154359299788E-3</v>
      </c>
      <c r="G66" s="108">
        <v>8.5065548143447509E-2</v>
      </c>
    </row>
    <row r="67" spans="1:7" x14ac:dyDescent="0.2">
      <c r="A67" s="25"/>
      <c r="B67" s="26"/>
      <c r="C67" s="27"/>
      <c r="D67" s="27"/>
      <c r="E67" s="27"/>
      <c r="F67" s="31"/>
      <c r="G67" s="31"/>
    </row>
    <row r="68" spans="1:7" x14ac:dyDescent="0.2">
      <c r="A68" s="25"/>
      <c r="B68" s="26"/>
      <c r="C68" s="27"/>
      <c r="D68" s="27"/>
      <c r="E68" s="27"/>
      <c r="F68" s="31"/>
      <c r="G68" s="31"/>
    </row>
    <row r="69" spans="1:7" ht="13.5" x14ac:dyDescent="0.2">
      <c r="A69" s="39"/>
      <c r="B69" s="26"/>
      <c r="C69" s="27"/>
      <c r="D69" s="27"/>
      <c r="E69" s="27"/>
      <c r="F69" s="31"/>
      <c r="G69" s="31"/>
    </row>
    <row r="70" spans="1:7" ht="13.5" x14ac:dyDescent="0.2">
      <c r="A70" s="39"/>
    </row>
    <row r="71" spans="1:7" ht="13.5" x14ac:dyDescent="0.2">
      <c r="A71" s="39"/>
    </row>
    <row r="72" spans="1:7" ht="13.5" x14ac:dyDescent="0.2">
      <c r="A7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zoomScaleNormal="100" workbookViewId="0"/>
  </sheetViews>
  <sheetFormatPr defaultRowHeight="12.75" x14ac:dyDescent="0.2"/>
  <cols>
    <col min="1" max="1" width="15.5703125" style="245" customWidth="1"/>
    <col min="2" max="2" width="20.140625" style="245" customWidth="1"/>
    <col min="3" max="3" width="17" style="245" customWidth="1"/>
    <col min="4" max="4" width="8.85546875" style="245" bestFit="1" customWidth="1"/>
    <col min="5" max="5" width="15.42578125" style="245" customWidth="1"/>
    <col min="6" max="9" width="13.7109375" style="245" bestFit="1" customWidth="1"/>
    <col min="10" max="16384" width="9.140625" style="245"/>
  </cols>
  <sheetData>
    <row r="1" spans="1:13" ht="15.75" x14ac:dyDescent="0.25">
      <c r="A1" s="52" t="s">
        <v>150</v>
      </c>
      <c r="B1" s="52"/>
      <c r="C1" s="35"/>
      <c r="D1" s="36"/>
      <c r="E1" s="36"/>
      <c r="F1" s="36"/>
      <c r="G1" s="37"/>
      <c r="H1" s="37"/>
      <c r="I1" s="36"/>
      <c r="J1" s="36"/>
      <c r="K1" s="53"/>
      <c r="L1" s="53"/>
      <c r="M1" s="53"/>
    </row>
    <row r="2" spans="1:13" x14ac:dyDescent="0.2">
      <c r="A2" s="38"/>
      <c r="B2" s="38"/>
      <c r="C2" s="35"/>
      <c r="D2" s="36"/>
      <c r="E2" s="36"/>
      <c r="F2" s="36"/>
      <c r="G2" s="37"/>
      <c r="H2" s="37"/>
      <c r="I2" s="36"/>
      <c r="J2" s="36"/>
      <c r="K2" s="53"/>
      <c r="L2" s="53"/>
      <c r="M2" s="53"/>
    </row>
    <row r="3" spans="1:13" ht="60" x14ac:dyDescent="0.2">
      <c r="A3" s="54"/>
      <c r="B3" s="54"/>
      <c r="C3" s="72" t="s">
        <v>43</v>
      </c>
      <c r="D3" s="12" t="s">
        <v>128</v>
      </c>
      <c r="E3" s="226" t="s">
        <v>142</v>
      </c>
      <c r="F3" s="12" t="s">
        <v>112</v>
      </c>
      <c r="G3" s="72" t="s">
        <v>113</v>
      </c>
      <c r="H3" s="55" t="s">
        <v>128</v>
      </c>
      <c r="I3" s="66" t="s">
        <v>114</v>
      </c>
      <c r="J3" s="12" t="s">
        <v>128</v>
      </c>
      <c r="K3" s="72" t="s">
        <v>115</v>
      </c>
      <c r="L3" s="55" t="s">
        <v>128</v>
      </c>
      <c r="M3" s="72" t="s">
        <v>116</v>
      </c>
    </row>
    <row r="4" spans="1:13" ht="13.5" x14ac:dyDescent="0.2">
      <c r="A4" s="258" t="s">
        <v>155</v>
      </c>
      <c r="B4" s="258"/>
      <c r="C4" s="259">
        <v>348.39446326933904</v>
      </c>
      <c r="D4" s="260">
        <v>311.60907638125536</v>
      </c>
      <c r="E4" s="259">
        <v>2908.9322940000002</v>
      </c>
      <c r="F4" s="261">
        <v>0.11976712692417826</v>
      </c>
      <c r="G4" s="259">
        <v>133.34343409381569</v>
      </c>
      <c r="H4" s="260">
        <v>113.44017641874912</v>
      </c>
      <c r="I4" s="259">
        <v>2629.1782994558362</v>
      </c>
      <c r="J4" s="260">
        <v>2242.6747435538518</v>
      </c>
      <c r="K4" s="259">
        <v>285.43032967698622</v>
      </c>
      <c r="L4" s="260">
        <v>226.3274716560025</v>
      </c>
      <c r="M4" s="259">
        <v>1288.2227398770465</v>
      </c>
    </row>
    <row r="5" spans="1:13" ht="13.5" x14ac:dyDescent="0.2">
      <c r="A5" s="13" t="s">
        <v>151</v>
      </c>
      <c r="B5" s="255"/>
      <c r="C5" s="269">
        <v>12.808432999999999</v>
      </c>
      <c r="D5" s="256">
        <v>11.417922999999998</v>
      </c>
      <c r="E5" s="273">
        <v>93.745999999999995</v>
      </c>
      <c r="F5" s="257">
        <v>0.13662911484223328</v>
      </c>
      <c r="G5" s="269">
        <v>2.432264</v>
      </c>
      <c r="H5" s="256">
        <v>2.0898180000000002</v>
      </c>
      <c r="I5" s="269">
        <v>94.784324000000012</v>
      </c>
      <c r="J5" s="256">
        <v>81.660354000000012</v>
      </c>
      <c r="K5" s="269">
        <v>4.9432000000000009</v>
      </c>
      <c r="L5" s="256">
        <v>3.9502270000000004</v>
      </c>
      <c r="M5" s="269">
        <v>41.658837999999996</v>
      </c>
    </row>
    <row r="6" spans="1:13" x14ac:dyDescent="0.2">
      <c r="A6" s="14" t="s">
        <v>4</v>
      </c>
      <c r="B6" s="246"/>
      <c r="C6" s="270">
        <v>3.8849999999999998</v>
      </c>
      <c r="D6" s="247">
        <v>3.5779999999999998</v>
      </c>
      <c r="E6" s="274">
        <v>44.301773000000004</v>
      </c>
      <c r="F6" s="248">
        <v>8.769400719018626E-2</v>
      </c>
      <c r="G6" s="270">
        <v>1.2190000000000001</v>
      </c>
      <c r="H6" s="247">
        <v>1.115</v>
      </c>
      <c r="I6" s="270">
        <v>39.631999999999998</v>
      </c>
      <c r="J6" s="247">
        <v>36.058</v>
      </c>
      <c r="K6" s="270">
        <v>4.3769999999999998</v>
      </c>
      <c r="L6" s="247">
        <v>4.0869999999999997</v>
      </c>
      <c r="M6" s="270">
        <v>14.082000000000001</v>
      </c>
    </row>
    <row r="7" spans="1:13" x14ac:dyDescent="0.2">
      <c r="A7" s="14" t="s">
        <v>6</v>
      </c>
      <c r="B7" s="246"/>
      <c r="C7" s="270">
        <v>9.8881243340000005</v>
      </c>
      <c r="D7" s="247">
        <v>7.9164226020000008</v>
      </c>
      <c r="E7" s="274">
        <v>87.030604999999994</v>
      </c>
      <c r="F7" s="248">
        <v>0.11361663329813691</v>
      </c>
      <c r="G7" s="270">
        <v>8.4753270000000018</v>
      </c>
      <c r="H7" s="247">
        <v>5.6695010000000003</v>
      </c>
      <c r="I7" s="270">
        <v>99.088792315000006</v>
      </c>
      <c r="J7" s="247">
        <v>80.803874604000015</v>
      </c>
      <c r="K7" s="270">
        <v>20.405519000000005</v>
      </c>
      <c r="L7" s="247">
        <v>13.496265000000001</v>
      </c>
      <c r="M7" s="270">
        <v>34.577911985794167</v>
      </c>
    </row>
    <row r="8" spans="1:13" x14ac:dyDescent="0.2">
      <c r="A8" s="14" t="s">
        <v>8</v>
      </c>
      <c r="B8" s="246"/>
      <c r="C8" s="270">
        <v>10.609407523807924</v>
      </c>
      <c r="D8" s="247">
        <v>10.58261443377665</v>
      </c>
      <c r="E8" s="274">
        <v>29.525765</v>
      </c>
      <c r="F8" s="248">
        <v>0.35932710037514437</v>
      </c>
      <c r="G8" s="270">
        <v>5.0968058702851629</v>
      </c>
      <c r="H8" s="247">
        <v>5.0663241541997222</v>
      </c>
      <c r="I8" s="270">
        <v>91.890991458000016</v>
      </c>
      <c r="J8" s="247">
        <v>91.627996042000007</v>
      </c>
      <c r="K8" s="270">
        <v>8.5896120000000007</v>
      </c>
      <c r="L8" s="247">
        <v>8.5021620000000002</v>
      </c>
      <c r="M8" s="270">
        <v>79.909108039204099</v>
      </c>
    </row>
    <row r="9" spans="1:13" x14ac:dyDescent="0.2">
      <c r="A9" s="14" t="s">
        <v>7</v>
      </c>
      <c r="B9" s="246"/>
      <c r="C9" s="270">
        <v>86.926199999999994</v>
      </c>
      <c r="D9" s="247">
        <v>68.912399999999991</v>
      </c>
      <c r="E9" s="274">
        <v>609.06500000000005</v>
      </c>
      <c r="F9" s="248">
        <v>0.14272072767274427</v>
      </c>
      <c r="G9" s="270">
        <v>54.827700000000007</v>
      </c>
      <c r="H9" s="247">
        <v>44.828300000000006</v>
      </c>
      <c r="I9" s="270">
        <v>663.21710000000007</v>
      </c>
      <c r="J9" s="247">
        <v>467.19850000000008</v>
      </c>
      <c r="K9" s="270">
        <v>96.450699999999998</v>
      </c>
      <c r="L9" s="247">
        <v>73.57419999999999</v>
      </c>
      <c r="M9" s="270">
        <v>258.23320000000001</v>
      </c>
    </row>
    <row r="10" spans="1:13" x14ac:dyDescent="0.2">
      <c r="A10" s="14" t="s">
        <v>9</v>
      </c>
      <c r="B10" s="246"/>
      <c r="C10" s="270">
        <v>1.0385609999999998</v>
      </c>
      <c r="D10" s="247">
        <v>1.0385609999999998</v>
      </c>
      <c r="E10" s="274">
        <v>7.6155850000000003</v>
      </c>
      <c r="F10" s="248">
        <v>0.13637310856618368</v>
      </c>
      <c r="G10" s="270">
        <v>0.22873499999999999</v>
      </c>
      <c r="H10" s="247">
        <v>0.22873499999999999</v>
      </c>
      <c r="I10" s="270">
        <v>3.59</v>
      </c>
      <c r="J10" s="247">
        <v>3.59</v>
      </c>
      <c r="K10" s="270">
        <v>0.69895099999999999</v>
      </c>
      <c r="L10" s="247">
        <v>0.69895099999999999</v>
      </c>
      <c r="M10" s="270">
        <v>5.4661756696915589</v>
      </c>
    </row>
    <row r="11" spans="1:13" ht="13.5" x14ac:dyDescent="0.2">
      <c r="A11" s="14" t="s">
        <v>152</v>
      </c>
      <c r="B11" s="246"/>
      <c r="C11" s="270">
        <v>2.0672437324027451</v>
      </c>
      <c r="D11" s="247">
        <v>1.8513505569556281</v>
      </c>
      <c r="E11" s="274">
        <v>30.940936000000001</v>
      </c>
      <c r="F11" s="248">
        <v>6.6812579050703091E-2</v>
      </c>
      <c r="G11" s="270">
        <v>0.32242300000000007</v>
      </c>
      <c r="H11" s="247">
        <v>0.27305600000000002</v>
      </c>
      <c r="I11" s="270">
        <v>11.203857146465076</v>
      </c>
      <c r="J11" s="247">
        <v>10.04840861906149</v>
      </c>
      <c r="K11" s="270">
        <v>0.63608509999999996</v>
      </c>
      <c r="L11" s="247">
        <v>0.5032681</v>
      </c>
      <c r="M11" s="270">
        <v>5.5750000000000002</v>
      </c>
    </row>
    <row r="12" spans="1:13" x14ac:dyDescent="0.2">
      <c r="A12" s="14" t="s">
        <v>10</v>
      </c>
      <c r="B12" s="246"/>
      <c r="C12" s="270">
        <v>2.2114560000000001</v>
      </c>
      <c r="D12" s="247">
        <v>2.0205160000000002</v>
      </c>
      <c r="E12" s="274">
        <v>48.626170999999999</v>
      </c>
      <c r="F12" s="248">
        <v>4.5478719679573378E-2</v>
      </c>
      <c r="G12" s="270">
        <v>0.40787242579855693</v>
      </c>
      <c r="H12" s="247">
        <v>0.333125</v>
      </c>
      <c r="I12" s="270">
        <v>15.302540987</v>
      </c>
      <c r="J12" s="247">
        <v>13.099665000000002</v>
      </c>
      <c r="K12" s="270">
        <v>0.91663400000000006</v>
      </c>
      <c r="L12" s="247">
        <v>0.54263400000000006</v>
      </c>
      <c r="M12" s="270">
        <v>4.8249550000000001</v>
      </c>
    </row>
    <row r="13" spans="1:13" x14ac:dyDescent="0.2">
      <c r="A13" s="14" t="s">
        <v>11</v>
      </c>
      <c r="B13" s="246"/>
      <c r="C13" s="270">
        <v>29.716000000000001</v>
      </c>
      <c r="D13" s="247">
        <v>29.69</v>
      </c>
      <c r="E13" s="274">
        <v>273.25700000000001</v>
      </c>
      <c r="F13" s="248">
        <v>0.1087474428834394</v>
      </c>
      <c r="G13" s="270">
        <v>5.008</v>
      </c>
      <c r="H13" s="247">
        <v>4.9740000000000002</v>
      </c>
      <c r="I13" s="270">
        <v>143.24700000000001</v>
      </c>
      <c r="J13" s="247">
        <v>143.203</v>
      </c>
      <c r="K13" s="270">
        <v>10.651999999999999</v>
      </c>
      <c r="L13" s="247">
        <v>10.602</v>
      </c>
      <c r="M13" s="270">
        <v>81.25</v>
      </c>
    </row>
    <row r="14" spans="1:13" x14ac:dyDescent="0.2">
      <c r="A14" s="14" t="s">
        <v>13</v>
      </c>
      <c r="B14" s="246"/>
      <c r="C14" s="270">
        <v>18.058240000000001</v>
      </c>
      <c r="D14" s="247">
        <v>12.37729</v>
      </c>
      <c r="E14" s="274">
        <v>570.84456799999998</v>
      </c>
      <c r="F14" s="248">
        <v>3.1634250393707875E-2</v>
      </c>
      <c r="G14" s="270">
        <v>6.5732999999999997</v>
      </c>
      <c r="H14" s="247">
        <v>3.9724299999999997</v>
      </c>
      <c r="I14" s="270">
        <v>159.85218</v>
      </c>
      <c r="J14" s="247">
        <v>115.16001000000001</v>
      </c>
      <c r="K14" s="270">
        <v>21.42746</v>
      </c>
      <c r="L14" s="247">
        <v>15.230649999999999</v>
      </c>
      <c r="M14" s="270">
        <v>66.091570000000004</v>
      </c>
    </row>
    <row r="15" spans="1:13" x14ac:dyDescent="0.2">
      <c r="A15" s="14" t="s">
        <v>14</v>
      </c>
      <c r="B15" s="246"/>
      <c r="C15" s="270">
        <v>2.339770888655333</v>
      </c>
      <c r="D15" s="247">
        <v>2.1490398610263504</v>
      </c>
      <c r="E15" s="274">
        <v>12.760299999999999</v>
      </c>
      <c r="F15" s="248">
        <v>0.18336331345307971</v>
      </c>
      <c r="G15" s="270">
        <v>0.88305292526134505</v>
      </c>
      <c r="H15" s="247">
        <v>0.7352922958159579</v>
      </c>
      <c r="I15" s="270">
        <v>17.581585736027023</v>
      </c>
      <c r="J15" s="247">
        <v>11.950071266027026</v>
      </c>
      <c r="K15" s="270">
        <v>2.1830369999999997</v>
      </c>
      <c r="L15" s="247">
        <v>1.5510369999999998</v>
      </c>
      <c r="M15" s="270">
        <v>7.9354139224301035</v>
      </c>
    </row>
    <row r="16" spans="1:13" x14ac:dyDescent="0.2">
      <c r="A16" s="14" t="s">
        <v>17</v>
      </c>
      <c r="B16" s="246"/>
      <c r="C16" s="270">
        <v>40.461211006197495</v>
      </c>
      <c r="D16" s="247">
        <v>37.609184163197497</v>
      </c>
      <c r="E16" s="274">
        <v>293.853207</v>
      </c>
      <c r="F16" s="248">
        <v>0.13769191569924741</v>
      </c>
      <c r="G16" s="270">
        <v>8.6021513897683679</v>
      </c>
      <c r="H16" s="247">
        <v>8.0321333897683669</v>
      </c>
      <c r="I16" s="270">
        <v>216.88415085916938</v>
      </c>
      <c r="J16" s="247">
        <v>194.69784041259504</v>
      </c>
      <c r="K16" s="270">
        <v>21.877245907777215</v>
      </c>
      <c r="L16" s="247">
        <v>12.005174026378489</v>
      </c>
      <c r="M16" s="270">
        <v>146.52077597497981</v>
      </c>
    </row>
    <row r="17" spans="1:13" x14ac:dyDescent="0.2">
      <c r="A17" s="14" t="s">
        <v>5</v>
      </c>
      <c r="B17" s="246"/>
      <c r="C17" s="270">
        <v>3.1134386683919772E-2</v>
      </c>
      <c r="D17" s="247">
        <v>2.5171804488134421E-2</v>
      </c>
      <c r="E17" s="274">
        <v>5.1414910000000003</v>
      </c>
      <c r="F17" s="248">
        <v>6.0555171027080997E-3</v>
      </c>
      <c r="G17" s="270">
        <v>1.0391911324377862E-2</v>
      </c>
      <c r="H17" s="247">
        <v>5.6882460037670059E-3</v>
      </c>
      <c r="I17" s="270">
        <v>0.1408052626873558</v>
      </c>
      <c r="J17" s="247">
        <v>0.11602169630718263</v>
      </c>
      <c r="K17" s="270">
        <v>1.2194E-2</v>
      </c>
      <c r="L17" s="247">
        <v>7.1080000000000006E-3</v>
      </c>
      <c r="M17" s="270">
        <v>0.13938202814140374</v>
      </c>
    </row>
    <row r="18" spans="1:13" ht="13.5" x14ac:dyDescent="0.2">
      <c r="A18" s="14" t="s">
        <v>153</v>
      </c>
      <c r="B18" s="246"/>
      <c r="C18" s="270">
        <v>2.6492600000000004</v>
      </c>
      <c r="D18" s="247">
        <v>2.6488</v>
      </c>
      <c r="E18" s="274">
        <v>6.4383850000000002</v>
      </c>
      <c r="F18" s="248">
        <v>0.41147896561016473</v>
      </c>
      <c r="G18" s="270">
        <v>1.2696999999999996</v>
      </c>
      <c r="H18" s="247">
        <v>1.2683999999999995</v>
      </c>
      <c r="I18" s="270">
        <v>13.7338</v>
      </c>
      <c r="J18" s="247">
        <v>13.636200000000001</v>
      </c>
      <c r="K18" s="270">
        <v>1.2141999999999999</v>
      </c>
      <c r="L18" s="247">
        <v>1.1970000000000001</v>
      </c>
      <c r="M18" s="270">
        <v>9.5510000000000002</v>
      </c>
    </row>
    <row r="19" spans="1:13" x14ac:dyDescent="0.2">
      <c r="A19" s="14" t="s">
        <v>18</v>
      </c>
      <c r="B19" s="246"/>
      <c r="C19" s="270">
        <v>1.0880000000000001</v>
      </c>
      <c r="D19" s="247">
        <v>0.96299999999999997</v>
      </c>
      <c r="E19" s="274">
        <v>3.9716</v>
      </c>
      <c r="F19" s="248">
        <v>0.27394500956793233</v>
      </c>
      <c r="G19" s="270">
        <v>0.54600000000000004</v>
      </c>
      <c r="H19" s="247">
        <v>0.17</v>
      </c>
      <c r="I19" s="270">
        <v>10.97</v>
      </c>
      <c r="J19" s="247">
        <v>9.0090000000000003</v>
      </c>
      <c r="K19" s="270">
        <v>1.494</v>
      </c>
      <c r="L19" s="247">
        <v>0.45500000000000002</v>
      </c>
      <c r="M19" s="270">
        <v>4.875</v>
      </c>
    </row>
    <row r="20" spans="1:13" x14ac:dyDescent="0.2">
      <c r="A20" s="14" t="s">
        <v>19</v>
      </c>
      <c r="B20" s="246"/>
      <c r="C20" s="270">
        <v>0.42206900000000003</v>
      </c>
      <c r="D20" s="247">
        <v>0.42206900000000003</v>
      </c>
      <c r="E20" s="274">
        <v>1.9079699999999999</v>
      </c>
      <c r="F20" s="248">
        <v>0.22121364591686454</v>
      </c>
      <c r="G20" s="270">
        <v>0.131471</v>
      </c>
      <c r="H20" s="247">
        <v>0.131471</v>
      </c>
      <c r="I20" s="270">
        <v>3.7520230000000003</v>
      </c>
      <c r="J20" s="247">
        <v>3.7520230000000003</v>
      </c>
      <c r="K20" s="270">
        <v>0.31405500000000003</v>
      </c>
      <c r="L20" s="247">
        <v>0.31405500000000003</v>
      </c>
      <c r="M20" s="270">
        <v>1.4927350000000001</v>
      </c>
    </row>
    <row r="21" spans="1:13" ht="13.5" x14ac:dyDescent="0.2">
      <c r="A21" s="14" t="s">
        <v>154</v>
      </c>
      <c r="B21" s="246"/>
      <c r="C21" s="270">
        <v>4.58</v>
      </c>
      <c r="D21" s="247">
        <v>4.024</v>
      </c>
      <c r="E21" s="274">
        <v>34.154000000000003</v>
      </c>
      <c r="F21" s="248">
        <v>0.13409849505182408</v>
      </c>
      <c r="G21" s="270">
        <v>1.536</v>
      </c>
      <c r="H21" s="247">
        <v>1.296</v>
      </c>
      <c r="I21" s="270">
        <v>27.457000000000001</v>
      </c>
      <c r="J21" s="247">
        <v>22.966999999999999</v>
      </c>
      <c r="K21" s="270">
        <v>3.0720000000000001</v>
      </c>
      <c r="L21" s="247">
        <v>2.3490000000000002</v>
      </c>
      <c r="M21" s="270">
        <v>12.54</v>
      </c>
    </row>
    <row r="22" spans="1:13" x14ac:dyDescent="0.2">
      <c r="A22" s="14" t="s">
        <v>21</v>
      </c>
      <c r="B22" s="246"/>
      <c r="C22" s="270">
        <v>0.17660000000000001</v>
      </c>
      <c r="D22" s="247">
        <v>4.2599999999999999E-3</v>
      </c>
      <c r="E22" s="274">
        <v>2.0760430000000003</v>
      </c>
      <c r="F22" s="248">
        <v>8.5065675421944528E-2</v>
      </c>
      <c r="G22" s="270">
        <v>0.14041899999999999</v>
      </c>
      <c r="H22" s="247">
        <v>1.1590000000000001E-3</v>
      </c>
      <c r="I22" s="270">
        <v>6.7486999999999991E-2</v>
      </c>
      <c r="J22" s="247">
        <v>1.9370999999999999E-2</v>
      </c>
      <c r="K22" s="270">
        <v>1.6118E-2</v>
      </c>
      <c r="L22" s="247">
        <v>1.407E-3</v>
      </c>
      <c r="M22" s="270">
        <v>7.1785000000000002E-2</v>
      </c>
    </row>
    <row r="23" spans="1:13" ht="13.5" x14ac:dyDescent="0.2">
      <c r="A23" s="14" t="s">
        <v>156</v>
      </c>
      <c r="B23" s="246"/>
      <c r="C23" s="270">
        <v>32.238604352803868</v>
      </c>
      <c r="D23" s="247">
        <v>32.083927325283312</v>
      </c>
      <c r="E23" s="274">
        <v>121.06155199999999</v>
      </c>
      <c r="F23" s="248">
        <v>0.26629928181330331</v>
      </c>
      <c r="G23" s="270">
        <v>8.7500542870080302</v>
      </c>
      <c r="H23" s="247">
        <v>8.3176393485914577</v>
      </c>
      <c r="I23" s="270">
        <v>174.18230652800781</v>
      </c>
      <c r="J23" s="247">
        <v>169.40915028611781</v>
      </c>
      <c r="K23" s="270">
        <v>15.362830869208999</v>
      </c>
      <c r="L23" s="247">
        <v>14.283298129623999</v>
      </c>
      <c r="M23" s="270">
        <v>108.16414016731021</v>
      </c>
    </row>
    <row r="24" spans="1:13" x14ac:dyDescent="0.2">
      <c r="A24" s="14" t="s">
        <v>2</v>
      </c>
      <c r="B24" s="246"/>
      <c r="C24" s="270">
        <v>9.7222377277000014</v>
      </c>
      <c r="D24" s="247">
        <v>9.7222377277000014</v>
      </c>
      <c r="E24" s="274">
        <v>74.234302999999997</v>
      </c>
      <c r="F24" s="248">
        <v>0.13096691603206675</v>
      </c>
      <c r="G24" s="270">
        <v>2.8594333343698319</v>
      </c>
      <c r="H24" s="247">
        <v>2.8594333343698319</v>
      </c>
      <c r="I24" s="270">
        <v>110.16400004470501</v>
      </c>
      <c r="J24" s="247">
        <v>110.16400004470501</v>
      </c>
      <c r="K24" s="270">
        <v>8.9010030000000011</v>
      </c>
      <c r="L24" s="247">
        <v>8.9010030000000011</v>
      </c>
      <c r="M24" s="270">
        <v>14.20187606995106</v>
      </c>
    </row>
    <row r="25" spans="1:13" x14ac:dyDescent="0.2">
      <c r="A25" s="14" t="s">
        <v>24</v>
      </c>
      <c r="B25" s="246"/>
      <c r="C25" s="270">
        <v>29.934999999999999</v>
      </c>
      <c r="D25" s="247">
        <v>29.332999999999998</v>
      </c>
      <c r="E25" s="274">
        <v>163.98850099999999</v>
      </c>
      <c r="F25" s="248">
        <v>0.18254328698327452</v>
      </c>
      <c r="G25" s="270">
        <v>9.7370000000000001</v>
      </c>
      <c r="H25" s="247">
        <v>9.4670000000000005</v>
      </c>
      <c r="I25" s="270">
        <v>248.52199999999999</v>
      </c>
      <c r="J25" s="247">
        <v>233.977</v>
      </c>
      <c r="K25" s="270">
        <v>24.536999999999999</v>
      </c>
      <c r="L25" s="247">
        <v>22.643999999999998</v>
      </c>
      <c r="M25" s="270">
        <v>117.15900000000001</v>
      </c>
    </row>
    <row r="26" spans="1:13" ht="13.5" x14ac:dyDescent="0.2">
      <c r="A26" s="14" t="s">
        <v>157</v>
      </c>
      <c r="B26" s="246"/>
      <c r="C26" s="270">
        <v>6.4267129999999995</v>
      </c>
      <c r="D26" s="247">
        <v>4.8817259999999996</v>
      </c>
      <c r="E26" s="274">
        <v>53.154170000000001</v>
      </c>
      <c r="F26" s="248">
        <v>0.12090703325816204</v>
      </c>
      <c r="G26" s="270">
        <v>1.2709999999999999</v>
      </c>
      <c r="H26" s="247">
        <v>0.879</v>
      </c>
      <c r="I26" s="270">
        <v>62.062324999999994</v>
      </c>
      <c r="J26" s="247">
        <v>47.334823999999998</v>
      </c>
      <c r="K26" s="270">
        <v>4.3932839999999995</v>
      </c>
      <c r="L26" s="247">
        <v>2.9147189999999998</v>
      </c>
      <c r="M26" s="270">
        <v>16.638000000000002</v>
      </c>
    </row>
    <row r="27" spans="1:13" x14ac:dyDescent="0.2">
      <c r="A27" s="14" t="s">
        <v>26</v>
      </c>
      <c r="B27" s="246"/>
      <c r="C27" s="270">
        <v>5.1053549999999994</v>
      </c>
      <c r="D27" s="247">
        <v>3.2176060999999994</v>
      </c>
      <c r="E27" s="274">
        <v>59.622805</v>
      </c>
      <c r="F27" s="248">
        <v>8.562755475861962E-2</v>
      </c>
      <c r="G27" s="270">
        <v>1.4647363</v>
      </c>
      <c r="H27" s="247">
        <v>0.81981839999999995</v>
      </c>
      <c r="I27" s="270">
        <v>39.199122899999999</v>
      </c>
      <c r="J27" s="247">
        <v>17.9448194</v>
      </c>
      <c r="K27" s="270">
        <v>4.4497713000000001</v>
      </c>
      <c r="L27" s="247">
        <v>1.8358948999999998</v>
      </c>
      <c r="M27" s="270">
        <v>10.948092800000001</v>
      </c>
    </row>
    <row r="28" spans="1:13" ht="13.5" x14ac:dyDescent="0.2">
      <c r="A28" s="14" t="s">
        <v>158</v>
      </c>
      <c r="B28" s="246"/>
      <c r="C28" s="270">
        <v>1.1737923170878</v>
      </c>
      <c r="D28" s="247">
        <v>0.85850680682780001</v>
      </c>
      <c r="E28" s="274">
        <v>16.099564000000001</v>
      </c>
      <c r="F28" s="248">
        <v>7.2908329510525866E-2</v>
      </c>
      <c r="G28" s="270">
        <v>0.34800665000000003</v>
      </c>
      <c r="H28" s="247">
        <v>0.21769225</v>
      </c>
      <c r="I28" s="270">
        <v>11.00879721877391</v>
      </c>
      <c r="J28" s="247">
        <v>6.2348741830382499</v>
      </c>
      <c r="K28" s="270">
        <v>0.91966949999999992</v>
      </c>
      <c r="L28" s="247">
        <v>0.52250850000000004</v>
      </c>
      <c r="M28" s="270">
        <v>4.8760602195438185</v>
      </c>
    </row>
    <row r="29" spans="1:13" x14ac:dyDescent="0.2">
      <c r="A29" s="14" t="s">
        <v>55</v>
      </c>
      <c r="B29" s="246"/>
      <c r="C29" s="270">
        <v>3.0630500000000001</v>
      </c>
      <c r="D29" s="247">
        <v>2.8374700000000002</v>
      </c>
      <c r="E29" s="274">
        <v>28.434000000000001</v>
      </c>
      <c r="F29" s="248">
        <v>0.10772490680171626</v>
      </c>
      <c r="G29" s="270">
        <v>1.5405900000000001</v>
      </c>
      <c r="H29" s="247">
        <v>1.2891600000000001</v>
      </c>
      <c r="I29" s="270">
        <v>34.916110000000003</v>
      </c>
      <c r="J29" s="247">
        <v>28.641739999999999</v>
      </c>
      <c r="K29" s="270">
        <v>3.4107599999999998</v>
      </c>
      <c r="L29" s="247">
        <v>2.65991</v>
      </c>
      <c r="M29" s="270">
        <v>12.583720000000001</v>
      </c>
    </row>
    <row r="30" spans="1:13" ht="13.5" x14ac:dyDescent="0.2">
      <c r="A30" s="213" t="s">
        <v>159</v>
      </c>
      <c r="B30" s="249"/>
      <c r="C30" s="271">
        <v>22.545000000000002</v>
      </c>
      <c r="D30" s="250">
        <v>22.233000000000001</v>
      </c>
      <c r="E30" s="275">
        <v>68.641999999999996</v>
      </c>
      <c r="F30" s="251">
        <v>0.32844322717869529</v>
      </c>
      <c r="G30" s="271">
        <v>6.3460000000000001</v>
      </c>
      <c r="H30" s="250">
        <v>6.0880000000000001</v>
      </c>
      <c r="I30" s="271">
        <v>242.708</v>
      </c>
      <c r="J30" s="250">
        <v>236.828</v>
      </c>
      <c r="K30" s="271">
        <v>16.242000000000001</v>
      </c>
      <c r="L30" s="250">
        <v>15.590999999999999</v>
      </c>
      <c r="M30" s="271">
        <v>155.57599999999999</v>
      </c>
    </row>
    <row r="31" spans="1:13" ht="13.5" x14ac:dyDescent="0.2">
      <c r="A31" s="15" t="s">
        <v>85</v>
      </c>
      <c r="B31" s="252"/>
      <c r="C31" s="272">
        <v>9.2279999999999998</v>
      </c>
      <c r="D31" s="253">
        <v>9.2110000000000003</v>
      </c>
      <c r="E31" s="276">
        <v>168.43899999999999</v>
      </c>
      <c r="F31" s="254">
        <v>5.4785411929541263E-2</v>
      </c>
      <c r="G31" s="272">
        <v>3.3159999999999998</v>
      </c>
      <c r="H31" s="253">
        <v>3.3119999999999998</v>
      </c>
      <c r="I31" s="272">
        <v>94.02</v>
      </c>
      <c r="J31" s="253">
        <v>93.543000000000006</v>
      </c>
      <c r="K31" s="272">
        <v>7.9340000000000002</v>
      </c>
      <c r="L31" s="253">
        <v>7.9080000000000004</v>
      </c>
      <c r="M31" s="272">
        <v>73.281000000000006</v>
      </c>
    </row>
    <row r="32" spans="1:13" ht="13.5" x14ac:dyDescent="0.2">
      <c r="A32" s="217" t="s">
        <v>161</v>
      </c>
      <c r="B32" s="217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</row>
    <row r="33" spans="1:13" x14ac:dyDescent="0.2">
      <c r="A33" s="214" t="s">
        <v>160</v>
      </c>
      <c r="B33" s="214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</row>
    <row r="34" spans="1:13" x14ac:dyDescent="0.2">
      <c r="A34" s="214"/>
      <c r="B34" s="214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</row>
    <row r="35" spans="1:13" x14ac:dyDescent="0.2">
      <c r="A35" s="25"/>
      <c r="B35" s="25"/>
      <c r="C35" s="183"/>
      <c r="D35" s="182"/>
      <c r="E35" s="25"/>
      <c r="F35" s="182"/>
      <c r="G35" s="30"/>
      <c r="H35" s="184"/>
      <c r="I35" s="185"/>
      <c r="J35" s="186"/>
      <c r="K35" s="7"/>
      <c r="L35" s="182"/>
      <c r="M35" s="187"/>
    </row>
    <row r="36" spans="1:13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</row>
    <row r="37" spans="1:13" ht="48" x14ac:dyDescent="0.2">
      <c r="A37" s="54">
        <v>2019</v>
      </c>
      <c r="B37" s="54"/>
      <c r="C37" s="85" t="s">
        <v>57</v>
      </c>
      <c r="D37" s="235" t="s">
        <v>117</v>
      </c>
      <c r="E37" s="12" t="s">
        <v>58</v>
      </c>
      <c r="F37" s="12" t="s">
        <v>59</v>
      </c>
      <c r="G37" s="12" t="s">
        <v>60</v>
      </c>
      <c r="H37" s="12" t="s">
        <v>61</v>
      </c>
      <c r="I37" s="12" t="s">
        <v>62</v>
      </c>
      <c r="J37" s="53"/>
      <c r="K37" s="53"/>
      <c r="L37" s="53"/>
      <c r="M37" s="53"/>
    </row>
    <row r="38" spans="1:13" ht="13.5" x14ac:dyDescent="0.2">
      <c r="A38" s="258" t="s">
        <v>155</v>
      </c>
      <c r="B38" s="258"/>
      <c r="C38" s="259">
        <v>4766.2964349707436</v>
      </c>
      <c r="D38" s="265">
        <v>4039.3716839620324</v>
      </c>
      <c r="E38" s="261"/>
      <c r="F38" s="261"/>
      <c r="G38" s="261"/>
      <c r="H38" s="261"/>
      <c r="I38" s="261"/>
      <c r="J38" s="53"/>
      <c r="K38" s="53"/>
      <c r="L38" s="53"/>
      <c r="M38" s="53"/>
    </row>
    <row r="39" spans="1:13" ht="13.5" x14ac:dyDescent="0.2">
      <c r="A39" s="13" t="s">
        <v>151</v>
      </c>
      <c r="B39" s="242"/>
      <c r="C39" s="262">
        <v>166.44227699999999</v>
      </c>
      <c r="D39" s="266">
        <v>140.043397</v>
      </c>
      <c r="E39" s="257">
        <v>1.3744943957330946E-2</v>
      </c>
      <c r="F39" s="257">
        <v>3.3188992701538608E-3</v>
      </c>
      <c r="G39" s="257">
        <v>0.66833793023188326</v>
      </c>
      <c r="H39" s="257">
        <v>0.18290880188663999</v>
      </c>
      <c r="I39" s="257">
        <v>0.13168942465399183</v>
      </c>
      <c r="J39" s="53"/>
      <c r="K39" s="53"/>
      <c r="L39" s="53"/>
      <c r="M39" s="53"/>
    </row>
    <row r="40" spans="1:13" x14ac:dyDescent="0.2">
      <c r="A40" s="14" t="s">
        <v>4</v>
      </c>
      <c r="B40" s="63"/>
      <c r="C40" s="263">
        <v>66.813000000000002</v>
      </c>
      <c r="D40" s="267">
        <v>59.759</v>
      </c>
      <c r="E40" s="248">
        <v>0.21203957313696437</v>
      </c>
      <c r="F40" s="248">
        <v>1.7122416296229775E-2</v>
      </c>
      <c r="G40" s="248">
        <v>0.39630012123389163</v>
      </c>
      <c r="H40" s="248">
        <v>0.22339963779503988</v>
      </c>
      <c r="I40" s="248">
        <v>0.15113825153787436</v>
      </c>
      <c r="J40" s="53"/>
      <c r="K40" s="53"/>
      <c r="L40" s="53"/>
      <c r="M40" s="53"/>
    </row>
    <row r="41" spans="1:13" x14ac:dyDescent="0.2">
      <c r="A41" s="14" t="s">
        <v>6</v>
      </c>
      <c r="B41" s="63"/>
      <c r="C41" s="263">
        <v>187.84079644984661</v>
      </c>
      <c r="D41" s="267">
        <v>136.83282116029761</v>
      </c>
      <c r="E41" s="248">
        <v>0.62159472080645228</v>
      </c>
      <c r="F41" s="248">
        <v>7.6662372991454187E-3</v>
      </c>
      <c r="G41" s="248">
        <v>0.12490094244724334</v>
      </c>
      <c r="H41" s="248">
        <v>0.23027150224964804</v>
      </c>
      <c r="I41" s="248">
        <v>1.5566597197510875E-2</v>
      </c>
      <c r="J41" s="53"/>
      <c r="K41" s="53"/>
      <c r="L41" s="53"/>
      <c r="M41" s="53"/>
    </row>
    <row r="42" spans="1:13" x14ac:dyDescent="0.2">
      <c r="A42" s="14" t="s">
        <v>8</v>
      </c>
      <c r="B42" s="63"/>
      <c r="C42" s="263">
        <v>141.96812681660927</v>
      </c>
      <c r="D42" s="267">
        <v>141.48954964579249</v>
      </c>
      <c r="E42" s="248">
        <v>0.15363410132630528</v>
      </c>
      <c r="F42" s="248">
        <v>1.9767666201147744E-2</v>
      </c>
      <c r="G42" s="248">
        <v>0.13203511355965991</v>
      </c>
      <c r="H42" s="248">
        <v>0.57997102778355814</v>
      </c>
      <c r="I42" s="248">
        <v>0.11459209112932883</v>
      </c>
      <c r="J42" s="53"/>
      <c r="K42" s="53"/>
      <c r="L42" s="53"/>
      <c r="M42" s="53"/>
    </row>
    <row r="43" spans="1:13" x14ac:dyDescent="0.2">
      <c r="A43" s="14" t="s">
        <v>7</v>
      </c>
      <c r="B43" s="63"/>
      <c r="C43" s="263">
        <v>1190.0248999999999</v>
      </c>
      <c r="D43" s="267">
        <v>843.10360000000003</v>
      </c>
      <c r="E43" s="248">
        <v>0.21750065901982391</v>
      </c>
      <c r="F43" s="248">
        <v>2.3003132119336328E-2</v>
      </c>
      <c r="G43" s="248">
        <v>0.50367836841061064</v>
      </c>
      <c r="H43" s="248">
        <v>0.14463789791289242</v>
      </c>
      <c r="I43" s="248">
        <v>0.11117994253733683</v>
      </c>
      <c r="J43" s="53"/>
      <c r="K43" s="53"/>
      <c r="L43" s="53"/>
      <c r="M43" s="53"/>
    </row>
    <row r="44" spans="1:13" x14ac:dyDescent="0.2">
      <c r="A44" s="14" t="s">
        <v>9</v>
      </c>
      <c r="B44" s="63"/>
      <c r="C44" s="263">
        <v>16.746699999999997</v>
      </c>
      <c r="D44" s="267">
        <v>16.746699999999997</v>
      </c>
      <c r="E44" s="248">
        <v>4.6337487385574479E-2</v>
      </c>
      <c r="F44" s="248">
        <v>0</v>
      </c>
      <c r="G44" s="248">
        <v>1.1942651388034659E-4</v>
      </c>
      <c r="H44" s="248">
        <v>0.90912239426275043</v>
      </c>
      <c r="I44" s="248">
        <v>4.4420691837794915E-2</v>
      </c>
      <c r="J44" s="53"/>
      <c r="K44" s="53"/>
      <c r="L44" s="53"/>
      <c r="M44" s="53"/>
    </row>
    <row r="45" spans="1:13" ht="13.5" x14ac:dyDescent="0.2">
      <c r="A45" s="14" t="s">
        <v>152</v>
      </c>
      <c r="B45" s="63"/>
      <c r="C45" s="263">
        <v>22.31815015580526</v>
      </c>
      <c r="D45" s="267">
        <v>19.407358927444843</v>
      </c>
      <c r="E45" s="248">
        <v>2.093932516808069E-2</v>
      </c>
      <c r="F45" s="248">
        <v>0</v>
      </c>
      <c r="G45" s="248">
        <v>0.94050738972540293</v>
      </c>
      <c r="H45" s="248">
        <v>3.6556479815755341E-2</v>
      </c>
      <c r="I45" s="248">
        <v>1.996805290761107E-3</v>
      </c>
      <c r="J45" s="53"/>
      <c r="K45" s="53"/>
      <c r="L45" s="53"/>
      <c r="M45" s="53"/>
    </row>
    <row r="46" spans="1:13" x14ac:dyDescent="0.2">
      <c r="A46" s="14" t="s">
        <v>10</v>
      </c>
      <c r="B46" s="63"/>
      <c r="C46" s="263">
        <v>30.12556</v>
      </c>
      <c r="D46" s="267">
        <v>26.512720000000002</v>
      </c>
      <c r="E46" s="248">
        <v>0.11992606942410365</v>
      </c>
      <c r="F46" s="248">
        <v>0.34625115682496854</v>
      </c>
      <c r="G46" s="248">
        <v>0.44318711419804313</v>
      </c>
      <c r="H46" s="248">
        <v>6.4065199119949963E-3</v>
      </c>
      <c r="I46" s="248">
        <v>8.4229139640889655E-2</v>
      </c>
      <c r="J46" s="53"/>
      <c r="K46" s="53"/>
      <c r="L46" s="53"/>
      <c r="M46" s="53"/>
    </row>
    <row r="47" spans="1:13" x14ac:dyDescent="0.2">
      <c r="A47" s="14" t="s">
        <v>11</v>
      </c>
      <c r="B47" s="63"/>
      <c r="C47" s="263">
        <v>320.11799999999999</v>
      </c>
      <c r="D47" s="267">
        <v>319.85500000000002</v>
      </c>
      <c r="E47" s="248">
        <v>2.066640301388863E-2</v>
      </c>
      <c r="F47" s="248">
        <v>6.1885571166924204E-2</v>
      </c>
      <c r="G47" s="248">
        <v>0.82912159734257584</v>
      </c>
      <c r="H47" s="248">
        <v>7.9237604110762555E-2</v>
      </c>
      <c r="I47" s="248">
        <v>9.0888243658484684E-3</v>
      </c>
      <c r="J47" s="53"/>
      <c r="K47" s="53"/>
      <c r="L47" s="53"/>
      <c r="M47" s="53"/>
    </row>
    <row r="48" spans="1:13" x14ac:dyDescent="0.2">
      <c r="A48" s="14" t="s">
        <v>13</v>
      </c>
      <c r="B48" s="63"/>
      <c r="C48" s="263">
        <v>271.77075000000002</v>
      </c>
      <c r="D48" s="267">
        <v>187.33963</v>
      </c>
      <c r="E48" s="248">
        <v>2.8131145636533735E-2</v>
      </c>
      <c r="F48" s="248">
        <v>5.5281123432157429E-2</v>
      </c>
      <c r="G48" s="248">
        <v>0.51528522824476142</v>
      </c>
      <c r="H48" s="248">
        <v>0.30343362514177846</v>
      </c>
      <c r="I48" s="248">
        <v>9.7868914340487584E-2</v>
      </c>
      <c r="J48" s="53"/>
      <c r="K48" s="53"/>
      <c r="L48" s="53"/>
      <c r="M48" s="53"/>
    </row>
    <row r="49" spans="1:13" x14ac:dyDescent="0.2">
      <c r="A49" s="14" t="s">
        <v>14</v>
      </c>
      <c r="B49" s="63"/>
      <c r="C49" s="263">
        <v>31.956440357986683</v>
      </c>
      <c r="D49" s="267">
        <v>24.323435758963925</v>
      </c>
      <c r="E49" s="248">
        <v>1.285543681955577E-2</v>
      </c>
      <c r="F49" s="248">
        <v>4.7971441640460036E-2</v>
      </c>
      <c r="G49" s="248">
        <v>0.73740300032132156</v>
      </c>
      <c r="H49" s="248">
        <v>0.2016101622865166</v>
      </c>
      <c r="I49" s="248">
        <v>1.5995893214600554E-4</v>
      </c>
      <c r="J49" s="53"/>
      <c r="K49" s="53"/>
      <c r="L49" s="53"/>
      <c r="M49" s="53"/>
    </row>
    <row r="50" spans="1:13" x14ac:dyDescent="0.2">
      <c r="A50" s="14" t="s">
        <v>17</v>
      </c>
      <c r="B50" s="63"/>
      <c r="C50" s="263">
        <v>447.93404190205428</v>
      </c>
      <c r="D50" s="267">
        <v>394.95342163272551</v>
      </c>
      <c r="E50" s="248">
        <v>3.0517888796117287E-2</v>
      </c>
      <c r="F50" s="248">
        <v>8.0661436729518185E-2</v>
      </c>
      <c r="G50" s="248">
        <v>0.65701643545700927</v>
      </c>
      <c r="H50" s="248">
        <v>0.16822790857581699</v>
      </c>
      <c r="I50" s="248">
        <v>6.3576330441538265E-2</v>
      </c>
      <c r="J50" s="53"/>
      <c r="K50" s="53"/>
      <c r="L50" s="53"/>
      <c r="M50" s="53"/>
    </row>
    <row r="51" spans="1:13" x14ac:dyDescent="0.2">
      <c r="A51" s="14" t="s">
        <v>5</v>
      </c>
      <c r="B51" s="63"/>
      <c r="C51" s="263">
        <v>0.33718540621306659</v>
      </c>
      <c r="D51" s="267">
        <v>0.27552025652262896</v>
      </c>
      <c r="E51" s="248">
        <v>0</v>
      </c>
      <c r="F51" s="248">
        <v>5.9763224093877951E-2</v>
      </c>
      <c r="G51" s="248">
        <v>0</v>
      </c>
      <c r="H51" s="248">
        <v>0.94023677590612198</v>
      </c>
      <c r="I51" s="248">
        <v>0</v>
      </c>
      <c r="J51" s="53"/>
      <c r="K51" s="53"/>
      <c r="L51" s="53"/>
      <c r="M51" s="53"/>
    </row>
    <row r="52" spans="1:13" ht="13.5" x14ac:dyDescent="0.2">
      <c r="A52" s="14" t="s">
        <v>153</v>
      </c>
      <c r="B52" s="63"/>
      <c r="C52" s="263">
        <v>28.091999999999995</v>
      </c>
      <c r="D52" s="267">
        <v>27.965399999999999</v>
      </c>
      <c r="E52" s="248">
        <v>1.3206606863163889E-3</v>
      </c>
      <c r="F52" s="248">
        <v>0</v>
      </c>
      <c r="G52" s="248">
        <v>0.51210664957995156</v>
      </c>
      <c r="H52" s="248">
        <v>0.48647301722910435</v>
      </c>
      <c r="I52" s="248">
        <v>9.9672504627651992E-5</v>
      </c>
      <c r="J52" s="53"/>
      <c r="K52" s="53"/>
      <c r="L52" s="53"/>
      <c r="M52" s="53"/>
    </row>
    <row r="53" spans="1:13" x14ac:dyDescent="0.2">
      <c r="A53" s="14" t="s">
        <v>18</v>
      </c>
      <c r="B53" s="63"/>
      <c r="C53" s="263">
        <v>17.79</v>
      </c>
      <c r="D53" s="267">
        <v>14.803000000000001</v>
      </c>
      <c r="E53" s="248">
        <v>0</v>
      </c>
      <c r="F53" s="248">
        <v>8.4598088813940417E-2</v>
      </c>
      <c r="G53" s="248">
        <v>0.34609331084879147</v>
      </c>
      <c r="H53" s="248">
        <v>0.46267566048341763</v>
      </c>
      <c r="I53" s="248">
        <v>0.10663293985385047</v>
      </c>
      <c r="J53" s="53"/>
      <c r="K53" s="53"/>
      <c r="L53" s="53"/>
      <c r="M53" s="53"/>
    </row>
    <row r="54" spans="1:13" x14ac:dyDescent="0.2">
      <c r="A54" s="14" t="s">
        <v>19</v>
      </c>
      <c r="B54" s="63"/>
      <c r="C54" s="263">
        <v>6.4996139999999993</v>
      </c>
      <c r="D54" s="267">
        <v>6.4996139999999993</v>
      </c>
      <c r="E54" s="248">
        <v>0</v>
      </c>
      <c r="F54" s="248">
        <v>0</v>
      </c>
      <c r="G54" s="248">
        <v>0.37319539283409753</v>
      </c>
      <c r="H54" s="248">
        <v>0.62608287199824475</v>
      </c>
      <c r="I54" s="248">
        <v>7.2173516765764855E-4</v>
      </c>
      <c r="J54" s="53"/>
      <c r="K54" s="53"/>
      <c r="L54" s="53"/>
      <c r="M54" s="53"/>
    </row>
    <row r="55" spans="1:13" ht="13.5" x14ac:dyDescent="0.2">
      <c r="A55" s="14" t="s">
        <v>154</v>
      </c>
      <c r="B55" s="63"/>
      <c r="C55" s="263">
        <v>55.612000000000002</v>
      </c>
      <c r="D55" s="267">
        <v>45.256999999999998</v>
      </c>
      <c r="E55" s="248">
        <v>9.2803711429187946E-2</v>
      </c>
      <c r="F55" s="248">
        <v>3.0299215996547509E-2</v>
      </c>
      <c r="G55" s="248">
        <v>0.68478026325253538</v>
      </c>
      <c r="H55" s="248">
        <v>0.12840753794145149</v>
      </c>
      <c r="I55" s="248">
        <v>6.3709271380277641E-2</v>
      </c>
      <c r="J55" s="53"/>
      <c r="K55" s="53"/>
      <c r="L55" s="53"/>
      <c r="M55" s="53"/>
    </row>
    <row r="56" spans="1:13" x14ac:dyDescent="0.2">
      <c r="A56" s="14" t="s">
        <v>21</v>
      </c>
      <c r="B56" s="63"/>
      <c r="C56" s="263">
        <v>1.4651590000000001</v>
      </c>
      <c r="D56" s="267">
        <v>4.3987999999999999E-2</v>
      </c>
      <c r="E56" s="248">
        <v>0</v>
      </c>
      <c r="F56" s="248">
        <v>0</v>
      </c>
      <c r="G56" s="248">
        <v>0.93648675672742687</v>
      </c>
      <c r="H56" s="248">
        <v>4.3636219686737067E-2</v>
      </c>
      <c r="I56" s="248">
        <v>1.9877023585836075E-2</v>
      </c>
      <c r="J56" s="53"/>
      <c r="K56" s="53"/>
      <c r="L56" s="53"/>
      <c r="M56" s="53"/>
    </row>
    <row r="57" spans="1:13" ht="13.5" x14ac:dyDescent="0.2">
      <c r="A57" s="14" t="s">
        <v>156</v>
      </c>
      <c r="B57" s="63"/>
      <c r="C57" s="263">
        <v>342.67899146964248</v>
      </c>
      <c r="D57" s="267">
        <v>335.86354600617159</v>
      </c>
      <c r="E57" s="248">
        <v>3.0580738034371755E-2</v>
      </c>
      <c r="F57" s="248">
        <v>4.0390442489936111E-2</v>
      </c>
      <c r="G57" s="248">
        <v>0.78625818237153544</v>
      </c>
      <c r="H57" s="248">
        <v>0.10581730684876811</v>
      </c>
      <c r="I57" s="248">
        <v>3.6953330255388481E-2</v>
      </c>
      <c r="J57" s="53"/>
      <c r="K57" s="53"/>
      <c r="L57" s="53"/>
      <c r="M57" s="53"/>
    </row>
    <row r="58" spans="1:13" x14ac:dyDescent="0.2">
      <c r="A58" s="14" t="s">
        <v>2</v>
      </c>
      <c r="B58" s="63"/>
      <c r="C58" s="263">
        <v>173.98356611542701</v>
      </c>
      <c r="D58" s="267">
        <v>173.98356611542701</v>
      </c>
      <c r="E58" s="248">
        <v>8.8946806588503499E-2</v>
      </c>
      <c r="F58" s="248">
        <v>7.0921240969895827E-2</v>
      </c>
      <c r="G58" s="248">
        <v>0.39475478817495119</v>
      </c>
      <c r="H58" s="248">
        <v>0.39382193716696395</v>
      </c>
      <c r="I58" s="248">
        <v>5.1555227099685574E-2</v>
      </c>
      <c r="J58" s="53"/>
      <c r="K58" s="53"/>
      <c r="L58" s="53"/>
      <c r="M58" s="53"/>
    </row>
    <row r="59" spans="1:13" x14ac:dyDescent="0.2">
      <c r="A59" s="14" t="s">
        <v>24</v>
      </c>
      <c r="B59" s="63"/>
      <c r="C59" s="263">
        <v>439.50599999999997</v>
      </c>
      <c r="D59" s="267">
        <v>418.14699999999999</v>
      </c>
      <c r="E59" s="248">
        <v>0.64952696891510009</v>
      </c>
      <c r="F59" s="248">
        <v>7.254963527232848E-2</v>
      </c>
      <c r="G59" s="248">
        <v>0.13568642976432632</v>
      </c>
      <c r="H59" s="248">
        <v>0.12769564010502701</v>
      </c>
      <c r="I59" s="248">
        <v>1.4541325943218067E-2</v>
      </c>
      <c r="J59" s="53"/>
      <c r="K59" s="53"/>
      <c r="L59" s="53"/>
      <c r="M59" s="53"/>
    </row>
    <row r="60" spans="1:13" ht="13.5" x14ac:dyDescent="0.2">
      <c r="A60" s="14" t="s">
        <v>157</v>
      </c>
      <c r="B60" s="63"/>
      <c r="C60" s="263">
        <v>113.203</v>
      </c>
      <c r="D60" s="267">
        <v>76.37</v>
      </c>
      <c r="E60" s="248">
        <v>0</v>
      </c>
      <c r="F60" s="248">
        <v>7.2286070157151314E-2</v>
      </c>
      <c r="G60" s="248">
        <v>0.48270805544022682</v>
      </c>
      <c r="H60" s="248">
        <v>0.4402621838643852</v>
      </c>
      <c r="I60" s="248">
        <v>4.7436905382366194E-3</v>
      </c>
      <c r="J60" s="53"/>
      <c r="K60" s="53"/>
      <c r="L60" s="53"/>
      <c r="M60" s="53"/>
    </row>
    <row r="61" spans="1:13" x14ac:dyDescent="0.2">
      <c r="A61" s="14" t="s">
        <v>26</v>
      </c>
      <c r="B61" s="63"/>
      <c r="C61" s="263">
        <v>72.604840900000013</v>
      </c>
      <c r="D61" s="267">
        <v>36.955940400000003</v>
      </c>
      <c r="E61" s="248">
        <v>0.22414221418671271</v>
      </c>
      <c r="F61" s="248">
        <v>1.9709283599573316E-2</v>
      </c>
      <c r="G61" s="248">
        <v>0.69205591634317587</v>
      </c>
      <c r="H61" s="248">
        <v>6.2498605378804695E-2</v>
      </c>
      <c r="I61" s="248">
        <v>1.5939804917332995E-3</v>
      </c>
      <c r="J61" s="53"/>
      <c r="K61" s="53"/>
      <c r="L61" s="53"/>
      <c r="M61" s="53"/>
    </row>
    <row r="62" spans="1:13" ht="13.5" x14ac:dyDescent="0.2">
      <c r="A62" s="14" t="s">
        <v>158</v>
      </c>
      <c r="B62" s="63"/>
      <c r="C62" s="263">
        <v>19.072535397159193</v>
      </c>
      <c r="D62" s="267">
        <v>11.422925058687303</v>
      </c>
      <c r="E62" s="248">
        <v>0.42829034214246853</v>
      </c>
      <c r="F62" s="248">
        <v>7.9203246072397657E-4</v>
      </c>
      <c r="G62" s="248">
        <v>0.33185703053219517</v>
      </c>
      <c r="H62" s="248">
        <v>0.21676588122704776</v>
      </c>
      <c r="I62" s="248">
        <v>2.2294713637564564E-2</v>
      </c>
      <c r="J62" s="53"/>
      <c r="K62" s="53"/>
      <c r="L62" s="53"/>
      <c r="M62" s="53"/>
    </row>
    <row r="63" spans="1:13" x14ac:dyDescent="0.2">
      <c r="A63" s="14" t="s">
        <v>55</v>
      </c>
      <c r="B63" s="63"/>
      <c r="C63" s="263">
        <v>58.209800000000001</v>
      </c>
      <c r="D63" s="267">
        <v>49.180550000000004</v>
      </c>
      <c r="E63" s="248">
        <v>0.3805044854990054</v>
      </c>
      <c r="F63" s="248">
        <v>0.12095403179533346</v>
      </c>
      <c r="G63" s="248">
        <v>0.30809983885874892</v>
      </c>
      <c r="H63" s="248">
        <v>0.14308741826977592</v>
      </c>
      <c r="I63" s="248">
        <v>4.7354225577136505E-2</v>
      </c>
      <c r="J63" s="53"/>
      <c r="K63" s="53"/>
      <c r="L63" s="53"/>
      <c r="M63" s="53"/>
    </row>
    <row r="64" spans="1:13" ht="13.5" x14ac:dyDescent="0.2">
      <c r="A64" s="14" t="s">
        <v>159</v>
      </c>
      <c r="B64" s="63"/>
      <c r="C64" s="263">
        <v>392.44499999999999</v>
      </c>
      <c r="D64" s="267">
        <v>382.423</v>
      </c>
      <c r="E64" s="248">
        <v>0.21394080699206258</v>
      </c>
      <c r="F64" s="248">
        <v>5.1395736982252291E-3</v>
      </c>
      <c r="G64" s="248">
        <v>9.2206551236479001E-2</v>
      </c>
      <c r="H64" s="248">
        <v>0.6510568359897565</v>
      </c>
      <c r="I64" s="248">
        <v>3.7656232083476668E-2</v>
      </c>
      <c r="J64" s="53"/>
      <c r="K64" s="53"/>
      <c r="L64" s="53"/>
      <c r="M64" s="53"/>
    </row>
    <row r="65" spans="1:13" ht="13.5" x14ac:dyDescent="0.2">
      <c r="A65" s="15" t="s">
        <v>85</v>
      </c>
      <c r="B65" s="32"/>
      <c r="C65" s="264">
        <v>150.738</v>
      </c>
      <c r="D65" s="268">
        <v>149.81399999999999</v>
      </c>
      <c r="E65" s="254">
        <v>7.2164948453608241E-2</v>
      </c>
      <c r="F65" s="254">
        <v>2.7862914460852605E-3</v>
      </c>
      <c r="G65" s="254">
        <v>3.0257798299035413E-2</v>
      </c>
      <c r="H65" s="254">
        <v>0.61725643168942135</v>
      </c>
      <c r="I65" s="254">
        <v>0.2775345301118497</v>
      </c>
      <c r="J65" s="53"/>
      <c r="K65" s="53"/>
      <c r="L65" s="53"/>
      <c r="M65" s="53"/>
    </row>
    <row r="66" spans="1:13" x14ac:dyDescent="0.2">
      <c r="A66" s="214" t="s">
        <v>140</v>
      </c>
      <c r="B66" s="214"/>
      <c r="C66" s="178"/>
      <c r="D66" s="178"/>
      <c r="E66" s="36"/>
      <c r="F66" s="36"/>
      <c r="G66" s="36"/>
      <c r="H66" s="36"/>
      <c r="I66" s="36"/>
      <c r="J66" s="53"/>
      <c r="K66" s="53"/>
      <c r="L66" s="53"/>
      <c r="M66" s="53"/>
    </row>
    <row r="67" spans="1:13" x14ac:dyDescent="0.2">
      <c r="A67" s="214"/>
      <c r="B67" s="214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</row>
    <row r="68" spans="1:13" x14ac:dyDescent="0.2">
      <c r="A68" s="182"/>
      <c r="B68" s="18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</row>
    <row r="69" spans="1:13" x14ac:dyDescent="0.2">
      <c r="A69" s="25"/>
      <c r="B69" s="25"/>
      <c r="C69" s="183"/>
      <c r="D69" s="182"/>
      <c r="E69" s="25"/>
      <c r="F69" s="182"/>
      <c r="G69" s="30"/>
      <c r="H69" s="184"/>
      <c r="I69" s="185"/>
      <c r="J69" s="186"/>
      <c r="K69" s="7"/>
      <c r="L69" s="182"/>
      <c r="M69" s="187"/>
    </row>
  </sheetData>
  <pageMargins left="0.25" right="0.25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zoomScaleNormal="100" workbookViewId="0"/>
  </sheetViews>
  <sheetFormatPr defaultColWidth="9.140625" defaultRowHeight="12.75" x14ac:dyDescent="0.2"/>
  <cols>
    <col min="1" max="1" width="37.140625" style="53" customWidth="1"/>
    <col min="2" max="2" width="4" style="53" customWidth="1"/>
    <col min="3" max="5" width="10.7109375" style="53" customWidth="1"/>
    <col min="6" max="6" width="12.42578125" style="53" customWidth="1"/>
    <col min="7" max="13" width="10.7109375" style="53" customWidth="1"/>
    <col min="14" max="16384" width="9.140625" style="53"/>
  </cols>
  <sheetData>
    <row r="1" spans="1:18" ht="15.75" x14ac:dyDescent="0.25">
      <c r="A1" s="52" t="s">
        <v>139</v>
      </c>
      <c r="B1" s="52"/>
      <c r="C1" s="35"/>
      <c r="D1" s="36"/>
      <c r="E1" s="36"/>
      <c r="F1" s="36"/>
      <c r="G1" s="37"/>
      <c r="H1" s="37"/>
      <c r="I1" s="36"/>
      <c r="J1" s="36"/>
    </row>
    <row r="2" spans="1:18" x14ac:dyDescent="0.2">
      <c r="A2" s="38"/>
      <c r="B2" s="38"/>
      <c r="C2" s="35"/>
      <c r="D2" s="36"/>
      <c r="E2" s="36"/>
      <c r="F2" s="36"/>
      <c r="G2" s="37"/>
      <c r="H2" s="37"/>
      <c r="I2" s="36"/>
      <c r="J2" s="36"/>
    </row>
    <row r="3" spans="1:18" ht="49.5" x14ac:dyDescent="0.2">
      <c r="A3" s="54"/>
      <c r="B3" s="54"/>
      <c r="C3" s="72" t="s">
        <v>43</v>
      </c>
      <c r="D3" s="12" t="s">
        <v>128</v>
      </c>
      <c r="E3" s="66" t="s">
        <v>142</v>
      </c>
      <c r="F3" s="226" t="s">
        <v>112</v>
      </c>
      <c r="G3" s="55" t="s">
        <v>113</v>
      </c>
      <c r="H3" s="55" t="s">
        <v>128</v>
      </c>
      <c r="I3" s="66" t="s">
        <v>114</v>
      </c>
      <c r="J3" s="12" t="s">
        <v>128</v>
      </c>
      <c r="K3" s="72" t="s">
        <v>115</v>
      </c>
      <c r="L3" s="55" t="s">
        <v>128</v>
      </c>
      <c r="M3" s="72" t="s">
        <v>116</v>
      </c>
      <c r="N3" s="195"/>
      <c r="O3" s="195"/>
      <c r="P3" s="195"/>
      <c r="Q3" s="195"/>
      <c r="R3" s="195"/>
    </row>
    <row r="4" spans="1:18" ht="13.5" x14ac:dyDescent="0.2">
      <c r="A4" s="227" t="s">
        <v>148</v>
      </c>
      <c r="B4" s="227"/>
      <c r="C4" s="228">
        <v>344.55202601396957</v>
      </c>
      <c r="D4" s="228">
        <v>301.68477014925958</v>
      </c>
      <c r="E4" s="228">
        <v>2946.0354539999998</v>
      </c>
      <c r="F4" s="229">
        <v>0.11695447369655776</v>
      </c>
      <c r="G4" s="228">
        <v>133.60061921249391</v>
      </c>
      <c r="H4" s="228">
        <v>112.78274327111791</v>
      </c>
      <c r="I4" s="228">
        <v>2650.9218414489933</v>
      </c>
      <c r="J4" s="228">
        <v>2193.5502848479687</v>
      </c>
      <c r="K4" s="228">
        <v>280.48453308021919</v>
      </c>
      <c r="L4" s="228">
        <v>222.73882189991713</v>
      </c>
      <c r="M4" s="228">
        <v>1264.5592564894453</v>
      </c>
      <c r="N4" s="195"/>
      <c r="O4" s="195"/>
      <c r="P4" s="195"/>
      <c r="Q4" s="195"/>
      <c r="R4" s="195"/>
    </row>
    <row r="5" spans="1:18" ht="13.5" x14ac:dyDescent="0.2">
      <c r="A5" s="230" t="s">
        <v>149</v>
      </c>
      <c r="B5" s="230"/>
      <c r="C5" s="231">
        <v>366.85852247733391</v>
      </c>
      <c r="D5" s="232">
        <v>322.31066614314352</v>
      </c>
      <c r="E5" s="233">
        <v>3276.7780749999997</v>
      </c>
      <c r="F5" s="234">
        <v>0.1119570853077482</v>
      </c>
      <c r="G5" s="232">
        <v>138.30648045248131</v>
      </c>
      <c r="H5" s="232">
        <v>117.10931209086688</v>
      </c>
      <c r="I5" s="232">
        <v>2786.9055405245813</v>
      </c>
      <c r="J5" s="232">
        <v>2305.8446071996045</v>
      </c>
      <c r="K5" s="232">
        <v>288.21823980152362</v>
      </c>
      <c r="L5" s="232">
        <v>229.43512944044573</v>
      </c>
      <c r="M5" s="233">
        <v>1344.4228387883272</v>
      </c>
      <c r="N5" s="195"/>
      <c r="O5" s="195"/>
      <c r="P5" s="195"/>
      <c r="Q5" s="195"/>
      <c r="R5" s="195"/>
    </row>
    <row r="6" spans="1:18" ht="13.5" x14ac:dyDescent="0.2">
      <c r="A6" s="13" t="s">
        <v>144</v>
      </c>
      <c r="B6" s="242"/>
      <c r="C6" s="193">
        <v>11.365511</v>
      </c>
      <c r="D6" s="193">
        <v>10.310093</v>
      </c>
      <c r="E6" s="193">
        <v>75.0946</v>
      </c>
      <c r="F6" s="211">
        <v>0.15134924481920137</v>
      </c>
      <c r="G6" s="209">
        <v>2.30593</v>
      </c>
      <c r="H6" s="194">
        <v>1.8583689999999999</v>
      </c>
      <c r="I6" s="193">
        <v>89.464719000000002</v>
      </c>
      <c r="J6" s="193">
        <v>77.886366999999993</v>
      </c>
      <c r="K6" s="193">
        <v>4.8655380000000008</v>
      </c>
      <c r="L6" s="193">
        <v>3.6282560000000004</v>
      </c>
      <c r="M6" s="193">
        <v>36.557509000000003</v>
      </c>
      <c r="N6" s="195"/>
      <c r="O6" s="195"/>
      <c r="P6" s="195"/>
      <c r="Q6" s="195"/>
      <c r="R6" s="195"/>
    </row>
    <row r="7" spans="1:18" x14ac:dyDescent="0.2">
      <c r="A7" s="14" t="s">
        <v>4</v>
      </c>
      <c r="B7" s="63"/>
      <c r="C7" s="117">
        <v>3.641</v>
      </c>
      <c r="D7" s="117">
        <v>3.3639999999999999</v>
      </c>
      <c r="E7" s="117">
        <v>46.837669999999996</v>
      </c>
      <c r="F7" s="119">
        <v>7.7736574001225939E-2</v>
      </c>
      <c r="G7" s="123">
        <v>1.141</v>
      </c>
      <c r="H7" s="121">
        <v>1.038</v>
      </c>
      <c r="I7" s="117">
        <v>40.113999999999997</v>
      </c>
      <c r="J7" s="117">
        <v>35.802</v>
      </c>
      <c r="K7" s="117">
        <v>4.3310000000000004</v>
      </c>
      <c r="L7" s="117">
        <v>3.9769999999999999</v>
      </c>
      <c r="M7" s="117">
        <v>13.589</v>
      </c>
      <c r="N7" s="195"/>
      <c r="O7" s="195"/>
      <c r="P7" s="195"/>
      <c r="Q7" s="195"/>
      <c r="R7" s="195"/>
    </row>
    <row r="8" spans="1:18" x14ac:dyDescent="0.2">
      <c r="A8" s="14" t="s">
        <v>6</v>
      </c>
      <c r="B8" s="63"/>
      <c r="C8" s="117">
        <v>10.020223358999999</v>
      </c>
      <c r="D8" s="117">
        <v>8.1633151969999993</v>
      </c>
      <c r="E8" s="117">
        <v>88.032021999999998</v>
      </c>
      <c r="F8" s="119">
        <v>0.11382475525780834</v>
      </c>
      <c r="G8" s="123">
        <v>8.5100557999999999</v>
      </c>
      <c r="H8" s="121">
        <v>7.0107587999999996</v>
      </c>
      <c r="I8" s="117">
        <v>102.06420052820002</v>
      </c>
      <c r="J8" s="117">
        <v>85.508976395600016</v>
      </c>
      <c r="K8" s="117">
        <v>21.6971667</v>
      </c>
      <c r="L8" s="117">
        <v>16.279064999999999</v>
      </c>
      <c r="M8" s="117">
        <v>34.569088225670775</v>
      </c>
      <c r="N8" s="195"/>
      <c r="O8" s="195"/>
      <c r="P8" s="195"/>
      <c r="Q8" s="195"/>
      <c r="R8" s="195"/>
    </row>
    <row r="9" spans="1:18" x14ac:dyDescent="0.2">
      <c r="A9" s="14" t="s">
        <v>8</v>
      </c>
      <c r="B9" s="63"/>
      <c r="C9" s="117">
        <v>11.410940724142241</v>
      </c>
      <c r="D9" s="117">
        <v>11.240351922469475</v>
      </c>
      <c r="E9" s="117">
        <v>30.376584999999999</v>
      </c>
      <c r="F9" s="119">
        <v>0.37564922864575601</v>
      </c>
      <c r="G9" s="123">
        <v>5.9145352690975317</v>
      </c>
      <c r="H9" s="121">
        <v>5.7637353095909081</v>
      </c>
      <c r="I9" s="117">
        <v>95.161930762800026</v>
      </c>
      <c r="J9" s="117">
        <v>93.870882119200019</v>
      </c>
      <c r="K9" s="117">
        <v>8.9884260000000005</v>
      </c>
      <c r="L9" s="117">
        <v>8.8162660000000006</v>
      </c>
      <c r="M9" s="117">
        <v>79.86358229888198</v>
      </c>
      <c r="N9" s="195"/>
      <c r="O9" s="195"/>
      <c r="P9" s="195"/>
      <c r="Q9" s="195"/>
      <c r="R9" s="195"/>
    </row>
    <row r="10" spans="1:18" x14ac:dyDescent="0.2">
      <c r="A10" s="14" t="s">
        <v>7</v>
      </c>
      <c r="B10" s="63"/>
      <c r="C10" s="117">
        <v>88.458100000000002</v>
      </c>
      <c r="D10" s="117">
        <v>66.981700000000004</v>
      </c>
      <c r="E10" s="117">
        <v>643.15899999999999</v>
      </c>
      <c r="F10" s="119">
        <v>0.13753690766979862</v>
      </c>
      <c r="G10" s="123">
        <v>53.8855</v>
      </c>
      <c r="H10" s="121">
        <v>42.939800000000005</v>
      </c>
      <c r="I10" s="117">
        <v>676.06439999999986</v>
      </c>
      <c r="J10" s="117">
        <v>454.77579999999995</v>
      </c>
      <c r="K10" s="117">
        <v>97.994</v>
      </c>
      <c r="L10" s="117">
        <v>73.655299999999997</v>
      </c>
      <c r="M10" s="117">
        <v>264.99549999999999</v>
      </c>
      <c r="N10" s="195"/>
      <c r="O10" s="195"/>
      <c r="P10" s="195"/>
      <c r="Q10" s="195"/>
      <c r="R10" s="195"/>
    </row>
    <row r="11" spans="1:18" ht="13.5" x14ac:dyDescent="0.2">
      <c r="A11" s="14" t="s">
        <v>119</v>
      </c>
      <c r="B11" s="63"/>
      <c r="C11" s="117">
        <v>1.1015699999999999</v>
      </c>
      <c r="D11" s="117">
        <v>1.1015699999999999</v>
      </c>
      <c r="E11" s="117">
        <v>12.358801999999999</v>
      </c>
      <c r="F11" s="119">
        <v>8.9132425618599603E-2</v>
      </c>
      <c r="G11" s="123">
        <v>0.22675000000000001</v>
      </c>
      <c r="H11" s="121">
        <v>0.22675000000000001</v>
      </c>
      <c r="I11" s="117">
        <v>3.4987499999999998</v>
      </c>
      <c r="J11" s="117">
        <v>3.4987499999999998</v>
      </c>
      <c r="K11" s="117">
        <v>0.69974999999999998</v>
      </c>
      <c r="L11" s="117">
        <v>0.69974999999999998</v>
      </c>
      <c r="M11" s="117">
        <v>4.2329999999999997</v>
      </c>
      <c r="N11" s="195"/>
      <c r="O11" s="195"/>
      <c r="P11" s="195"/>
      <c r="Q11" s="195"/>
      <c r="R11" s="195"/>
    </row>
    <row r="12" spans="1:18" ht="13.5" x14ac:dyDescent="0.2">
      <c r="A12" s="14" t="s">
        <v>145</v>
      </c>
      <c r="B12" s="63"/>
      <c r="C12" s="117">
        <v>2.1310999698746174</v>
      </c>
      <c r="D12" s="117">
        <v>2.0108505148374998</v>
      </c>
      <c r="E12" s="117">
        <v>31.133786000000001</v>
      </c>
      <c r="F12" s="119">
        <v>6.8449753264014132E-2</v>
      </c>
      <c r="G12" s="123">
        <v>0.318158</v>
      </c>
      <c r="H12" s="121">
        <v>0.28788900000000001</v>
      </c>
      <c r="I12" s="117">
        <v>11.623806215255879</v>
      </c>
      <c r="J12" s="117">
        <v>10.881158914235126</v>
      </c>
      <c r="K12" s="117">
        <v>0.62754910000000008</v>
      </c>
      <c r="L12" s="117">
        <v>0.54117810000000011</v>
      </c>
      <c r="M12" s="117">
        <v>7.31</v>
      </c>
      <c r="N12" s="195"/>
      <c r="O12" s="195"/>
      <c r="P12" s="195"/>
      <c r="Q12" s="195"/>
      <c r="R12" s="195"/>
    </row>
    <row r="13" spans="1:18" ht="13.5" x14ac:dyDescent="0.2">
      <c r="A13" s="14" t="s">
        <v>90</v>
      </c>
      <c r="B13" s="63"/>
      <c r="C13" s="117">
        <v>2.3723400000000003</v>
      </c>
      <c r="D13" s="117">
        <v>2.16804</v>
      </c>
      <c r="E13" s="117">
        <v>53.262785000000001</v>
      </c>
      <c r="F13" s="119">
        <v>4.4540292063210744E-2</v>
      </c>
      <c r="G13" s="123">
        <v>0.42532999999999999</v>
      </c>
      <c r="H13" s="121">
        <v>0.35039999999999999</v>
      </c>
      <c r="I13" s="117">
        <v>17.353830000000002</v>
      </c>
      <c r="J13" s="117">
        <v>15.186669999999999</v>
      </c>
      <c r="K13" s="117">
        <v>0.92591000000000012</v>
      </c>
      <c r="L13" s="117">
        <v>0.55191000000000012</v>
      </c>
      <c r="M13" s="117">
        <v>5.1342299999999996</v>
      </c>
      <c r="N13" s="195"/>
      <c r="O13" s="195"/>
      <c r="P13" s="195"/>
      <c r="Q13" s="195"/>
      <c r="R13" s="195"/>
    </row>
    <row r="14" spans="1:18" x14ac:dyDescent="0.2">
      <c r="A14" s="14" t="s">
        <v>11</v>
      </c>
      <c r="B14" s="63"/>
      <c r="C14" s="117">
        <v>29.001999999999999</v>
      </c>
      <c r="D14" s="117">
        <v>28.98</v>
      </c>
      <c r="E14" s="117">
        <v>274.452</v>
      </c>
      <c r="F14" s="119">
        <v>0.10567239444420154</v>
      </c>
      <c r="G14" s="123">
        <v>4.7489999999999997</v>
      </c>
      <c r="H14" s="121">
        <v>4.7089999999999996</v>
      </c>
      <c r="I14" s="117">
        <v>141.90299999999999</v>
      </c>
      <c r="J14" s="117">
        <v>141.86799999999999</v>
      </c>
      <c r="K14" s="117">
        <v>10.27</v>
      </c>
      <c r="L14" s="117">
        <v>10.215</v>
      </c>
      <c r="M14" s="117">
        <v>82.873999999999995</v>
      </c>
      <c r="N14" s="195"/>
      <c r="O14" s="195"/>
      <c r="P14" s="195"/>
      <c r="Q14" s="195"/>
      <c r="R14" s="195"/>
    </row>
    <row r="15" spans="1:18" x14ac:dyDescent="0.2">
      <c r="A15" s="14" t="s">
        <v>13</v>
      </c>
      <c r="B15" s="63"/>
      <c r="C15" s="117">
        <v>17.28454</v>
      </c>
      <c r="D15" s="117">
        <v>10.562389999999999</v>
      </c>
      <c r="E15" s="117">
        <v>581.94280000000003</v>
      </c>
      <c r="F15" s="119">
        <v>2.9701441447509958E-2</v>
      </c>
      <c r="G15" s="123">
        <v>6.5969499999999996</v>
      </c>
      <c r="H15" s="121">
        <v>3.5728</v>
      </c>
      <c r="I15" s="117">
        <v>176.44939000000002</v>
      </c>
      <c r="J15" s="117">
        <v>108.23903</v>
      </c>
      <c r="K15" s="117">
        <v>15.743709999999998</v>
      </c>
      <c r="L15" s="117">
        <v>8.2356800000000003</v>
      </c>
      <c r="M15" s="117">
        <v>60.982080000000003</v>
      </c>
      <c r="N15" s="195"/>
      <c r="O15" s="195"/>
      <c r="P15" s="195"/>
      <c r="Q15" s="195"/>
      <c r="R15" s="195"/>
    </row>
    <row r="16" spans="1:18" x14ac:dyDescent="0.2">
      <c r="A16" s="14" t="s">
        <v>14</v>
      </c>
      <c r="B16" s="63"/>
      <c r="C16" s="117">
        <v>1.9932999999999998</v>
      </c>
      <c r="D16" s="117">
        <v>1.7121</v>
      </c>
      <c r="E16" s="117">
        <v>13.6317</v>
      </c>
      <c r="F16" s="119">
        <v>0.14622534240043428</v>
      </c>
      <c r="G16" s="123">
        <v>0.86050000000000004</v>
      </c>
      <c r="H16" s="121">
        <v>0.67869999999999997</v>
      </c>
      <c r="I16" s="117">
        <v>15.7544</v>
      </c>
      <c r="J16" s="117">
        <v>8.3650000000000002</v>
      </c>
      <c r="K16" s="117">
        <v>2.1551999999999998</v>
      </c>
      <c r="L16" s="117">
        <v>1.4310999999999998</v>
      </c>
      <c r="M16" s="117">
        <v>6.3724999999999996</v>
      </c>
      <c r="N16" s="195"/>
      <c r="O16" s="195"/>
      <c r="P16" s="195"/>
      <c r="Q16" s="195"/>
      <c r="R16" s="195"/>
    </row>
    <row r="17" spans="1:18" x14ac:dyDescent="0.2">
      <c r="A17" s="14" t="s">
        <v>17</v>
      </c>
      <c r="B17" s="63"/>
      <c r="C17" s="117">
        <v>39.698</v>
      </c>
      <c r="D17" s="117">
        <v>36.718000000000004</v>
      </c>
      <c r="E17" s="117">
        <v>289.70800000000003</v>
      </c>
      <c r="F17" s="119">
        <v>0.13702762781835504</v>
      </c>
      <c r="G17" s="123">
        <v>8.6280000000000001</v>
      </c>
      <c r="H17" s="121">
        <v>7.9660000000000002</v>
      </c>
      <c r="I17" s="117">
        <v>214.636</v>
      </c>
      <c r="J17" s="117">
        <v>190.51400000000001</v>
      </c>
      <c r="K17" s="117">
        <v>18.353999999999999</v>
      </c>
      <c r="L17" s="117">
        <v>13.577999999999999</v>
      </c>
      <c r="M17" s="117">
        <v>143.441</v>
      </c>
      <c r="N17" s="195"/>
      <c r="O17" s="195"/>
      <c r="P17" s="195"/>
      <c r="Q17" s="195"/>
      <c r="R17" s="195"/>
    </row>
    <row r="18" spans="1:18" x14ac:dyDescent="0.2">
      <c r="A18" s="14" t="s">
        <v>5</v>
      </c>
      <c r="B18" s="63"/>
      <c r="C18" s="117">
        <v>5.7753241000000004E-2</v>
      </c>
      <c r="D18" s="117">
        <v>2.5737723000000004E-2</v>
      </c>
      <c r="E18" s="117">
        <v>5.0605669999999998</v>
      </c>
      <c r="F18" s="119">
        <v>1.1412405171199198E-2</v>
      </c>
      <c r="G18" s="123">
        <v>1.5499000000000001E-2</v>
      </c>
      <c r="H18" s="121">
        <v>8.9879999999999995E-3</v>
      </c>
      <c r="I18" s="117">
        <v>0.61538587089472252</v>
      </c>
      <c r="J18" s="117">
        <v>0.27707594709033923</v>
      </c>
      <c r="K18" s="117">
        <v>2.9826416709144238E-2</v>
      </c>
      <c r="L18" s="117">
        <v>2.0341013250493367E-2</v>
      </c>
      <c r="M18" s="117">
        <v>3.5000000000000003E-2</v>
      </c>
      <c r="N18" s="195"/>
      <c r="O18" s="195"/>
      <c r="P18" s="195"/>
      <c r="Q18" s="195"/>
      <c r="R18" s="195"/>
    </row>
    <row r="19" spans="1:18" x14ac:dyDescent="0.2">
      <c r="A19" s="14" t="s">
        <v>20</v>
      </c>
      <c r="B19" s="63"/>
      <c r="C19" s="117">
        <v>3.073</v>
      </c>
      <c r="D19" s="117">
        <v>3.0649999999999999</v>
      </c>
      <c r="E19" s="117">
        <v>6.7248749999999999</v>
      </c>
      <c r="F19" s="119">
        <v>0.45696016654584659</v>
      </c>
      <c r="G19" s="123">
        <v>1.27</v>
      </c>
      <c r="H19" s="121">
        <v>1.264</v>
      </c>
      <c r="I19" s="117">
        <v>15.143000000000001</v>
      </c>
      <c r="J19" s="117">
        <v>14.856999999999999</v>
      </c>
      <c r="K19" s="117">
        <v>1.204</v>
      </c>
      <c r="L19" s="117">
        <v>1.1779999999999999</v>
      </c>
      <c r="M19" s="117">
        <v>10.404999999999999</v>
      </c>
      <c r="N19" s="195"/>
      <c r="O19" s="195"/>
      <c r="P19" s="195"/>
      <c r="Q19" s="195"/>
      <c r="R19" s="195"/>
    </row>
    <row r="20" spans="1:18" x14ac:dyDescent="0.2">
      <c r="A20" s="14" t="s">
        <v>18</v>
      </c>
      <c r="B20" s="63"/>
      <c r="C20" s="117">
        <v>0.92400000000000004</v>
      </c>
      <c r="D20" s="117">
        <v>0.59899999999999998</v>
      </c>
      <c r="E20" s="117">
        <v>3.5110999999999999</v>
      </c>
      <c r="F20" s="119">
        <v>0.2631653897638917</v>
      </c>
      <c r="G20" s="123">
        <v>0.56100000000000005</v>
      </c>
      <c r="H20" s="121">
        <v>0.15</v>
      </c>
      <c r="I20" s="117">
        <v>10.212999999999999</v>
      </c>
      <c r="J20" s="117">
        <v>7.62</v>
      </c>
      <c r="K20" s="117">
        <v>1.4810000000000001</v>
      </c>
      <c r="L20" s="117">
        <v>0.42299999999999999</v>
      </c>
      <c r="M20" s="117">
        <v>4.6909999999999998</v>
      </c>
      <c r="N20" s="195"/>
      <c r="O20" s="195"/>
      <c r="P20" s="195"/>
      <c r="Q20" s="195"/>
      <c r="R20" s="195"/>
    </row>
    <row r="21" spans="1:18" x14ac:dyDescent="0.2">
      <c r="A21" s="14" t="s">
        <v>19</v>
      </c>
      <c r="B21" s="63"/>
      <c r="C21" s="117">
        <v>0.36599999999999999</v>
      </c>
      <c r="D21" s="117">
        <v>0.36599999999999999</v>
      </c>
      <c r="E21" s="117">
        <v>2.2009180000000002</v>
      </c>
      <c r="F21" s="119">
        <v>0.16629424630994882</v>
      </c>
      <c r="G21" s="123">
        <v>0.108</v>
      </c>
      <c r="H21" s="121">
        <v>0.108</v>
      </c>
      <c r="I21" s="117">
        <v>2.9180000000000001</v>
      </c>
      <c r="J21" s="117">
        <v>2.9180000000000001</v>
      </c>
      <c r="K21" s="117">
        <v>0.20899999999999999</v>
      </c>
      <c r="L21" s="117">
        <v>0.20899999999999999</v>
      </c>
      <c r="M21" s="117">
        <v>1.1759999999999999</v>
      </c>
      <c r="N21" s="195"/>
      <c r="O21" s="195"/>
      <c r="P21" s="195"/>
      <c r="Q21" s="195"/>
      <c r="R21" s="195"/>
    </row>
    <row r="22" spans="1:18" ht="13.5" x14ac:dyDescent="0.2">
      <c r="A22" s="14" t="s">
        <v>120</v>
      </c>
      <c r="B22" s="63"/>
      <c r="C22" s="117">
        <v>4.2859999999999996</v>
      </c>
      <c r="D22" s="117">
        <v>3.71</v>
      </c>
      <c r="E22" s="117">
        <v>32.003999999999998</v>
      </c>
      <c r="F22" s="119">
        <v>0.13392075990501187</v>
      </c>
      <c r="G22" s="123">
        <v>1.494</v>
      </c>
      <c r="H22" s="121">
        <v>1.26</v>
      </c>
      <c r="I22" s="117">
        <v>24.658999999999999</v>
      </c>
      <c r="J22" s="117">
        <v>20.861999999999998</v>
      </c>
      <c r="K22" s="117">
        <v>2.9860000000000002</v>
      </c>
      <c r="L22" s="117">
        <v>2.181</v>
      </c>
      <c r="M22" s="117">
        <v>11.618</v>
      </c>
      <c r="N22" s="195"/>
      <c r="O22" s="195"/>
      <c r="P22" s="195"/>
      <c r="Q22" s="195"/>
      <c r="R22" s="195"/>
    </row>
    <row r="23" spans="1:18" x14ac:dyDescent="0.2">
      <c r="A23" s="14" t="s">
        <v>21</v>
      </c>
      <c r="B23" s="63"/>
      <c r="C23" s="117">
        <v>0.16180200000000003</v>
      </c>
      <c r="D23" s="117">
        <v>7.8530000000000006E-3</v>
      </c>
      <c r="E23" s="117">
        <v>1.9620709999999999</v>
      </c>
      <c r="F23" s="119">
        <v>8.2464905704227848E-2</v>
      </c>
      <c r="G23" s="123">
        <v>0.14341899999999999</v>
      </c>
      <c r="H23" s="121">
        <v>2.6820000000000004E-3</v>
      </c>
      <c r="I23" s="117">
        <v>6.7099999999999993E-2</v>
      </c>
      <c r="J23" s="117">
        <v>1.8290000000000001E-2</v>
      </c>
      <c r="K23" s="117">
        <v>1.6118E-2</v>
      </c>
      <c r="L23" s="117">
        <v>2.2119999999999996E-3</v>
      </c>
      <c r="M23" s="117">
        <v>8.448E-2</v>
      </c>
      <c r="N23" s="195"/>
      <c r="O23" s="195"/>
      <c r="P23" s="195"/>
      <c r="Q23" s="195"/>
      <c r="R23" s="195"/>
    </row>
    <row r="24" spans="1:18" x14ac:dyDescent="0.2">
      <c r="A24" s="14" t="s">
        <v>22</v>
      </c>
      <c r="B24" s="63"/>
      <c r="C24" s="117">
        <v>31.190999999999999</v>
      </c>
      <c r="D24" s="117">
        <v>30.548999999999999</v>
      </c>
      <c r="E24" s="117">
        <v>114.468277</v>
      </c>
      <c r="F24" s="119">
        <v>0.27248597443289896</v>
      </c>
      <c r="G24" s="123">
        <v>8.7919999999999998</v>
      </c>
      <c r="H24" s="121">
        <v>8.3260000000000005</v>
      </c>
      <c r="I24" s="117">
        <v>173.827</v>
      </c>
      <c r="J24" s="117">
        <v>164.066</v>
      </c>
      <c r="K24" s="117">
        <v>15.941000000000001</v>
      </c>
      <c r="L24" s="117">
        <v>14.616</v>
      </c>
      <c r="M24" s="117">
        <v>102.246</v>
      </c>
      <c r="N24" s="195"/>
      <c r="O24" s="195"/>
      <c r="P24" s="195"/>
      <c r="Q24" s="195"/>
      <c r="R24" s="195"/>
    </row>
    <row r="25" spans="1:18" x14ac:dyDescent="0.2">
      <c r="A25" s="14" t="s">
        <v>2</v>
      </c>
      <c r="B25" s="63"/>
      <c r="C25" s="117">
        <v>9.4261186774140011</v>
      </c>
      <c r="D25" s="117">
        <v>9.4261186774140011</v>
      </c>
      <c r="E25" s="117">
        <v>68.597153000000006</v>
      </c>
      <c r="F25" s="119">
        <v>0.13741268063142503</v>
      </c>
      <c r="G25" s="123">
        <v>2.8465462615269872</v>
      </c>
      <c r="H25" s="121">
        <v>2.8465462615269872</v>
      </c>
      <c r="I25" s="117">
        <v>110.81933841585702</v>
      </c>
      <c r="J25" s="117">
        <v>110.81933841585702</v>
      </c>
      <c r="K25" s="117">
        <v>8.7903950000000002</v>
      </c>
      <c r="L25" s="117">
        <v>8.7903950000000002</v>
      </c>
      <c r="M25" s="117">
        <v>13.692769457768893</v>
      </c>
      <c r="N25" s="195"/>
      <c r="O25" s="195"/>
      <c r="P25" s="195"/>
      <c r="Q25" s="195"/>
      <c r="R25" s="195"/>
    </row>
    <row r="26" spans="1:18" x14ac:dyDescent="0.2">
      <c r="A26" s="14" t="s">
        <v>24</v>
      </c>
      <c r="B26" s="63"/>
      <c r="C26" s="117">
        <v>28.838000000000001</v>
      </c>
      <c r="D26" s="117">
        <v>27.148</v>
      </c>
      <c r="E26" s="117">
        <v>170.03946100000002</v>
      </c>
      <c r="F26" s="119">
        <v>0.16959592691251826</v>
      </c>
      <c r="G26" s="123">
        <v>10.085000000000001</v>
      </c>
      <c r="H26" s="121">
        <v>9.657</v>
      </c>
      <c r="I26" s="117">
        <v>247.06700000000001</v>
      </c>
      <c r="J26" s="117">
        <v>219.24100000000001</v>
      </c>
      <c r="K26" s="117">
        <v>25.116</v>
      </c>
      <c r="L26" s="117">
        <v>22.602</v>
      </c>
      <c r="M26" s="117">
        <v>109.236</v>
      </c>
      <c r="N26" s="195"/>
      <c r="O26" s="195"/>
      <c r="P26" s="195"/>
      <c r="Q26" s="195"/>
      <c r="R26" s="195"/>
    </row>
    <row r="27" spans="1:18" ht="13.5" x14ac:dyDescent="0.2">
      <c r="A27" s="14" t="s">
        <v>146</v>
      </c>
      <c r="B27" s="63"/>
      <c r="C27" s="117">
        <v>6.1401469999999998</v>
      </c>
      <c r="D27" s="117">
        <v>4.8359250000000005</v>
      </c>
      <c r="E27" s="117">
        <v>59.636080999999997</v>
      </c>
      <c r="F27" s="119">
        <v>0.10296026997481608</v>
      </c>
      <c r="G27" s="123">
        <v>1.236</v>
      </c>
      <c r="H27" s="121">
        <v>0.82699999999999996</v>
      </c>
      <c r="I27" s="117">
        <v>59.591282999999997</v>
      </c>
      <c r="J27" s="117">
        <v>45.831840999999997</v>
      </c>
      <c r="K27" s="117">
        <v>4.1996630000000001</v>
      </c>
      <c r="L27" s="117">
        <v>2.470396</v>
      </c>
      <c r="M27" s="117">
        <v>18.335999999999999</v>
      </c>
      <c r="N27" s="195"/>
      <c r="O27" s="195"/>
      <c r="P27" s="195"/>
      <c r="Q27" s="195"/>
      <c r="R27" s="195"/>
    </row>
    <row r="28" spans="1:18" x14ac:dyDescent="0.2">
      <c r="A28" s="14" t="s">
        <v>26</v>
      </c>
      <c r="B28" s="63"/>
      <c r="C28" s="117">
        <v>5.3888828285386037</v>
      </c>
      <c r="D28" s="117">
        <v>3.4448828285386033</v>
      </c>
      <c r="E28" s="117">
        <v>64.876463999999999</v>
      </c>
      <c r="F28" s="119">
        <v>8.3063756812310291E-2</v>
      </c>
      <c r="G28" s="123">
        <v>1.6171120000000001</v>
      </c>
      <c r="H28" s="121">
        <v>0.97011199999999997</v>
      </c>
      <c r="I28" s="117">
        <v>42.161834829386159</v>
      </c>
      <c r="J28" s="117">
        <v>19.396834829386158</v>
      </c>
      <c r="K28" s="117">
        <v>4.9259551200000002</v>
      </c>
      <c r="L28" s="117">
        <v>2.0229551200000002</v>
      </c>
      <c r="M28" s="117">
        <v>11.588357010697866</v>
      </c>
      <c r="N28" s="195"/>
      <c r="O28" s="195"/>
      <c r="P28" s="195"/>
      <c r="Q28" s="195"/>
      <c r="R28" s="195"/>
    </row>
    <row r="29" spans="1:18" ht="13.5" x14ac:dyDescent="0.2">
      <c r="A29" s="14" t="s">
        <v>147</v>
      </c>
      <c r="B29" s="63"/>
      <c r="C29" s="117">
        <v>1.3006972139999997</v>
      </c>
      <c r="D29" s="117">
        <v>0.99384228599999991</v>
      </c>
      <c r="E29" s="117">
        <v>16.330736999999999</v>
      </c>
      <c r="F29" s="119">
        <v>7.96471839574662E-2</v>
      </c>
      <c r="G29" s="123">
        <v>0.39433388186940066</v>
      </c>
      <c r="H29" s="121">
        <v>0.25721290000000002</v>
      </c>
      <c r="I29" s="117">
        <v>11.320472826600144</v>
      </c>
      <c r="J29" s="117">
        <v>6.6092702266001435</v>
      </c>
      <c r="K29" s="117">
        <v>0.87932574351005766</v>
      </c>
      <c r="L29" s="117">
        <v>0.5090176666666667</v>
      </c>
      <c r="M29" s="117">
        <v>4.6001604964255529</v>
      </c>
      <c r="N29" s="195"/>
      <c r="O29" s="195"/>
      <c r="P29" s="195"/>
      <c r="Q29" s="195"/>
      <c r="R29" s="195"/>
    </row>
    <row r="30" spans="1:18" x14ac:dyDescent="0.2">
      <c r="A30" s="14" t="s">
        <v>55</v>
      </c>
      <c r="B30" s="63"/>
      <c r="C30" s="117">
        <v>3.012</v>
      </c>
      <c r="D30" s="117">
        <v>2.5630000000000002</v>
      </c>
      <c r="E30" s="117">
        <v>26.971</v>
      </c>
      <c r="F30" s="119">
        <v>0.111675503318379</v>
      </c>
      <c r="G30" s="123">
        <v>1.752</v>
      </c>
      <c r="H30" s="121">
        <v>1.3080000000000001</v>
      </c>
      <c r="I30" s="117">
        <v>32.131999999999998</v>
      </c>
      <c r="J30" s="117">
        <v>24.634</v>
      </c>
      <c r="K30" s="117">
        <v>3.6949999999999998</v>
      </c>
      <c r="L30" s="117">
        <v>2.589</v>
      </c>
      <c r="M30" s="117">
        <v>11.14</v>
      </c>
      <c r="N30" s="195"/>
      <c r="O30" s="195"/>
      <c r="P30" s="195"/>
      <c r="Q30" s="195"/>
      <c r="R30" s="195"/>
    </row>
    <row r="31" spans="1:18" x14ac:dyDescent="0.2">
      <c r="A31" s="14" t="s">
        <v>12</v>
      </c>
      <c r="B31" s="64"/>
      <c r="C31" s="144">
        <v>22.815999999999999</v>
      </c>
      <c r="D31" s="144">
        <v>22.614999999999998</v>
      </c>
      <c r="E31" s="144">
        <v>70.263000000000005</v>
      </c>
      <c r="F31" s="146">
        <v>0.32472282709249528</v>
      </c>
      <c r="G31" s="150">
        <v>6.4089999999999998</v>
      </c>
      <c r="H31" s="148">
        <v>6.109</v>
      </c>
      <c r="I31" s="144">
        <v>245.69499999999999</v>
      </c>
      <c r="J31" s="144">
        <v>241.75899999999999</v>
      </c>
      <c r="K31" s="144">
        <v>16.538</v>
      </c>
      <c r="L31" s="144">
        <v>15.875</v>
      </c>
      <c r="M31" s="144">
        <v>150.50299999999999</v>
      </c>
      <c r="N31" s="195"/>
      <c r="O31" s="195"/>
      <c r="P31" s="195"/>
      <c r="Q31" s="195"/>
      <c r="R31" s="195"/>
    </row>
    <row r="32" spans="1:18" x14ac:dyDescent="0.2">
      <c r="A32" s="220" t="s">
        <v>27</v>
      </c>
      <c r="B32" s="243"/>
      <c r="C32" s="221">
        <v>9.0920000000000005</v>
      </c>
      <c r="D32" s="222">
        <v>9.0229999999999997</v>
      </c>
      <c r="E32" s="222">
        <v>163.4</v>
      </c>
      <c r="F32" s="223">
        <v>5.5642594859241126E-2</v>
      </c>
      <c r="G32" s="224">
        <v>3.3149999999999999</v>
      </c>
      <c r="H32" s="221">
        <v>3.286</v>
      </c>
      <c r="I32" s="221">
        <v>90.603999999999999</v>
      </c>
      <c r="J32" s="225">
        <v>88.244</v>
      </c>
      <c r="K32" s="221">
        <v>7.8209999999999997</v>
      </c>
      <c r="L32" s="221">
        <v>7.6420000000000003</v>
      </c>
      <c r="M32" s="222">
        <v>75.286000000000001</v>
      </c>
      <c r="N32" s="195"/>
      <c r="O32" s="195"/>
      <c r="P32" s="195"/>
      <c r="Q32" s="195"/>
      <c r="R32" s="195"/>
    </row>
    <row r="33" spans="1:18" x14ac:dyDescent="0.2">
      <c r="A33" s="218" t="s">
        <v>29</v>
      </c>
      <c r="B33" s="95"/>
      <c r="C33" s="156">
        <v>22.306496463364315</v>
      </c>
      <c r="D33" s="152">
        <v>20.625895993883933</v>
      </c>
      <c r="E33" s="152">
        <v>330.74262099999999</v>
      </c>
      <c r="F33" s="154">
        <v>6.7443670839641548E-2</v>
      </c>
      <c r="G33" s="158">
        <v>4.7058612399873869</v>
      </c>
      <c r="H33" s="156">
        <v>4.3265688197489762</v>
      </c>
      <c r="I33" s="156">
        <v>135.98369907558802</v>
      </c>
      <c r="J33" s="219">
        <v>112.29432235163601</v>
      </c>
      <c r="K33" s="156">
        <v>7.7337067213044284</v>
      </c>
      <c r="L33" s="156">
        <v>6.6963075405286112</v>
      </c>
      <c r="M33" s="152">
        <v>79.86358229888198</v>
      </c>
      <c r="N33" s="195"/>
      <c r="O33" s="195"/>
      <c r="P33" s="195"/>
      <c r="Q33" s="195"/>
      <c r="R33" s="195"/>
    </row>
    <row r="34" spans="1:18" s="216" customFormat="1" ht="13.5" x14ac:dyDescent="0.2">
      <c r="A34" s="217" t="s">
        <v>143</v>
      </c>
      <c r="B34" s="217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</row>
    <row r="35" spans="1:18" s="216" customFormat="1" x14ac:dyDescent="0.2">
      <c r="A35" s="214" t="s">
        <v>141</v>
      </c>
      <c r="B35" s="214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</row>
    <row r="36" spans="1:18" s="216" customFormat="1" x14ac:dyDescent="0.2">
      <c r="A36" s="214" t="s">
        <v>140</v>
      </c>
      <c r="B36" s="214"/>
      <c r="N36" s="215"/>
      <c r="O36" s="215"/>
      <c r="P36" s="215"/>
      <c r="Q36" s="215"/>
      <c r="R36" s="215"/>
    </row>
    <row r="37" spans="1:18" s="182" customFormat="1" ht="12" x14ac:dyDescent="0.2">
      <c r="A37" s="25"/>
      <c r="B37" s="25"/>
      <c r="C37" s="183"/>
      <c r="E37" s="25"/>
      <c r="G37" s="30"/>
      <c r="H37" s="184"/>
      <c r="I37" s="185"/>
      <c r="J37" s="186"/>
      <c r="K37" s="7"/>
      <c r="M37" s="187"/>
    </row>
    <row r="39" spans="1:18" ht="52.5" customHeight="1" x14ac:dyDescent="0.2">
      <c r="A39" s="54">
        <v>2018</v>
      </c>
      <c r="B39" s="54"/>
      <c r="C39" s="85" t="s">
        <v>57</v>
      </c>
      <c r="D39" s="235" t="s">
        <v>117</v>
      </c>
      <c r="E39" s="12" t="s">
        <v>58</v>
      </c>
      <c r="F39" s="12" t="s">
        <v>59</v>
      </c>
      <c r="G39" s="12" t="s">
        <v>60</v>
      </c>
      <c r="H39" s="12" t="s">
        <v>61</v>
      </c>
      <c r="I39" s="12" t="s">
        <v>62</v>
      </c>
    </row>
    <row r="40" spans="1:18" ht="13.5" x14ac:dyDescent="0.2">
      <c r="A40" s="227" t="s">
        <v>148</v>
      </c>
      <c r="B40" s="227"/>
      <c r="C40" s="236">
        <f>SUM(C42:C68)</f>
        <v>4959.6556076215002</v>
      </c>
      <c r="D40" s="236">
        <v>4006.2472004188253</v>
      </c>
      <c r="E40" s="237"/>
      <c r="F40" s="238"/>
      <c r="G40" s="238"/>
      <c r="H40" s="238"/>
      <c r="I40" s="238"/>
    </row>
    <row r="41" spans="1:18" ht="13.5" x14ac:dyDescent="0.2">
      <c r="A41" s="230" t="s">
        <v>149</v>
      </c>
      <c r="B41" s="230"/>
      <c r="C41" s="239">
        <f>SUM(C42:C69)</f>
        <v>5229.1572045622997</v>
      </c>
      <c r="D41" s="239">
        <v>4237.7126849132765</v>
      </c>
      <c r="E41" s="240"/>
      <c r="F41" s="241"/>
      <c r="G41" s="241"/>
      <c r="H41" s="241"/>
      <c r="I41" s="241"/>
    </row>
    <row r="42" spans="1:18" ht="13.5" x14ac:dyDescent="0.2">
      <c r="A42" s="13" t="s">
        <v>144</v>
      </c>
      <c r="B42" s="242"/>
      <c r="C42" s="104">
        <v>154.74444</v>
      </c>
      <c r="D42" s="104">
        <v>129.90715</v>
      </c>
      <c r="E42" s="191">
        <v>1.3998719437027915E-2</v>
      </c>
      <c r="F42" s="192">
        <v>9.7057962147137564E-3</v>
      </c>
      <c r="G42" s="192">
        <v>0.66568789805953599</v>
      </c>
      <c r="H42" s="192">
        <v>0.18699232101650956</v>
      </c>
      <c r="I42" s="192">
        <v>0.12361526527221266</v>
      </c>
    </row>
    <row r="43" spans="1:18" x14ac:dyDescent="0.2">
      <c r="A43" s="14" t="s">
        <v>4</v>
      </c>
      <c r="B43" s="242"/>
      <c r="C43" s="104">
        <v>65.257999999999996</v>
      </c>
      <c r="D43" s="104">
        <v>55.451999999999998</v>
      </c>
      <c r="E43" s="191">
        <v>0.2788814963011213</v>
      </c>
      <c r="F43" s="192">
        <v>1.0561578188247336E-2</v>
      </c>
      <c r="G43" s="192">
        <v>0.38479194776593928</v>
      </c>
      <c r="H43" s="192">
        <v>0.18595201538485398</v>
      </c>
      <c r="I43" s="192">
        <v>0.13981296235983809</v>
      </c>
    </row>
    <row r="44" spans="1:18" x14ac:dyDescent="0.2">
      <c r="A44" s="14" t="s">
        <v>6</v>
      </c>
      <c r="B44" s="63"/>
      <c r="C44" s="82">
        <v>167.36441349192498</v>
      </c>
      <c r="D44" s="82">
        <v>134.540003324217</v>
      </c>
      <c r="E44" s="69">
        <v>0.60599267195243289</v>
      </c>
      <c r="F44" s="33">
        <v>8.521915788445562E-3</v>
      </c>
      <c r="G44" s="33">
        <v>0.12524134979611501</v>
      </c>
      <c r="H44" s="33">
        <v>0.23668834792525451</v>
      </c>
      <c r="I44" s="33">
        <v>2.3555714537752098E-2</v>
      </c>
    </row>
    <row r="45" spans="1:18" x14ac:dyDescent="0.2">
      <c r="A45" s="14" t="s">
        <v>8</v>
      </c>
      <c r="B45" s="63"/>
      <c r="C45" s="82">
        <v>152.48791164171698</v>
      </c>
      <c r="D45" s="82">
        <v>151.988547877759</v>
      </c>
      <c r="E45" s="205">
        <v>0.20699494475811281</v>
      </c>
      <c r="F45" s="33">
        <v>2.1923562194439857E-2</v>
      </c>
      <c r="G45" s="33">
        <v>0.13895180540474691</v>
      </c>
      <c r="H45" s="33">
        <v>0.53057433512346164</v>
      </c>
      <c r="I45" s="33">
        <v>0.10155535251923881</v>
      </c>
    </row>
    <row r="46" spans="1:18" x14ac:dyDescent="0.2">
      <c r="A46" s="14" t="s">
        <v>7</v>
      </c>
      <c r="B46" s="63"/>
      <c r="C46" s="82">
        <v>1402.1821</v>
      </c>
      <c r="D46" s="82">
        <v>877.37030000000004</v>
      </c>
      <c r="E46" s="69">
        <v>0.24171485370304166</v>
      </c>
      <c r="F46" s="33">
        <v>2.0456734991620391E-2</v>
      </c>
      <c r="G46" s="33">
        <v>0.4799573477050626</v>
      </c>
      <c r="H46" s="33">
        <v>0.14321797513189349</v>
      </c>
      <c r="I46" s="33">
        <v>0.11465308846838168</v>
      </c>
    </row>
    <row r="47" spans="1:18" ht="13.5" x14ac:dyDescent="0.2">
      <c r="A47" s="14" t="s">
        <v>119</v>
      </c>
      <c r="B47" s="63"/>
      <c r="C47" s="82">
        <v>21.421973000000001</v>
      </c>
      <c r="D47" s="82">
        <v>21.421973000000001</v>
      </c>
      <c r="E47" s="69">
        <v>0.21449938341346989</v>
      </c>
      <c r="F47" s="33">
        <v>0.13304096686145575</v>
      </c>
      <c r="G47" s="33">
        <v>4.537397185590702E-4</v>
      </c>
      <c r="H47" s="33">
        <v>0.64257479924935013</v>
      </c>
      <c r="I47" s="33">
        <v>9.4311107571650836E-3</v>
      </c>
    </row>
    <row r="48" spans="1:18" ht="13.5" x14ac:dyDescent="0.2">
      <c r="A48" s="14" t="s">
        <v>145</v>
      </c>
      <c r="B48" s="63"/>
      <c r="C48" s="82">
        <v>23.410676602191181</v>
      </c>
      <c r="D48" s="82">
        <v>21.469562922772614</v>
      </c>
      <c r="E48" s="69">
        <v>2.4989320803075608E-2</v>
      </c>
      <c r="F48" s="33">
        <v>0</v>
      </c>
      <c r="G48" s="33">
        <v>0.94083724903887234</v>
      </c>
      <c r="H48" s="33">
        <v>3.2293891499359247E-2</v>
      </c>
      <c r="I48" s="33">
        <v>1.8795386586928664E-3</v>
      </c>
    </row>
    <row r="49" spans="1:9" ht="13.5" x14ac:dyDescent="0.2">
      <c r="A49" s="14" t="s">
        <v>90</v>
      </c>
      <c r="B49" s="63"/>
      <c r="C49" s="82">
        <v>30.405510000000003</v>
      </c>
      <c r="D49" s="82">
        <v>26.778510000000001</v>
      </c>
      <c r="E49" s="205">
        <v>0.11928758965069161</v>
      </c>
      <c r="F49" s="33">
        <v>0.31255321815026293</v>
      </c>
      <c r="G49" s="33">
        <v>0.46437833142742879</v>
      </c>
      <c r="H49" s="33">
        <v>5.6239806535065516E-3</v>
      </c>
      <c r="I49" s="33">
        <v>9.8156880118110176E-2</v>
      </c>
    </row>
    <row r="50" spans="1:9" x14ac:dyDescent="0.2">
      <c r="A50" s="14" t="s">
        <v>11</v>
      </c>
      <c r="B50" s="63"/>
      <c r="C50" s="82">
        <v>313.56299999999999</v>
      </c>
      <c r="D50" s="82">
        <v>313.51400000000001</v>
      </c>
      <c r="E50" s="69">
        <v>2.2387072697889622E-2</v>
      </c>
      <c r="F50" s="33">
        <v>7.1589343621310489E-2</v>
      </c>
      <c r="G50" s="33">
        <v>0.81015088251607603</v>
      </c>
      <c r="H50" s="33">
        <v>8.8625486765249437E-2</v>
      </c>
      <c r="I50" s="33">
        <v>7.2486788223475804E-3</v>
      </c>
    </row>
    <row r="51" spans="1:9" x14ac:dyDescent="0.2">
      <c r="A51" s="14" t="s">
        <v>13</v>
      </c>
      <c r="B51" s="63"/>
      <c r="C51" s="82">
        <v>284.04053999999996</v>
      </c>
      <c r="D51" s="82">
        <v>181.48454999999998</v>
      </c>
      <c r="E51" s="69">
        <v>4.0843000101596111E-2</v>
      </c>
      <c r="F51" s="33">
        <v>4.4409376926265037E-2</v>
      </c>
      <c r="G51" s="33">
        <v>0.51246988478671962</v>
      </c>
      <c r="H51" s="33">
        <v>0.30080330309383901</v>
      </c>
      <c r="I51" s="33">
        <v>0.1014744350915804</v>
      </c>
    </row>
    <row r="52" spans="1:9" x14ac:dyDescent="0.2">
      <c r="A52" s="14" t="s">
        <v>14</v>
      </c>
      <c r="B52" s="63"/>
      <c r="C52" s="82">
        <v>43.110619187556203</v>
      </c>
      <c r="D52" s="82">
        <v>27.982713994294098</v>
      </c>
      <c r="E52" s="69">
        <v>1.5701677221483513E-2</v>
      </c>
      <c r="F52" s="33">
        <v>7.9388352612179219E-2</v>
      </c>
      <c r="G52" s="33">
        <v>0.74956259838622841</v>
      </c>
      <c r="H52" s="33">
        <v>0.15534179931072026</v>
      </c>
      <c r="I52" s="33">
        <v>5.572469388568437E-6</v>
      </c>
    </row>
    <row r="53" spans="1:9" x14ac:dyDescent="0.2">
      <c r="A53" s="14" t="s">
        <v>17</v>
      </c>
      <c r="B53" s="63"/>
      <c r="C53" s="82">
        <v>440.839</v>
      </c>
      <c r="D53" s="82">
        <v>384.43799999999999</v>
      </c>
      <c r="E53" s="69">
        <v>1.81086519114688E-2</v>
      </c>
      <c r="F53" s="33">
        <v>8.7467306658439894E-2</v>
      </c>
      <c r="G53" s="33">
        <v>0.65985314366469394</v>
      </c>
      <c r="H53" s="33">
        <v>0.16094991595571201</v>
      </c>
      <c r="I53" s="33">
        <v>7.3620981809685598E-2</v>
      </c>
    </row>
    <row r="54" spans="1:9" x14ac:dyDescent="0.2">
      <c r="A54" s="14" t="s">
        <v>5</v>
      </c>
      <c r="B54" s="63"/>
      <c r="C54" s="82">
        <v>0.32336594714520001</v>
      </c>
      <c r="D54" s="82">
        <v>8.9256576476811501E-3</v>
      </c>
      <c r="E54" s="69">
        <v>0</v>
      </c>
      <c r="F54" s="33">
        <v>7.9035981968897107E-2</v>
      </c>
      <c r="G54" s="33">
        <v>0</v>
      </c>
      <c r="H54" s="33">
        <v>0.92096401803110295</v>
      </c>
      <c r="I54" s="33">
        <v>0</v>
      </c>
    </row>
    <row r="55" spans="1:9" x14ac:dyDescent="0.2">
      <c r="A55" s="14" t="s">
        <v>20</v>
      </c>
      <c r="B55" s="63"/>
      <c r="C55" s="82">
        <v>31.864000000000001</v>
      </c>
      <c r="D55" s="82">
        <v>31.446999999999999</v>
      </c>
      <c r="E55" s="69">
        <v>5.0527240773286467E-3</v>
      </c>
      <c r="F55" s="33">
        <v>0</v>
      </c>
      <c r="G55" s="33">
        <v>0.55755711775043937</v>
      </c>
      <c r="H55" s="33">
        <v>0.43729600803414514</v>
      </c>
      <c r="I55" s="33">
        <v>9.4150138086869194E-5</v>
      </c>
    </row>
    <row r="56" spans="1:9" x14ac:dyDescent="0.2">
      <c r="A56" s="14" t="s">
        <v>18</v>
      </c>
      <c r="B56" s="63"/>
      <c r="C56" s="82">
        <v>17.062999999999999</v>
      </c>
      <c r="D56" s="82">
        <v>15.523999999999999</v>
      </c>
      <c r="E56" s="69">
        <v>0</v>
      </c>
      <c r="F56" s="33">
        <v>0.14919729746482366</v>
      </c>
      <c r="G56" s="33">
        <v>0.21428128680344635</v>
      </c>
      <c r="H56" s="33">
        <v>0.52030000619847516</v>
      </c>
      <c r="I56" s="33">
        <v>0.11622140953325483</v>
      </c>
    </row>
    <row r="57" spans="1:9" x14ac:dyDescent="0.2">
      <c r="A57" s="14" t="s">
        <v>19</v>
      </c>
      <c r="B57" s="63"/>
      <c r="C57" s="82">
        <v>4.7279999999999998</v>
      </c>
      <c r="D57" s="82">
        <v>4.7279999999999998</v>
      </c>
      <c r="E57" s="69">
        <v>0</v>
      </c>
      <c r="F57" s="33">
        <v>0</v>
      </c>
      <c r="G57" s="33">
        <v>0.47877041306436119</v>
      </c>
      <c r="H57" s="33">
        <v>0.52046109510086458</v>
      </c>
      <c r="I57" s="33">
        <v>7.6849183477425563E-4</v>
      </c>
    </row>
    <row r="58" spans="1:9" ht="13.5" x14ac:dyDescent="0.2">
      <c r="A58" s="14" t="s">
        <v>120</v>
      </c>
      <c r="B58" s="63"/>
      <c r="C58" s="82">
        <v>53.597999999999999</v>
      </c>
      <c r="D58" s="82">
        <v>44.378999999999998</v>
      </c>
      <c r="E58" s="69">
        <v>8.4428247808529505E-2</v>
      </c>
      <c r="F58" s="33">
        <v>1.7728750123116319E-4</v>
      </c>
      <c r="G58" s="33">
        <v>0.69912341179946802</v>
      </c>
      <c r="H58" s="33">
        <v>0.14462720378213334</v>
      </c>
      <c r="I58" s="33">
        <v>7.1643849108637844E-2</v>
      </c>
    </row>
    <row r="59" spans="1:9" x14ac:dyDescent="0.2">
      <c r="A59" s="14" t="s">
        <v>21</v>
      </c>
      <c r="B59" s="63"/>
      <c r="C59" s="82">
        <v>1.45777</v>
      </c>
      <c r="D59" s="82">
        <v>7.3529999999999998E-2</v>
      </c>
      <c r="E59" s="69">
        <v>0</v>
      </c>
      <c r="F59" s="33">
        <v>0</v>
      </c>
      <c r="G59" s="33">
        <v>0.93847451930002679</v>
      </c>
      <c r="H59" s="33">
        <v>5.1818874033626706E-2</v>
      </c>
      <c r="I59" s="33">
        <v>9.7066066663465435E-3</v>
      </c>
    </row>
    <row r="60" spans="1:9" x14ac:dyDescent="0.2">
      <c r="A60" s="14" t="s">
        <v>22</v>
      </c>
      <c r="B60" s="63"/>
      <c r="C60" s="82">
        <v>340.036</v>
      </c>
      <c r="D60" s="82">
        <v>324.50900000000001</v>
      </c>
      <c r="E60" s="69">
        <v>2.8785139144692246E-2</v>
      </c>
      <c r="F60" s="33">
        <v>3.9725007832875303E-2</v>
      </c>
      <c r="G60" s="33">
        <v>0.80565201731277425</v>
      </c>
      <c r="H60" s="33">
        <v>8.792439005180791E-2</v>
      </c>
      <c r="I60" s="33">
        <v>3.7913445657850417E-2</v>
      </c>
    </row>
    <row r="61" spans="1:9" x14ac:dyDescent="0.2">
      <c r="A61" s="14" t="s">
        <v>2</v>
      </c>
      <c r="B61" s="63"/>
      <c r="C61" s="82">
        <v>171.93801782587602</v>
      </c>
      <c r="D61" s="82">
        <v>171.93801782587602</v>
      </c>
      <c r="E61" s="69">
        <v>7.653097707646532E-2</v>
      </c>
      <c r="F61" s="33">
        <v>7.4248558257502165E-2</v>
      </c>
      <c r="G61" s="33">
        <v>0.38670786570932281</v>
      </c>
      <c r="H61" s="33">
        <v>0.41081765962677436</v>
      </c>
      <c r="I61" s="33">
        <v>5.1694939329935331E-2</v>
      </c>
    </row>
    <row r="62" spans="1:9" x14ac:dyDescent="0.2">
      <c r="A62" s="14" t="s">
        <v>24</v>
      </c>
      <c r="B62" s="63"/>
      <c r="C62" s="82">
        <v>436.75200000000001</v>
      </c>
      <c r="D62" s="82">
        <v>386.21499999999997</v>
      </c>
      <c r="E62" s="69">
        <v>0.66400000000000003</v>
      </c>
      <c r="F62" s="33">
        <v>7.0000000000000007E-2</v>
      </c>
      <c r="G62" s="33">
        <v>0.123</v>
      </c>
      <c r="H62" s="33">
        <v>0.129</v>
      </c>
      <c r="I62" s="33">
        <v>1.4E-2</v>
      </c>
    </row>
    <row r="63" spans="1:9" ht="13.5" x14ac:dyDescent="0.2">
      <c r="A63" s="14" t="s">
        <v>146</v>
      </c>
      <c r="B63" s="63"/>
      <c r="C63" s="82">
        <v>107.34099999999999</v>
      </c>
      <c r="D63" s="82">
        <v>72.39</v>
      </c>
      <c r="E63" s="69">
        <v>0</v>
      </c>
      <c r="F63" s="33">
        <v>7.0594196222938735E-2</v>
      </c>
      <c r="G63" s="33">
        <v>0.46129894058037768</v>
      </c>
      <c r="H63" s="33">
        <v>0.46299401197604789</v>
      </c>
      <c r="I63" s="33">
        <v>5.1128512206356511E-3</v>
      </c>
    </row>
    <row r="64" spans="1:9" x14ac:dyDescent="0.2">
      <c r="A64" s="14" t="s">
        <v>26</v>
      </c>
      <c r="B64" s="63"/>
      <c r="C64" s="82">
        <v>77.38061734950017</v>
      </c>
      <c r="D64" s="82">
        <v>39.68261734950017</v>
      </c>
      <c r="E64" s="69">
        <v>0.23464416329589952</v>
      </c>
      <c r="F64" s="33">
        <v>3.0498442770189062E-2</v>
      </c>
      <c r="G64" s="33">
        <v>0.67560512270453987</v>
      </c>
      <c r="H64" s="33">
        <v>5.6615965159406055E-2</v>
      </c>
      <c r="I64" s="33">
        <v>2.6363060699654954E-3</v>
      </c>
    </row>
    <row r="65" spans="1:13" ht="13.5" x14ac:dyDescent="0.2">
      <c r="A65" s="14" t="s">
        <v>147</v>
      </c>
      <c r="B65" s="63"/>
      <c r="C65" s="82">
        <v>20.279652575588322</v>
      </c>
      <c r="D65" s="82">
        <v>12.620798466758998</v>
      </c>
      <c r="E65" s="69">
        <v>0.4814074468634143</v>
      </c>
      <c r="F65" s="33">
        <v>3.1173020486602704E-3</v>
      </c>
      <c r="G65" s="33">
        <v>0.29696440527040385</v>
      </c>
      <c r="H65" s="33">
        <v>0.19530743499743519</v>
      </c>
      <c r="I65" s="33">
        <v>2.3203410820086444E-2</v>
      </c>
    </row>
    <row r="66" spans="1:13" x14ac:dyDescent="0.2">
      <c r="A66" s="14" t="s">
        <v>55</v>
      </c>
      <c r="B66" s="63"/>
      <c r="C66" s="82">
        <v>54.192</v>
      </c>
      <c r="D66" s="82">
        <v>42.366</v>
      </c>
      <c r="E66" s="69">
        <v>0.21266215141494235</v>
      </c>
      <c r="F66" s="33">
        <v>0.14065049169982935</v>
      </c>
      <c r="G66" s="33">
        <v>0.2759906683349635</v>
      </c>
      <c r="H66" s="33">
        <v>0.31201850272513093</v>
      </c>
      <c r="I66" s="33">
        <v>5.8678185825133983E-2</v>
      </c>
    </row>
    <row r="67" spans="1:13" x14ac:dyDescent="0.2">
      <c r="A67" s="213" t="s">
        <v>12</v>
      </c>
      <c r="B67" s="64"/>
      <c r="C67" s="144">
        <v>400.33600000000001</v>
      </c>
      <c r="D67" s="144">
        <v>393.85500000000002</v>
      </c>
      <c r="E67" s="145">
        <v>0.22950471603852765</v>
      </c>
      <c r="F67" s="147">
        <v>5.2106230766156428E-3</v>
      </c>
      <c r="G67" s="147">
        <v>9.7565544942248505E-2</v>
      </c>
      <c r="H67" s="147">
        <v>0.62931637424563369</v>
      </c>
      <c r="I67" s="147">
        <v>3.8405239598737061E-2</v>
      </c>
    </row>
    <row r="68" spans="1:13" x14ac:dyDescent="0.2">
      <c r="A68" s="15" t="s">
        <v>27</v>
      </c>
      <c r="B68" s="32"/>
      <c r="C68" s="83">
        <v>143.53800000000001</v>
      </c>
      <c r="D68" s="83">
        <v>140.16300000000001</v>
      </c>
      <c r="E68" s="70">
        <v>0.10318521924507795</v>
      </c>
      <c r="F68" s="65">
        <v>5.0578940768298284E-3</v>
      </c>
      <c r="G68" s="65">
        <v>4.3465841797990776E-2</v>
      </c>
      <c r="H68" s="65">
        <v>0.58353885382268111</v>
      </c>
      <c r="I68" s="65">
        <v>0.26475219105742037</v>
      </c>
    </row>
    <row r="69" spans="1:13" x14ac:dyDescent="0.2">
      <c r="A69" s="218" t="s">
        <v>29</v>
      </c>
      <c r="B69" s="95"/>
      <c r="C69" s="96">
        <v>269.50159694079986</v>
      </c>
      <c r="D69" s="96">
        <v>231.4654844944512</v>
      </c>
      <c r="E69" s="97">
        <v>2.1777477887434119E-2</v>
      </c>
      <c r="F69" s="99">
        <v>0.11186164341732641</v>
      </c>
      <c r="G69" s="99">
        <v>0.73072869336895996</v>
      </c>
      <c r="H69" s="99">
        <v>9.7677659652941659E-2</v>
      </c>
      <c r="I69" s="99">
        <v>3.7954525673337805E-2</v>
      </c>
    </row>
    <row r="70" spans="1:13" x14ac:dyDescent="0.2">
      <c r="A70" s="214" t="s">
        <v>141</v>
      </c>
      <c r="B70" s="214"/>
      <c r="C70" s="178"/>
      <c r="D70" s="178"/>
      <c r="E70" s="36"/>
      <c r="F70" s="36"/>
      <c r="G70" s="36"/>
      <c r="H70" s="36"/>
      <c r="I70" s="36"/>
    </row>
    <row r="71" spans="1:13" x14ac:dyDescent="0.2">
      <c r="A71" s="214" t="s">
        <v>140</v>
      </c>
      <c r="B71" s="214"/>
    </row>
    <row r="72" spans="1:13" x14ac:dyDescent="0.2">
      <c r="A72" s="182"/>
      <c r="B72" s="182"/>
    </row>
    <row r="73" spans="1:13" s="182" customFormat="1" ht="12" x14ac:dyDescent="0.2">
      <c r="A73" s="25"/>
      <c r="B73" s="25"/>
      <c r="C73" s="183"/>
      <c r="E73" s="25"/>
      <c r="G73" s="30"/>
      <c r="H73" s="184"/>
      <c r="I73" s="185"/>
      <c r="J73" s="186"/>
      <c r="K73" s="7"/>
      <c r="M73" s="187"/>
    </row>
  </sheetData>
  <pageMargins left="0.25" right="0.25" top="0.75" bottom="0.75" header="0.3" footer="0.3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/>
  </sheetViews>
  <sheetFormatPr defaultColWidth="9.140625" defaultRowHeight="12.75" x14ac:dyDescent="0.2"/>
  <cols>
    <col min="1" max="1" width="24" style="53" customWidth="1"/>
    <col min="2" max="12" width="10.7109375" style="53" customWidth="1"/>
    <col min="13" max="16384" width="9.140625" style="53"/>
  </cols>
  <sheetData>
    <row r="1" spans="1:17" ht="15.75" x14ac:dyDescent="0.25">
      <c r="A1" s="52" t="s">
        <v>127</v>
      </c>
      <c r="B1" s="35"/>
      <c r="C1" s="36"/>
      <c r="D1" s="36"/>
      <c r="E1" s="36"/>
      <c r="F1" s="37"/>
      <c r="G1" s="37"/>
      <c r="H1" s="36"/>
      <c r="I1" s="36"/>
    </row>
    <row r="2" spans="1:17" x14ac:dyDescent="0.2">
      <c r="A2" s="38"/>
      <c r="B2" s="35"/>
      <c r="C2" s="36"/>
      <c r="D2" s="36"/>
      <c r="E2" s="36"/>
      <c r="F2" s="37"/>
      <c r="G2" s="37"/>
      <c r="H2" s="36"/>
      <c r="I2" s="36"/>
    </row>
    <row r="3" spans="1:17" ht="60" x14ac:dyDescent="0.2">
      <c r="A3" s="56"/>
      <c r="B3" s="103" t="s">
        <v>43</v>
      </c>
      <c r="C3" s="57" t="s">
        <v>128</v>
      </c>
      <c r="D3" s="189" t="s">
        <v>129</v>
      </c>
      <c r="E3" s="202" t="s">
        <v>112</v>
      </c>
      <c r="F3" s="58" t="s">
        <v>113</v>
      </c>
      <c r="G3" s="58" t="s">
        <v>128</v>
      </c>
      <c r="H3" s="189" t="s">
        <v>114</v>
      </c>
      <c r="I3" s="57" t="s">
        <v>128</v>
      </c>
      <c r="J3" s="103" t="s">
        <v>115</v>
      </c>
      <c r="K3" s="58" t="s">
        <v>128</v>
      </c>
      <c r="L3" s="103" t="s">
        <v>116</v>
      </c>
      <c r="M3" s="195"/>
      <c r="N3" s="195"/>
      <c r="O3" s="195"/>
      <c r="P3" s="195"/>
      <c r="Q3" s="195"/>
    </row>
    <row r="4" spans="1:17" ht="13.5" x14ac:dyDescent="0.2">
      <c r="A4" s="198" t="s">
        <v>130</v>
      </c>
      <c r="B4" s="199">
        <f>SUM(B5:B32)</f>
        <v>371.71460216578009</v>
      </c>
      <c r="C4" s="200">
        <f>SUM(C5:C32)</f>
        <v>325.73643232154291</v>
      </c>
      <c r="D4" s="201">
        <f>SUM(D5:D32)</f>
        <v>3299.1929489999993</v>
      </c>
      <c r="E4" s="210">
        <f t="shared" ref="E4:E10" si="0">+B4/D4</f>
        <v>0.11266834280742766</v>
      </c>
      <c r="F4" s="200">
        <f t="shared" ref="F4:L4" si="1">SUM(F5:F32)</f>
        <v>121.9858778616149</v>
      </c>
      <c r="G4" s="200">
        <f t="shared" si="1"/>
        <v>102.86764398786288</v>
      </c>
      <c r="H4" s="200">
        <f t="shared" si="1"/>
        <v>2881.1719353368944</v>
      </c>
      <c r="I4" s="200">
        <f t="shared" si="1"/>
        <v>2418.115573519588</v>
      </c>
      <c r="J4" s="200">
        <f t="shared" si="1"/>
        <v>285.78230386703916</v>
      </c>
      <c r="K4" s="200">
        <f t="shared" si="1"/>
        <v>227.09074867644415</v>
      </c>
      <c r="L4" s="201">
        <f t="shared" si="1"/>
        <v>1349.9463832991912</v>
      </c>
      <c r="M4" s="195"/>
      <c r="N4" s="195"/>
      <c r="O4" s="195"/>
      <c r="P4" s="195"/>
      <c r="Q4" s="195"/>
    </row>
    <row r="5" spans="1:17" ht="13.5" x14ac:dyDescent="0.2">
      <c r="A5" s="13" t="s">
        <v>131</v>
      </c>
      <c r="B5" s="193">
        <f>12490.3916580229/1000</f>
        <v>12.490391658022899</v>
      </c>
      <c r="C5" s="193">
        <f>11953.1199780229/1000</f>
        <v>11.953119978022899</v>
      </c>
      <c r="D5" s="193">
        <v>86.607900000000001</v>
      </c>
      <c r="E5" s="211">
        <f t="shared" si="0"/>
        <v>0.14421769443691509</v>
      </c>
      <c r="F5" s="209">
        <f>2322.40769996366/1000</f>
        <v>2.32240769996366</v>
      </c>
      <c r="G5" s="194">
        <f>2101.79669996367/1000</f>
        <v>2.1017966999636699</v>
      </c>
      <c r="H5" s="193">
        <f>108662.248299403/1000</f>
        <v>108.662248299403</v>
      </c>
      <c r="I5" s="193">
        <f>103191.992699403/1000</f>
        <v>103.191992699403</v>
      </c>
      <c r="J5" s="193">
        <f>5111.12318/1000</f>
        <v>5.1111231799999999</v>
      </c>
      <c r="K5" s="193">
        <f>4601.09728/1000</f>
        <v>4.6010972800000003</v>
      </c>
      <c r="L5" s="193">
        <f>50160.6963101095/1000</f>
        <v>50.1606963101095</v>
      </c>
      <c r="M5" s="195"/>
      <c r="N5" s="195"/>
      <c r="O5" s="195"/>
      <c r="P5" s="195"/>
      <c r="Q5" s="195"/>
    </row>
    <row r="6" spans="1:17" x14ac:dyDescent="0.2">
      <c r="A6" s="14" t="s">
        <v>4</v>
      </c>
      <c r="B6" s="117">
        <v>3.5270000000000001</v>
      </c>
      <c r="C6" s="117">
        <v>3.1589999999999998</v>
      </c>
      <c r="D6" s="117">
        <v>45.612786</v>
      </c>
      <c r="E6" s="119">
        <f t="shared" si="0"/>
        <v>7.7324809758386612E-2</v>
      </c>
      <c r="F6" s="123">
        <v>1.234</v>
      </c>
      <c r="G6" s="121">
        <v>1.046</v>
      </c>
      <c r="H6" s="117">
        <f>40140/1000</f>
        <v>40.14</v>
      </c>
      <c r="I6" s="117">
        <f>34785/1000</f>
        <v>34.784999999999997</v>
      </c>
      <c r="J6" s="117">
        <v>4.5759999999999996</v>
      </c>
      <c r="K6" s="117">
        <v>3.996</v>
      </c>
      <c r="L6" s="117">
        <v>13.036</v>
      </c>
      <c r="M6" s="195"/>
      <c r="N6" s="195"/>
      <c r="O6" s="195"/>
      <c r="P6" s="195"/>
      <c r="Q6" s="195"/>
    </row>
    <row r="7" spans="1:17" x14ac:dyDescent="0.2">
      <c r="A7" s="14" t="s">
        <v>132</v>
      </c>
      <c r="B7" s="117">
        <f>7989.15351454139/1000</f>
        <v>7.9891535145413899</v>
      </c>
      <c r="C7" s="117">
        <f>7124.23225599746/1000</f>
        <v>7.1242322559974598</v>
      </c>
      <c r="D7" s="117">
        <v>87.050263999999999</v>
      </c>
      <c r="E7" s="119">
        <f t="shared" si="0"/>
        <v>9.1776327232521548E-2</v>
      </c>
      <c r="F7" s="123">
        <f>8030.688/1000</f>
        <v>8.0306879999999996</v>
      </c>
      <c r="G7" s="121">
        <f>6550.101/1000</f>
        <v>6.5501009999999997</v>
      </c>
      <c r="H7" s="117">
        <f>103517.401785632/1000</f>
        <v>103.517401785632</v>
      </c>
      <c r="I7" s="117">
        <f>85551.6768633987/1000</f>
        <v>85.551676863398697</v>
      </c>
      <c r="J7" s="117">
        <f>22073.4835/1000</f>
        <v>22.073483499999998</v>
      </c>
      <c r="K7" s="117">
        <f>16166.3205/1000</f>
        <v>16.166320500000001</v>
      </c>
      <c r="L7" s="117">
        <f>36508.2729213234/1000</f>
        <v>36.508272921323396</v>
      </c>
      <c r="M7" s="195"/>
      <c r="N7" s="195"/>
      <c r="O7" s="195"/>
      <c r="P7" s="195"/>
      <c r="Q7" s="195"/>
    </row>
    <row r="8" spans="1:17" x14ac:dyDescent="0.2">
      <c r="A8" s="14" t="s">
        <v>8</v>
      </c>
      <c r="B8" s="117">
        <f>11815.229629737/1000</f>
        <v>11.815229629736999</v>
      </c>
      <c r="C8" s="117">
        <f>11809.3938177131/1000</f>
        <v>11.809393817713101</v>
      </c>
      <c r="D8" s="117">
        <v>31.039306</v>
      </c>
      <c r="E8" s="119">
        <f t="shared" si="0"/>
        <v>0.38065379521491233</v>
      </c>
      <c r="F8" s="123">
        <f>5846.87916019732/1000</f>
        <v>5.8468791601973198</v>
      </c>
      <c r="G8" s="121">
        <f>5812.92442163807/1000</f>
        <v>5.81292442163807</v>
      </c>
      <c r="H8" s="117">
        <f>94419.4311778/1000</f>
        <v>94.419431177799993</v>
      </c>
      <c r="I8" s="117">
        <f>93991.2193078/1000</f>
        <v>93.991219307799994</v>
      </c>
      <c r="J8" s="117">
        <f>8810.596/1000</f>
        <v>8.8105960000000003</v>
      </c>
      <c r="K8" s="117">
        <f>8685.576/1000</f>
        <v>8.6855759999999993</v>
      </c>
      <c r="L8" s="117">
        <f>80155.1385751814/1000</f>
        <v>80.155138575181397</v>
      </c>
      <c r="M8" s="195"/>
      <c r="N8" s="195"/>
      <c r="O8" s="195"/>
      <c r="P8" s="195"/>
      <c r="Q8" s="195"/>
    </row>
    <row r="9" spans="1:17" x14ac:dyDescent="0.2">
      <c r="A9" s="14" t="s">
        <v>7</v>
      </c>
      <c r="B9" s="117">
        <f>94356.7/1000</f>
        <v>94.356700000000004</v>
      </c>
      <c r="C9" s="117">
        <f>68695.8/1000</f>
        <v>68.695800000000006</v>
      </c>
      <c r="D9" s="117">
        <v>653.73699999999997</v>
      </c>
      <c r="E9" s="119">
        <f t="shared" si="0"/>
        <v>0.14433434240374954</v>
      </c>
      <c r="F9" s="123">
        <f>39630.2/1000</f>
        <v>39.630199999999995</v>
      </c>
      <c r="G9" s="121">
        <f>29681.2/1000</f>
        <v>29.6812</v>
      </c>
      <c r="H9" s="117">
        <f>703155.3/1000</f>
        <v>703.15530000000001</v>
      </c>
      <c r="I9" s="117">
        <f>468922.1/1000</f>
        <v>468.9221</v>
      </c>
      <c r="J9" s="117">
        <f>101342.3/1000</f>
        <v>101.34230000000001</v>
      </c>
      <c r="K9" s="117">
        <f>70804.8/1000</f>
        <v>70.8048</v>
      </c>
      <c r="L9" s="117">
        <f>246654.3/1000</f>
        <v>246.65429999999998</v>
      </c>
      <c r="M9" s="195"/>
      <c r="N9" s="195"/>
      <c r="O9" s="195"/>
      <c r="P9" s="195"/>
      <c r="Q9" s="195"/>
    </row>
    <row r="10" spans="1:17" x14ac:dyDescent="0.2">
      <c r="A10" s="14" t="s">
        <v>9</v>
      </c>
      <c r="B10" s="117">
        <v>1.089</v>
      </c>
      <c r="C10" s="117">
        <f>+B10</f>
        <v>1.089</v>
      </c>
      <c r="D10" s="117">
        <v>12.903</v>
      </c>
      <c r="E10" s="119">
        <f t="shared" si="0"/>
        <v>8.4398976982097182E-2</v>
      </c>
      <c r="F10" s="123">
        <f>2.24/1000</f>
        <v>2.2400000000000002E-3</v>
      </c>
      <c r="G10" s="121">
        <f>+F10</f>
        <v>2.2400000000000002E-3</v>
      </c>
      <c r="H10" s="117">
        <v>13.6</v>
      </c>
      <c r="I10" s="117">
        <f>+H10</f>
        <v>13.6</v>
      </c>
      <c r="J10" s="117">
        <v>0.52</v>
      </c>
      <c r="K10" s="117">
        <f>+J10</f>
        <v>0.52</v>
      </c>
      <c r="L10" s="117">
        <v>8.18</v>
      </c>
      <c r="M10" s="195"/>
      <c r="N10" s="195"/>
      <c r="O10" s="195"/>
      <c r="P10" s="195"/>
      <c r="Q10" s="195"/>
    </row>
    <row r="11" spans="1:17" ht="13.5" x14ac:dyDescent="0.2">
      <c r="A11" s="14" t="s">
        <v>133</v>
      </c>
      <c r="B11" s="117">
        <f>2157.32076958708/1000</f>
        <v>2.1573207695870802</v>
      </c>
      <c r="C11" s="117">
        <f>2070.33423875321/1000</f>
        <v>2.07033423875321</v>
      </c>
      <c r="D11" s="117">
        <v>30.870412000000002</v>
      </c>
      <c r="E11" s="119">
        <f>+B11/D11</f>
        <v>6.9883122051855998E-2</v>
      </c>
      <c r="F11" s="123">
        <f>315.357/1000</f>
        <v>0.31535700000000005</v>
      </c>
      <c r="G11" s="121">
        <f>293.111/1000</f>
        <v>0.29311100000000001</v>
      </c>
      <c r="H11" s="117">
        <f>11780.3056100971/1000</f>
        <v>11.7803056100971</v>
      </c>
      <c r="I11" s="117">
        <f>11226.0690784863/1000</f>
        <v>11.226069078486301</v>
      </c>
      <c r="J11" s="117">
        <f>623.1576/1000</f>
        <v>0.62315759999999998</v>
      </c>
      <c r="K11" s="117">
        <f>568.7076/1000</f>
        <v>0.56870759999999998</v>
      </c>
      <c r="L11" s="117">
        <v>7.2839999999999998</v>
      </c>
      <c r="M11" s="195"/>
      <c r="N11" s="195"/>
      <c r="O11" s="195"/>
      <c r="P11" s="195"/>
      <c r="Q11" s="195"/>
    </row>
    <row r="12" spans="1:17" x14ac:dyDescent="0.2">
      <c r="A12" s="14" t="s">
        <v>10</v>
      </c>
      <c r="B12" s="117">
        <v>2.1539999999999999</v>
      </c>
      <c r="C12" s="117">
        <v>1.9370000000000001</v>
      </c>
      <c r="D12" s="117">
        <v>55.266089000000001</v>
      </c>
      <c r="E12" s="119">
        <f>+B12/D12</f>
        <v>3.8975075656249164E-2</v>
      </c>
      <c r="F12" s="123">
        <v>0.33200000000000002</v>
      </c>
      <c r="G12" s="121">
        <v>0.28999999999999998</v>
      </c>
      <c r="H12" s="117">
        <v>14.606999999999999</v>
      </c>
      <c r="I12" s="117">
        <v>12.47</v>
      </c>
      <c r="J12" s="117">
        <v>0.94</v>
      </c>
      <c r="K12" s="117">
        <v>0.56299999999999994</v>
      </c>
      <c r="L12" s="117">
        <v>4.5890000000000004</v>
      </c>
      <c r="M12" s="195"/>
      <c r="N12" s="195"/>
      <c r="O12" s="195"/>
      <c r="P12" s="195"/>
      <c r="Q12" s="195"/>
    </row>
    <row r="13" spans="1:17" x14ac:dyDescent="0.2">
      <c r="A13" s="14" t="s">
        <v>11</v>
      </c>
      <c r="B13" s="117">
        <v>28.765999999999998</v>
      </c>
      <c r="C13" s="117">
        <v>28.760999999999999</v>
      </c>
      <c r="D13" s="117">
        <v>275.726</v>
      </c>
      <c r="E13" s="119">
        <f t="shared" ref="E13:E32" si="2">+B13/D13</f>
        <v>0.104328209889528</v>
      </c>
      <c r="F13" s="123">
        <v>4.6180000000000003</v>
      </c>
      <c r="G13" s="121">
        <v>4.6159999999999997</v>
      </c>
      <c r="H13" s="117">
        <f>139195/1000</f>
        <v>139.19499999999999</v>
      </c>
      <c r="I13" s="117">
        <f>139177/1000</f>
        <v>139.17699999999999</v>
      </c>
      <c r="J13" s="117">
        <v>9.8089999999999993</v>
      </c>
      <c r="K13" s="117">
        <v>9.8070000000000004</v>
      </c>
      <c r="L13" s="117">
        <f>83734/1000</f>
        <v>83.733999999999995</v>
      </c>
      <c r="M13" s="195"/>
      <c r="N13" s="195"/>
      <c r="O13" s="195"/>
      <c r="P13" s="195"/>
      <c r="Q13" s="195"/>
    </row>
    <row r="14" spans="1:17" x14ac:dyDescent="0.2">
      <c r="A14" s="14" t="s">
        <v>13</v>
      </c>
      <c r="B14" s="117">
        <f>16641.09/1000</f>
        <v>16.641089999999998</v>
      </c>
      <c r="C14" s="117">
        <f>10420.84/1000</f>
        <v>10.42084</v>
      </c>
      <c r="D14" s="117">
        <v>562.14320999999995</v>
      </c>
      <c r="E14" s="119">
        <f t="shared" si="2"/>
        <v>2.9602936945551651E-2</v>
      </c>
      <c r="F14" s="123">
        <f>6280.31/1000</f>
        <v>6.2803100000000001</v>
      </c>
      <c r="G14" s="121">
        <f>3393.18/1000</f>
        <v>3.3931799999999996</v>
      </c>
      <c r="H14" s="117">
        <f>177585.24/1000</f>
        <v>177.58524</v>
      </c>
      <c r="I14" s="117">
        <f>121455.67/1000</f>
        <v>121.45567</v>
      </c>
      <c r="J14" s="117">
        <f>15302.36/1000</f>
        <v>15.30236</v>
      </c>
      <c r="K14" s="117">
        <f>8639.11/1000</f>
        <v>8.6391100000000005</v>
      </c>
      <c r="L14" s="117">
        <f>61717.34/1000</f>
        <v>61.717339999999993</v>
      </c>
      <c r="M14" s="195"/>
      <c r="N14" s="195"/>
      <c r="O14" s="195"/>
      <c r="P14" s="195"/>
      <c r="Q14" s="195"/>
    </row>
    <row r="15" spans="1:17" x14ac:dyDescent="0.2">
      <c r="A15" s="14" t="s">
        <v>14</v>
      </c>
      <c r="B15" s="117">
        <f>2002.11936344777/1000</f>
        <v>2.0021193634477701</v>
      </c>
      <c r="C15" s="117">
        <f>1572.31766076449/1000</f>
        <v>1.57231766076449</v>
      </c>
      <c r="D15" s="117">
        <v>11.983499999999999</v>
      </c>
      <c r="E15" s="119">
        <f t="shared" si="2"/>
        <v>0.16707300567011057</v>
      </c>
      <c r="F15" s="123">
        <f>843.75685125972/1000</f>
        <v>0.84375685125972</v>
      </c>
      <c r="G15" s="121">
        <f>643.393516934673/1000</f>
        <v>0.64339351693467306</v>
      </c>
      <c r="H15" s="117">
        <f>18805.4502871347/1000</f>
        <v>18.8054502871347</v>
      </c>
      <c r="I15" s="117">
        <f>7766.37752261/1000</f>
        <v>7.76637752261</v>
      </c>
      <c r="J15" s="117">
        <f>2162.95/1000</f>
        <v>2.1629499999999999</v>
      </c>
      <c r="K15" s="117">
        <f>1305.75/1000</f>
        <v>1.30575</v>
      </c>
      <c r="L15" s="117">
        <f>5667.88665863526/1000</f>
        <v>5.6678866586352594</v>
      </c>
      <c r="M15" s="195"/>
      <c r="N15" s="195"/>
      <c r="O15" s="195"/>
      <c r="P15" s="195"/>
      <c r="Q15" s="195"/>
    </row>
    <row r="16" spans="1:17" x14ac:dyDescent="0.2">
      <c r="A16" s="14" t="s">
        <v>17</v>
      </c>
      <c r="B16" s="117">
        <f>40957/1000</f>
        <v>40.957000000000001</v>
      </c>
      <c r="C16" s="117">
        <f>37567/1000</f>
        <v>37.567</v>
      </c>
      <c r="D16" s="117">
        <v>295.83001100000001</v>
      </c>
      <c r="E16" s="119">
        <f t="shared" si="2"/>
        <v>0.13844775200985271</v>
      </c>
      <c r="F16" s="123">
        <v>8.4309999999999992</v>
      </c>
      <c r="G16" s="121">
        <v>7.76</v>
      </c>
      <c r="H16" s="117">
        <f>219887/1000</f>
        <v>219.887</v>
      </c>
      <c r="I16" s="117">
        <f>189467/1000</f>
        <v>189.46700000000001</v>
      </c>
      <c r="J16" s="117">
        <v>13.238</v>
      </c>
      <c r="K16" s="117">
        <v>11.351000000000001</v>
      </c>
      <c r="L16" s="117">
        <f>145483/1000</f>
        <v>145.483</v>
      </c>
      <c r="M16" s="195"/>
      <c r="N16" s="195"/>
      <c r="O16" s="195"/>
      <c r="P16" s="195"/>
      <c r="Q16" s="195"/>
    </row>
    <row r="17" spans="1:17" x14ac:dyDescent="0.2">
      <c r="A17" s="14" t="s">
        <v>5</v>
      </c>
      <c r="B17" s="117">
        <f>29.1617315149801/1000</f>
        <v>2.91617315149801E-2</v>
      </c>
      <c r="C17" s="117">
        <f>24.3787833132888/1000</f>
        <v>2.4378783313288799E-2</v>
      </c>
      <c r="D17" s="117">
        <v>5.004365</v>
      </c>
      <c r="E17" s="119">
        <f t="shared" si="2"/>
        <v>5.8272591057966592E-3</v>
      </c>
      <c r="F17" s="123">
        <f>9.80311725502759/1000</f>
        <v>9.8031172550275911E-3</v>
      </c>
      <c r="G17" s="121">
        <f>7.43889767476165/1000</f>
        <v>7.4388976747616501E-3</v>
      </c>
      <c r="H17" s="117">
        <f>136.336139890931/1000</f>
        <v>0.13633613989093102</v>
      </c>
      <c r="I17" s="117">
        <f>114.764633908188/1000</f>
        <v>0.114764633908188</v>
      </c>
      <c r="J17" s="117">
        <f>13.088/1000</f>
        <v>1.3087999999999999E-2</v>
      </c>
      <c r="K17" s="117">
        <f>10.188/1000</f>
        <v>1.0188000000000001E-2</v>
      </c>
      <c r="L17" s="117">
        <f>130.63772500618/1000</f>
        <v>0.13063772500618001</v>
      </c>
      <c r="M17" s="195"/>
      <c r="N17" s="195"/>
      <c r="O17" s="195"/>
      <c r="P17" s="195"/>
      <c r="Q17" s="195"/>
    </row>
    <row r="18" spans="1:17" x14ac:dyDescent="0.2">
      <c r="A18" s="14" t="s">
        <v>20</v>
      </c>
      <c r="B18" s="117">
        <v>2.8370000000000002</v>
      </c>
      <c r="C18" s="117">
        <v>2.8250000000000002</v>
      </c>
      <c r="D18" s="117">
        <v>7.5311890000000004</v>
      </c>
      <c r="E18" s="119">
        <f t="shared" si="2"/>
        <v>0.37670014655056461</v>
      </c>
      <c r="F18" s="123">
        <v>1.282</v>
      </c>
      <c r="G18" s="121">
        <v>1.278</v>
      </c>
      <c r="H18" s="117">
        <v>14.196</v>
      </c>
      <c r="I18" s="117">
        <v>13.712999999999999</v>
      </c>
      <c r="J18" s="117">
        <v>1.2450000000000001</v>
      </c>
      <c r="K18" s="117">
        <v>1.206</v>
      </c>
      <c r="L18" s="117">
        <v>9.81</v>
      </c>
      <c r="M18" s="195"/>
      <c r="N18" s="195"/>
      <c r="O18" s="195"/>
      <c r="P18" s="195"/>
      <c r="Q18" s="195"/>
    </row>
    <row r="19" spans="1:17" x14ac:dyDescent="0.2">
      <c r="A19" s="14" t="s">
        <v>18</v>
      </c>
      <c r="B19" s="117">
        <v>1.0960000000000001</v>
      </c>
      <c r="C19" s="117">
        <v>1.0629999999999999</v>
      </c>
      <c r="D19" s="117">
        <v>4.1871999999999998</v>
      </c>
      <c r="E19" s="119">
        <f t="shared" si="2"/>
        <v>0.26175009552923195</v>
      </c>
      <c r="F19" s="123">
        <v>0.60099999999999998</v>
      </c>
      <c r="G19" s="121">
        <v>0.52700000000000002</v>
      </c>
      <c r="H19" s="117">
        <v>10.422000000000001</v>
      </c>
      <c r="I19" s="117">
        <v>9.27</v>
      </c>
      <c r="J19" s="117">
        <v>1.5469999999999999</v>
      </c>
      <c r="K19" s="117">
        <v>1.3089999999999999</v>
      </c>
      <c r="L19" s="117">
        <v>5.2439999999999998</v>
      </c>
      <c r="M19" s="195"/>
      <c r="N19" s="195"/>
      <c r="O19" s="195"/>
      <c r="P19" s="195"/>
      <c r="Q19" s="195"/>
    </row>
    <row r="20" spans="1:17" x14ac:dyDescent="0.2">
      <c r="A20" s="14" t="s">
        <v>19</v>
      </c>
      <c r="B20" s="117">
        <v>0.34599999999999997</v>
      </c>
      <c r="C20" s="117">
        <v>0.34599999999999997</v>
      </c>
      <c r="D20" s="117">
        <v>2.2350669999999999</v>
      </c>
      <c r="E20" s="119">
        <f t="shared" si="2"/>
        <v>0.15480520270756984</v>
      </c>
      <c r="F20" s="123">
        <v>0.11</v>
      </c>
      <c r="G20" s="121">
        <v>0.11</v>
      </c>
      <c r="H20" s="117">
        <v>2.64</v>
      </c>
      <c r="I20" s="117">
        <v>2.64</v>
      </c>
      <c r="J20" s="117">
        <v>0.21299999999999999</v>
      </c>
      <c r="K20" s="117">
        <v>0.21299999999999999</v>
      </c>
      <c r="L20" s="117">
        <v>1.024</v>
      </c>
      <c r="M20" s="195"/>
      <c r="N20" s="195"/>
      <c r="O20" s="195"/>
      <c r="P20" s="195"/>
      <c r="Q20" s="195"/>
    </row>
    <row r="21" spans="1:17" ht="13.5" x14ac:dyDescent="0.2">
      <c r="A21" s="14" t="s">
        <v>134</v>
      </c>
      <c r="B21" s="117">
        <v>4.6470000000000002</v>
      </c>
      <c r="C21" s="117">
        <v>4.0339999999999998</v>
      </c>
      <c r="D21" s="117">
        <v>32.871000000000002</v>
      </c>
      <c r="E21" s="119">
        <f t="shared" si="2"/>
        <v>0.1413708131787898</v>
      </c>
      <c r="F21" s="123">
        <v>1.48</v>
      </c>
      <c r="G21" s="121">
        <v>1.226</v>
      </c>
      <c r="H21" s="117">
        <v>25.210999999999999</v>
      </c>
      <c r="I21" s="117">
        <v>21.867000000000001</v>
      </c>
      <c r="J21" s="117">
        <v>2.9060000000000001</v>
      </c>
      <c r="K21" s="117">
        <v>2.0339999999999998</v>
      </c>
      <c r="L21" s="117">
        <v>12.269</v>
      </c>
      <c r="M21" s="195"/>
      <c r="N21" s="195"/>
      <c r="O21" s="195"/>
      <c r="P21" s="195"/>
      <c r="Q21" s="195"/>
    </row>
    <row r="22" spans="1:17" x14ac:dyDescent="0.2">
      <c r="A22" s="14" t="s">
        <v>21</v>
      </c>
      <c r="B22" s="117">
        <v>0.20799999999999999</v>
      </c>
      <c r="C22" s="117">
        <v>4.0000000000000001E-3</v>
      </c>
      <c r="D22" s="117">
        <v>1.644517</v>
      </c>
      <c r="E22" s="119">
        <f t="shared" si="2"/>
        <v>0.12648090594381206</v>
      </c>
      <c r="F22" s="123">
        <v>0.14199999999999999</v>
      </c>
      <c r="G22" s="121">
        <v>1E-3</v>
      </c>
      <c r="H22" s="117">
        <v>7.3999999999999996E-2</v>
      </c>
      <c r="I22" s="117">
        <v>0.02</v>
      </c>
      <c r="J22" s="117">
        <v>1.4999999999999999E-2</v>
      </c>
      <c r="K22" s="117">
        <v>1E-3</v>
      </c>
      <c r="L22" s="117">
        <v>8.4000000000000005E-2</v>
      </c>
      <c r="M22" s="195"/>
      <c r="N22" s="195"/>
      <c r="O22" s="195"/>
      <c r="P22" s="195"/>
      <c r="Q22" s="195"/>
    </row>
    <row r="23" spans="1:17" x14ac:dyDescent="0.2">
      <c r="A23" s="14" t="s">
        <v>22</v>
      </c>
      <c r="B23" s="117">
        <f>31408.55144795/1000</f>
        <v>31.40855144795</v>
      </c>
      <c r="C23" s="117">
        <f>30629.3140676313/1000</f>
        <v>30.629314067631302</v>
      </c>
      <c r="D23" s="117">
        <v>117.260034</v>
      </c>
      <c r="E23" s="119">
        <f t="shared" si="2"/>
        <v>0.26785384906122406</v>
      </c>
      <c r="F23" s="123">
        <f>9400.04114901776/1000</f>
        <v>9.4000411490177598</v>
      </c>
      <c r="G23" s="121">
        <f>8756.34809698874/1000</f>
        <v>8.7563480969887397</v>
      </c>
      <c r="H23" s="117">
        <f>180466.594469631/1000</f>
        <v>180.46659446963099</v>
      </c>
      <c r="I23" s="117">
        <f>172498.040469631/1000</f>
        <v>172.49804046963101</v>
      </c>
      <c r="J23" s="117">
        <f>16598.4158381849/1000</f>
        <v>16.598415838184902</v>
      </c>
      <c r="K23" s="117">
        <f>15286.6488555492/1000</f>
        <v>15.286648855549199</v>
      </c>
      <c r="L23" s="117">
        <f>108771.388391534/1000</f>
        <v>108.771388391534</v>
      </c>
      <c r="M23" s="195"/>
      <c r="N23" s="195"/>
      <c r="O23" s="195"/>
      <c r="P23" s="195"/>
      <c r="Q23" s="195"/>
    </row>
    <row r="24" spans="1:17" x14ac:dyDescent="0.2">
      <c r="A24" s="14" t="s">
        <v>2</v>
      </c>
      <c r="B24" s="117">
        <f>9533.847641881/1000</f>
        <v>9.5338476418809996</v>
      </c>
      <c r="C24" s="117">
        <f>9533.847641881/1000</f>
        <v>9.5338476418809996</v>
      </c>
      <c r="D24" s="117">
        <v>71.324484999999996</v>
      </c>
      <c r="E24" s="119">
        <f t="shared" si="2"/>
        <v>0.13366865028020883</v>
      </c>
      <c r="F24" s="123">
        <f>2888.64496399808/1000</f>
        <v>2.8886449639980802</v>
      </c>
      <c r="G24" s="121">
        <f>2888.64496399808/1000</f>
        <v>2.8886449639980802</v>
      </c>
      <c r="H24" s="117">
        <f>116043.551621585/1000</f>
        <v>116.043551621585</v>
      </c>
      <c r="I24" s="117">
        <f>116043.551621585/1000</f>
        <v>116.043551621585</v>
      </c>
      <c r="J24" s="117">
        <f>8963.131/1000</f>
        <v>8.9631309999999988</v>
      </c>
      <c r="K24" s="117">
        <f>8963.131/1000</f>
        <v>8.9631309999999988</v>
      </c>
      <c r="L24" s="117">
        <f>14170.880625139/1000</f>
        <v>14.170880625139</v>
      </c>
      <c r="M24" s="195"/>
      <c r="N24" s="195"/>
      <c r="O24" s="195"/>
      <c r="P24" s="195"/>
      <c r="Q24" s="195"/>
    </row>
    <row r="25" spans="1:17" x14ac:dyDescent="0.2">
      <c r="A25" s="14" t="s">
        <v>24</v>
      </c>
      <c r="B25" s="117">
        <v>28.434000000000001</v>
      </c>
      <c r="C25" s="117">
        <v>27.974</v>
      </c>
      <c r="D25" s="117">
        <v>170.46535200000002</v>
      </c>
      <c r="E25" s="119">
        <f t="shared" si="2"/>
        <v>0.16680222500581818</v>
      </c>
      <c r="F25" s="123">
        <v>9.1780000000000008</v>
      </c>
      <c r="G25" s="121">
        <v>8.9169999999999998</v>
      </c>
      <c r="H25" s="117">
        <f>253295/1000</f>
        <v>253.29499999999999</v>
      </c>
      <c r="I25" s="117">
        <f>240396/1000</f>
        <v>240.39599999999999</v>
      </c>
      <c r="J25" s="117">
        <v>24.170999999999999</v>
      </c>
      <c r="K25" s="117">
        <v>22.196000000000002</v>
      </c>
      <c r="L25" s="117">
        <f>114336/1000</f>
        <v>114.336</v>
      </c>
      <c r="M25" s="195"/>
      <c r="N25" s="195"/>
      <c r="O25" s="195"/>
      <c r="P25" s="195"/>
      <c r="Q25" s="195"/>
    </row>
    <row r="26" spans="1:17" ht="13.5" x14ac:dyDescent="0.2">
      <c r="A26" s="14" t="s">
        <v>135</v>
      </c>
      <c r="B26" s="117">
        <v>6.3949999999999996</v>
      </c>
      <c r="C26" s="117">
        <v>5.1150000000000002</v>
      </c>
      <c r="D26" s="117">
        <v>59.431720999999996</v>
      </c>
      <c r="E26" s="119">
        <f t="shared" si="2"/>
        <v>0.10760247040465142</v>
      </c>
      <c r="F26" s="123">
        <v>1.1719999999999999</v>
      </c>
      <c r="G26" s="121">
        <v>0.85899999999999999</v>
      </c>
      <c r="H26" s="117">
        <f>60037/1000</f>
        <v>60.036999999999999</v>
      </c>
      <c r="I26" s="117">
        <f>49344/1000</f>
        <v>49.344000000000001</v>
      </c>
      <c r="J26" s="117">
        <v>3.738</v>
      </c>
      <c r="K26" s="117">
        <v>2.6579999999999999</v>
      </c>
      <c r="L26" s="117">
        <f>23490.4904047242/1000</f>
        <v>23.490490404724202</v>
      </c>
      <c r="M26" s="195"/>
      <c r="N26" s="195"/>
      <c r="O26" s="195"/>
      <c r="P26" s="195"/>
      <c r="Q26" s="195"/>
    </row>
    <row r="27" spans="1:17" x14ac:dyDescent="0.2">
      <c r="A27" s="14" t="s">
        <v>26</v>
      </c>
      <c r="B27" s="117">
        <v>5.7930000000000001</v>
      </c>
      <c r="C27" s="117">
        <v>3.5409999999999999</v>
      </c>
      <c r="D27" s="117">
        <v>64.296019000000001</v>
      </c>
      <c r="E27" s="119">
        <f t="shared" si="2"/>
        <v>9.0098890881564531E-2</v>
      </c>
      <c r="F27" s="123">
        <v>1.8149999999999999</v>
      </c>
      <c r="G27" s="121">
        <v>0.99299999999999999</v>
      </c>
      <c r="H27" s="117">
        <f>46994/1000</f>
        <v>46.994</v>
      </c>
      <c r="I27" s="117">
        <v>20.905000000000001</v>
      </c>
      <c r="J27" s="117">
        <f>5467.333/1000</f>
        <v>5.467333</v>
      </c>
      <c r="K27" s="117">
        <v>2.2200000000000002</v>
      </c>
      <c r="L27" s="117">
        <v>12.661</v>
      </c>
      <c r="M27" s="195"/>
      <c r="N27" s="195"/>
      <c r="O27" s="195"/>
      <c r="P27" s="195"/>
      <c r="Q27" s="195"/>
    </row>
    <row r="28" spans="1:17" ht="13.5" x14ac:dyDescent="0.2">
      <c r="A28" s="14" t="s">
        <v>136</v>
      </c>
      <c r="B28" s="117">
        <f>1256.43154973333/1000</f>
        <v>1.25643154973333</v>
      </c>
      <c r="C28" s="117">
        <f>993.608260233333/1000</f>
        <v>0.99360826023333304</v>
      </c>
      <c r="D28" s="117">
        <v>16.326225000000001</v>
      </c>
      <c r="E28" s="119">
        <f t="shared" si="2"/>
        <v>7.6957872976351233E-2</v>
      </c>
      <c r="F28" s="123">
        <f>374.1301/1000</f>
        <v>0.37413010000000002</v>
      </c>
      <c r="G28" s="121">
        <f>255.6545/1000</f>
        <v>0.25565450000000001</v>
      </c>
      <c r="H28" s="117">
        <f>11115.9963680453/1000</f>
        <v>11.1159963680453</v>
      </c>
      <c r="I28" s="117">
        <f>7647.89995604531/1000</f>
        <v>7.6478999560453103</v>
      </c>
      <c r="J28" s="117">
        <f>846.570666666667/1000</f>
        <v>0.84657066666666692</v>
      </c>
      <c r="K28" s="117">
        <f>547.739666666667/1000</f>
        <v>0.54773966666666696</v>
      </c>
      <c r="L28" s="117">
        <f>4931.04567706478/1000</f>
        <v>4.9310456770647795</v>
      </c>
      <c r="M28" s="195"/>
      <c r="N28" s="195"/>
      <c r="O28" s="195"/>
      <c r="P28" s="195"/>
      <c r="Q28" s="195"/>
    </row>
    <row r="29" spans="1:17" x14ac:dyDescent="0.2">
      <c r="A29" s="14" t="s">
        <v>55</v>
      </c>
      <c r="B29" s="117">
        <v>3.4620000000000002</v>
      </c>
      <c r="C29" s="117">
        <v>3.0569999999999999</v>
      </c>
      <c r="D29" s="117">
        <v>27.738</v>
      </c>
      <c r="E29" s="119">
        <f t="shared" si="2"/>
        <v>0.12481072896387628</v>
      </c>
      <c r="F29" s="123">
        <v>1.6739999999999999</v>
      </c>
      <c r="G29" s="121">
        <v>1.4930000000000001</v>
      </c>
      <c r="H29" s="117">
        <f>36884/1000</f>
        <v>36.884</v>
      </c>
      <c r="I29" s="117">
        <v>27.408000000000001</v>
      </c>
      <c r="J29" s="117">
        <v>3.375</v>
      </c>
      <c r="K29" s="117">
        <v>2.7839999999999998</v>
      </c>
      <c r="L29" s="117">
        <v>11.753</v>
      </c>
      <c r="M29" s="195"/>
      <c r="N29" s="195"/>
      <c r="O29" s="195"/>
      <c r="P29" s="195"/>
      <c r="Q29" s="195"/>
    </row>
    <row r="30" spans="1:17" x14ac:dyDescent="0.2">
      <c r="A30" s="14" t="s">
        <v>12</v>
      </c>
      <c r="B30" s="144">
        <f>21681.468/1000</f>
        <v>21.681468000000002</v>
      </c>
      <c r="C30" s="144">
        <v>21.504000000000001</v>
      </c>
      <c r="D30" s="144">
        <v>67.522000000000006</v>
      </c>
      <c r="E30" s="146">
        <f t="shared" si="2"/>
        <v>0.32110227777613221</v>
      </c>
      <c r="F30" s="150">
        <v>6.4720000000000004</v>
      </c>
      <c r="G30" s="148">
        <v>6.2270000000000003</v>
      </c>
      <c r="H30" s="144">
        <f>246531/1000</f>
        <v>246.53100000000001</v>
      </c>
      <c r="I30" s="144">
        <f>242398/1000</f>
        <v>242.398</v>
      </c>
      <c r="J30" s="144">
        <v>16.861999999999998</v>
      </c>
      <c r="K30" s="144">
        <v>16.231000000000002</v>
      </c>
      <c r="L30" s="144">
        <f>146319/1000</f>
        <v>146.31899999999999</v>
      </c>
      <c r="M30" s="195"/>
      <c r="N30" s="195"/>
      <c r="O30" s="195"/>
      <c r="P30" s="195"/>
      <c r="Q30" s="195"/>
    </row>
    <row r="31" spans="1:17" x14ac:dyDescent="0.2">
      <c r="A31" s="14" t="s">
        <v>27</v>
      </c>
      <c r="B31" s="121">
        <v>9.0109999999999992</v>
      </c>
      <c r="C31" s="117">
        <v>8.94</v>
      </c>
      <c r="D31" s="117">
        <v>164.25</v>
      </c>
      <c r="E31" s="119">
        <f t="shared" si="2"/>
        <v>5.4861491628614908E-2</v>
      </c>
      <c r="F31" s="123">
        <v>3.0419999999999998</v>
      </c>
      <c r="G31" s="121">
        <v>3.0219999999999998</v>
      </c>
      <c r="H31" s="121">
        <f>91979/1000</f>
        <v>91.978999999999999</v>
      </c>
      <c r="I31" s="196">
        <f>89860/1000</f>
        <v>89.86</v>
      </c>
      <c r="J31" s="121">
        <v>7.867</v>
      </c>
      <c r="K31" s="121">
        <v>7.7619999999999996</v>
      </c>
      <c r="L31" s="117">
        <f>76911/1000</f>
        <v>76.911000000000001</v>
      </c>
      <c r="M31" s="195"/>
      <c r="N31" s="195"/>
      <c r="O31" s="195"/>
      <c r="P31" s="195"/>
      <c r="Q31" s="195"/>
    </row>
    <row r="32" spans="1:17" x14ac:dyDescent="0.2">
      <c r="A32" s="15" t="s">
        <v>29</v>
      </c>
      <c r="B32" s="128">
        <f>21631.1368593647/1000</f>
        <v>21.631136859364698</v>
      </c>
      <c r="C32" s="127">
        <f>19993.2456172328/1000</f>
        <v>19.993245617232798</v>
      </c>
      <c r="D32" s="127">
        <v>338.336297</v>
      </c>
      <c r="E32" s="125">
        <f t="shared" si="2"/>
        <v>6.3933834623025085E-2</v>
      </c>
      <c r="F32" s="151">
        <f>4458.41981992333/1000</f>
        <v>4.4584198199233294</v>
      </c>
      <c r="G32" s="128">
        <f>4116.61089066489/1000</f>
        <v>4.1166108906648899</v>
      </c>
      <c r="H32" s="128">
        <f>139792.079577676/1000</f>
        <v>139.79207957767599</v>
      </c>
      <c r="I32" s="197">
        <f>122386.21136672/1000</f>
        <v>122.38621136672</v>
      </c>
      <c r="J32" s="128">
        <f>7445.79508218755/1000</f>
        <v>7.4457950821875505</v>
      </c>
      <c r="K32" s="128">
        <f>6660.67977422833/1000</f>
        <v>6.6606797742283295</v>
      </c>
      <c r="L32" s="127">
        <f>64871.3060104735/1000</f>
        <v>64.871306010473504</v>
      </c>
      <c r="M32" s="195"/>
      <c r="N32" s="195"/>
      <c r="O32" s="195"/>
      <c r="P32" s="195"/>
      <c r="Q32" s="195"/>
    </row>
    <row r="33" spans="1:17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</row>
    <row r="34" spans="1:17" ht="13.5" x14ac:dyDescent="0.2">
      <c r="A34" s="182" t="s">
        <v>137</v>
      </c>
      <c r="C34" s="53" t="s">
        <v>138</v>
      </c>
      <c r="M34" s="195"/>
      <c r="N34" s="195"/>
      <c r="O34" s="195"/>
      <c r="P34" s="195"/>
      <c r="Q34" s="195"/>
    </row>
    <row r="35" spans="1:17" s="182" customFormat="1" ht="12" x14ac:dyDescent="0.2">
      <c r="A35" s="25"/>
      <c r="B35" s="183"/>
      <c r="D35" s="25"/>
      <c r="F35" s="30"/>
      <c r="G35" s="184"/>
      <c r="H35" s="185"/>
      <c r="I35" s="186"/>
      <c r="J35" s="7"/>
      <c r="L35" s="187"/>
    </row>
    <row r="37" spans="1:17" ht="52.5" customHeight="1" x14ac:dyDescent="0.2">
      <c r="A37" s="56">
        <v>2017</v>
      </c>
      <c r="B37" s="190" t="s">
        <v>57</v>
      </c>
      <c r="C37" s="207" t="s">
        <v>117</v>
      </c>
      <c r="D37" s="57" t="s">
        <v>58</v>
      </c>
      <c r="E37" s="57" t="s">
        <v>59</v>
      </c>
      <c r="F37" s="57" t="s">
        <v>60</v>
      </c>
      <c r="G37" s="57" t="s">
        <v>61</v>
      </c>
      <c r="H37" s="57" t="s">
        <v>62</v>
      </c>
    </row>
    <row r="38" spans="1:17" ht="13.5" x14ac:dyDescent="0.2">
      <c r="A38" s="20" t="s">
        <v>130</v>
      </c>
      <c r="B38" s="206">
        <f>SUM(B39:B66)</f>
        <v>5601.1885457992257</v>
      </c>
      <c r="C38" s="206">
        <f>SUM(C39:C66)</f>
        <v>4600.0110640752446</v>
      </c>
      <c r="D38" s="203" t="s">
        <v>1</v>
      </c>
      <c r="E38" s="204" t="s">
        <v>1</v>
      </c>
      <c r="F38" s="204" t="s">
        <v>1</v>
      </c>
      <c r="G38" s="204" t="s">
        <v>1</v>
      </c>
      <c r="H38" s="204" t="s">
        <v>1</v>
      </c>
    </row>
    <row r="39" spans="1:17" ht="13.5" x14ac:dyDescent="0.2">
      <c r="A39" s="13" t="s">
        <v>131</v>
      </c>
      <c r="B39" s="104">
        <f>174930.34920638/1000</f>
        <v>174.93034920637999</v>
      </c>
      <c r="C39" s="104">
        <f>164604.022948844/1000</f>
        <v>164.604022948844</v>
      </c>
      <c r="D39" s="191">
        <v>1.0999999999999999E-2</v>
      </c>
      <c r="E39" s="192">
        <v>8.9999999999999993E-3</v>
      </c>
      <c r="F39" s="192">
        <v>0.58499999999999996</v>
      </c>
      <c r="G39" s="192">
        <v>0.154</v>
      </c>
      <c r="H39" s="192">
        <v>0.23699999999999999</v>
      </c>
    </row>
    <row r="40" spans="1:17" x14ac:dyDescent="0.2">
      <c r="A40" s="13" t="s">
        <v>4</v>
      </c>
      <c r="B40" s="104">
        <f>65258/1000</f>
        <v>65.257999999999996</v>
      </c>
      <c r="C40" s="104">
        <f>55452/1000</f>
        <v>55.451999999999998</v>
      </c>
      <c r="D40" s="191">
        <v>0.36299999999999999</v>
      </c>
      <c r="E40" s="192">
        <v>2.1000000000000001E-2</v>
      </c>
      <c r="F40" s="192">
        <v>0.372</v>
      </c>
      <c r="G40" s="192">
        <v>0.10299999999999999</v>
      </c>
      <c r="H40" s="192">
        <v>0.14099999999999999</v>
      </c>
    </row>
    <row r="41" spans="1:17" x14ac:dyDescent="0.2">
      <c r="A41" s="14" t="s">
        <v>132</v>
      </c>
      <c r="B41" s="82">
        <f>167364.413491925/1000</f>
        <v>167.36441349192498</v>
      </c>
      <c r="C41" s="82">
        <f>134540.003324217/1000</f>
        <v>134.540003324217</v>
      </c>
      <c r="D41" s="69">
        <v>0.68799999999999994</v>
      </c>
      <c r="E41" s="33">
        <v>8.0000000000000002E-3</v>
      </c>
      <c r="F41" s="33">
        <v>0.13500000000000001</v>
      </c>
      <c r="G41" s="33">
        <v>0.14599999999999999</v>
      </c>
      <c r="H41" s="33">
        <v>2.1999999999999999E-2</v>
      </c>
    </row>
    <row r="42" spans="1:17" x14ac:dyDescent="0.2">
      <c r="A42" s="14" t="s">
        <v>8</v>
      </c>
      <c r="B42" s="82">
        <f>152487.911641717/1000</f>
        <v>152.48791164171698</v>
      </c>
      <c r="C42" s="82">
        <f>151988.547877759/1000</f>
        <v>151.988547877759</v>
      </c>
      <c r="D42" s="205">
        <v>0.23699999999999999</v>
      </c>
      <c r="E42" s="33">
        <v>2.1999999999999999E-2</v>
      </c>
      <c r="F42" s="33">
        <v>0.13700000000000001</v>
      </c>
      <c r="G42" s="33">
        <v>0.50800000000000001</v>
      </c>
      <c r="H42" s="33">
        <v>9.6000000000000002E-2</v>
      </c>
    </row>
    <row r="43" spans="1:17" x14ac:dyDescent="0.2">
      <c r="A43" s="14" t="s">
        <v>7</v>
      </c>
      <c r="B43" s="82">
        <f>1402182.1/1000</f>
        <v>1402.1821</v>
      </c>
      <c r="C43" s="82">
        <f>877370.3/1000</f>
        <v>877.37030000000004</v>
      </c>
      <c r="D43" s="69">
        <v>0.14799999999999999</v>
      </c>
      <c r="E43" s="33">
        <v>3.5000000000000003E-2</v>
      </c>
      <c r="F43" s="33">
        <v>0.44900000000000001</v>
      </c>
      <c r="G43" s="33">
        <v>0.23400000000000001</v>
      </c>
      <c r="H43" s="33">
        <v>0.13400000000000001</v>
      </c>
    </row>
    <row r="44" spans="1:17" x14ac:dyDescent="0.2">
      <c r="A44" s="14" t="s">
        <v>9</v>
      </c>
      <c r="B44" s="82">
        <v>19.5</v>
      </c>
      <c r="C44" s="82">
        <f>+B44</f>
        <v>19.5</v>
      </c>
      <c r="D44" s="69">
        <v>0.24399999999999999</v>
      </c>
      <c r="E44" s="33">
        <v>9.2999999999999999E-2</v>
      </c>
      <c r="F44" s="33">
        <v>0</v>
      </c>
      <c r="G44" s="33">
        <v>0.65100000000000002</v>
      </c>
      <c r="H44" s="33">
        <v>0.01</v>
      </c>
    </row>
    <row r="45" spans="1:17" ht="13.5" x14ac:dyDescent="0.2">
      <c r="A45" s="14" t="s">
        <v>133</v>
      </c>
      <c r="B45" s="82">
        <f>23832.8899741566/1000</f>
        <v>23.832889974156597</v>
      </c>
      <c r="C45" s="82">
        <f>22324.2038185005/1000</f>
        <v>22.3242038185005</v>
      </c>
      <c r="D45" s="69">
        <v>2.9000000000000001E-2</v>
      </c>
      <c r="E45" s="33">
        <v>1E-3</v>
      </c>
      <c r="F45" s="33">
        <v>0.93600000000000005</v>
      </c>
      <c r="G45" s="33">
        <v>3.3000000000000002E-2</v>
      </c>
      <c r="H45" s="33">
        <v>1E-3</v>
      </c>
    </row>
    <row r="46" spans="1:17" x14ac:dyDescent="0.2">
      <c r="A46" s="14" t="s">
        <v>10</v>
      </c>
      <c r="B46" s="82">
        <v>28.388999999999999</v>
      </c>
      <c r="C46" s="82">
        <v>24.748000000000001</v>
      </c>
      <c r="D46" s="205">
        <v>0.128</v>
      </c>
      <c r="E46" s="33">
        <v>0.22900000000000001</v>
      </c>
      <c r="F46" s="33">
        <v>0.54800000000000004</v>
      </c>
      <c r="G46" s="33">
        <v>6.0000000000000001E-3</v>
      </c>
      <c r="H46" s="33">
        <v>8.8999999999999996E-2</v>
      </c>
    </row>
    <row r="47" spans="1:17" x14ac:dyDescent="0.2">
      <c r="A47" s="14" t="s">
        <v>11</v>
      </c>
      <c r="B47" s="82">
        <f>313563/1000</f>
        <v>313.56299999999999</v>
      </c>
      <c r="C47" s="82">
        <f>313514/1000</f>
        <v>313.51400000000001</v>
      </c>
      <c r="D47" s="69">
        <v>0.02</v>
      </c>
      <c r="E47" s="33">
        <v>0.08</v>
      </c>
      <c r="F47" s="33">
        <v>0.80200000000000005</v>
      </c>
      <c r="G47" s="33">
        <v>8.8999999999999996E-2</v>
      </c>
      <c r="H47" s="33">
        <v>8.0000000000000002E-3</v>
      </c>
    </row>
    <row r="48" spans="1:17" x14ac:dyDescent="0.2">
      <c r="A48" s="14" t="s">
        <v>13</v>
      </c>
      <c r="B48" s="82">
        <f>284040.54/1000</f>
        <v>284.04053999999996</v>
      </c>
      <c r="C48" s="82">
        <f>181484.55/1000</f>
        <v>181.48454999999998</v>
      </c>
      <c r="D48" s="69">
        <v>0.05</v>
      </c>
      <c r="E48" s="33">
        <v>4.3999999999999997E-2</v>
      </c>
      <c r="F48" s="33">
        <v>0.51200000000000001</v>
      </c>
      <c r="G48" s="33">
        <v>0.27800000000000002</v>
      </c>
      <c r="H48" s="33">
        <v>0.11600000000000001</v>
      </c>
    </row>
    <row r="49" spans="1:8" x14ac:dyDescent="0.2">
      <c r="A49" s="14" t="s">
        <v>14</v>
      </c>
      <c r="B49" s="82">
        <f>43110.6191875562/1000</f>
        <v>43.110619187556203</v>
      </c>
      <c r="C49" s="82">
        <f>27982.7139942941/1000</f>
        <v>27.982713994294098</v>
      </c>
      <c r="D49" s="69">
        <v>1.6E-2</v>
      </c>
      <c r="E49" s="33">
        <v>8.8999999999999996E-2</v>
      </c>
      <c r="F49" s="33">
        <v>0.81399999999999995</v>
      </c>
      <c r="G49" s="33">
        <v>0.08</v>
      </c>
      <c r="H49" s="33">
        <v>0</v>
      </c>
    </row>
    <row r="50" spans="1:8" x14ac:dyDescent="0.2">
      <c r="A50" s="14" t="s">
        <v>17</v>
      </c>
      <c r="B50" s="82">
        <f>454697/1000</f>
        <v>454.697</v>
      </c>
      <c r="C50" s="82">
        <f>387546/1000</f>
        <v>387.54599999999999</v>
      </c>
      <c r="D50" s="69">
        <v>2.8000000000000001E-2</v>
      </c>
      <c r="E50" s="33">
        <v>8.2000000000000003E-2</v>
      </c>
      <c r="F50" s="33">
        <v>0.65800000000000003</v>
      </c>
      <c r="G50" s="33">
        <v>0.158</v>
      </c>
      <c r="H50" s="33">
        <v>7.3999999999999996E-2</v>
      </c>
    </row>
    <row r="51" spans="1:8" x14ac:dyDescent="0.2">
      <c r="A51" s="14" t="s">
        <v>5</v>
      </c>
      <c r="B51" s="82">
        <v>321.75783101449815</v>
      </c>
      <c r="C51" s="82">
        <v>270.0376716877559</v>
      </c>
      <c r="D51" s="69">
        <v>0</v>
      </c>
      <c r="E51" s="33">
        <v>6.2E-2</v>
      </c>
      <c r="F51" s="33">
        <v>0</v>
      </c>
      <c r="G51" s="33">
        <v>0.93799999999999994</v>
      </c>
      <c r="H51" s="33">
        <v>0</v>
      </c>
    </row>
    <row r="52" spans="1:8" x14ac:dyDescent="0.2">
      <c r="A52" s="14" t="s">
        <v>20</v>
      </c>
      <c r="B52" s="82">
        <v>29.77</v>
      </c>
      <c r="C52" s="82">
        <v>29.091999999999999</v>
      </c>
      <c r="D52" s="69">
        <v>2E-3</v>
      </c>
      <c r="E52" s="33">
        <v>0</v>
      </c>
      <c r="F52" s="33">
        <v>0.55700000000000005</v>
      </c>
      <c r="G52" s="33">
        <v>0.441</v>
      </c>
      <c r="H52" s="33">
        <v>0</v>
      </c>
    </row>
    <row r="53" spans="1:8" x14ac:dyDescent="0.2">
      <c r="A53" s="14" t="s">
        <v>18</v>
      </c>
      <c r="B53" s="82">
        <v>17.062999999999999</v>
      </c>
      <c r="C53" s="82">
        <v>15.523999999999999</v>
      </c>
      <c r="D53" s="69">
        <v>0</v>
      </c>
      <c r="E53" s="33">
        <v>0.115</v>
      </c>
      <c r="F53" s="33">
        <v>0.29499999999999998</v>
      </c>
      <c r="G53" s="33">
        <v>0.497</v>
      </c>
      <c r="H53" s="33">
        <v>9.2999999999999999E-2</v>
      </c>
    </row>
    <row r="54" spans="1:8" x14ac:dyDescent="0.2">
      <c r="A54" s="14" t="s">
        <v>19</v>
      </c>
      <c r="B54" s="82">
        <v>4.7279999999999998</v>
      </c>
      <c r="C54" s="82">
        <v>4.7279999999999998</v>
      </c>
      <c r="D54" s="69">
        <v>0</v>
      </c>
      <c r="E54" s="33">
        <v>0</v>
      </c>
      <c r="F54" s="33">
        <v>0.61199999999999999</v>
      </c>
      <c r="G54" s="33">
        <v>0.38600000000000001</v>
      </c>
      <c r="H54" s="33">
        <v>2E-3</v>
      </c>
    </row>
    <row r="55" spans="1:8" ht="13.5" x14ac:dyDescent="0.2">
      <c r="A55" s="14" t="s">
        <v>134</v>
      </c>
      <c r="B55" s="82">
        <f>53598/1000</f>
        <v>53.597999999999999</v>
      </c>
      <c r="C55" s="82">
        <f>44379/1000</f>
        <v>44.378999999999998</v>
      </c>
      <c r="D55" s="69">
        <v>0.10100000000000001</v>
      </c>
      <c r="E55" s="33">
        <v>0</v>
      </c>
      <c r="F55" s="33">
        <v>0.7</v>
      </c>
      <c r="G55" s="33">
        <v>0.14000000000000001</v>
      </c>
      <c r="H55" s="33">
        <v>5.8999999999999997E-2</v>
      </c>
    </row>
    <row r="56" spans="1:8" x14ac:dyDescent="0.2">
      <c r="A56" s="14" t="s">
        <v>21</v>
      </c>
      <c r="B56" s="82">
        <v>1.8169999999999999</v>
      </c>
      <c r="C56" s="82">
        <v>4.4999999999999998E-2</v>
      </c>
      <c r="D56" s="69">
        <v>0</v>
      </c>
      <c r="E56" s="33">
        <v>0</v>
      </c>
      <c r="F56" s="33">
        <v>0.86799999999999999</v>
      </c>
      <c r="G56" s="33">
        <v>2.7E-2</v>
      </c>
      <c r="H56" s="33">
        <v>0.105</v>
      </c>
    </row>
    <row r="57" spans="1:8" x14ac:dyDescent="0.2">
      <c r="A57" s="14" t="s">
        <v>22</v>
      </c>
      <c r="B57" s="82">
        <f>351326.780931221/1000</f>
        <v>351.32678093122098</v>
      </c>
      <c r="C57" s="82">
        <f>337302.291116232/1000</f>
        <v>337.30229111623197</v>
      </c>
      <c r="D57" s="69">
        <v>0.03</v>
      </c>
      <c r="E57" s="33">
        <v>3.5999999999999997E-2</v>
      </c>
      <c r="F57" s="33">
        <v>0.79300000000000004</v>
      </c>
      <c r="G57" s="33">
        <v>8.5999999999999993E-2</v>
      </c>
      <c r="H57" s="33">
        <v>5.5E-2</v>
      </c>
    </row>
    <row r="58" spans="1:8" x14ac:dyDescent="0.2">
      <c r="A58" s="14" t="s">
        <v>2</v>
      </c>
      <c r="B58" s="82">
        <f>179606.922176268/1000</f>
        <v>179.606922176268</v>
      </c>
      <c r="C58" s="82">
        <f>179606.922176268/1000</f>
        <v>179.606922176268</v>
      </c>
      <c r="D58" s="69">
        <v>8.1000000000000003E-2</v>
      </c>
      <c r="E58" s="33">
        <v>9.6000000000000002E-2</v>
      </c>
      <c r="F58" s="33">
        <v>0.36799999999999999</v>
      </c>
      <c r="G58" s="33">
        <v>0.40300000000000002</v>
      </c>
      <c r="H58" s="33">
        <v>5.1999999999999998E-2</v>
      </c>
    </row>
    <row r="59" spans="1:8" x14ac:dyDescent="0.2">
      <c r="A59" s="14" t="s">
        <v>24</v>
      </c>
      <c r="B59" s="82">
        <f>427361/1000</f>
        <v>427.36099999999999</v>
      </c>
      <c r="C59" s="82">
        <f>409108/1000</f>
        <v>409.108</v>
      </c>
      <c r="D59" s="69">
        <v>0.70399999999999996</v>
      </c>
      <c r="E59" s="33">
        <v>7.5999999999999998E-2</v>
      </c>
      <c r="F59" s="33">
        <v>0.115</v>
      </c>
      <c r="G59" s="33">
        <v>9.5000000000000001E-2</v>
      </c>
      <c r="H59" s="33">
        <v>0.01</v>
      </c>
    </row>
    <row r="60" spans="1:8" ht="13.5" x14ac:dyDescent="0.2">
      <c r="A60" s="14" t="s">
        <v>135</v>
      </c>
      <c r="B60" s="82">
        <f>108550/1000</f>
        <v>108.55</v>
      </c>
      <c r="C60" s="82">
        <f>76154/1000</f>
        <v>76.153999999999996</v>
      </c>
      <c r="D60" s="69">
        <v>0</v>
      </c>
      <c r="E60" s="33">
        <v>7.0999999999999994E-2</v>
      </c>
      <c r="F60" s="33">
        <v>0.46100000000000002</v>
      </c>
      <c r="G60" s="33">
        <v>0.46300000000000002</v>
      </c>
      <c r="H60" s="33">
        <v>5.0000000000000001E-3</v>
      </c>
    </row>
    <row r="61" spans="1:8" x14ac:dyDescent="0.2">
      <c r="A61" s="14" t="s">
        <v>26</v>
      </c>
      <c r="B61" s="82">
        <f>85261/1000</f>
        <v>85.260999999999996</v>
      </c>
      <c r="C61" s="82">
        <f>42335/1000</f>
        <v>42.335000000000001</v>
      </c>
      <c r="D61" s="69">
        <v>0.247</v>
      </c>
      <c r="E61" s="33">
        <v>3.2000000000000001E-2</v>
      </c>
      <c r="F61" s="33">
        <v>0.66100000000000003</v>
      </c>
      <c r="G61" s="33">
        <v>5.6000000000000001E-2</v>
      </c>
      <c r="H61" s="33">
        <v>3.0000000000000001E-3</v>
      </c>
    </row>
    <row r="62" spans="1:8" ht="13.5" x14ac:dyDescent="0.2">
      <c r="A62" s="14" t="s">
        <v>136</v>
      </c>
      <c r="B62" s="82">
        <f>19858.8110122149/1000</f>
        <v>19.8588110122149</v>
      </c>
      <c r="C62" s="82">
        <f>13725.3862578206/1000</f>
        <v>13.725386257820601</v>
      </c>
      <c r="D62" s="69">
        <v>0.48099999999999998</v>
      </c>
      <c r="E62" s="33">
        <v>0</v>
      </c>
      <c r="F62" s="33">
        <v>0.28100000000000003</v>
      </c>
      <c r="G62" s="33">
        <v>0.217</v>
      </c>
      <c r="H62" s="33">
        <v>2.1000000000000001E-2</v>
      </c>
    </row>
    <row r="63" spans="1:8" x14ac:dyDescent="0.2">
      <c r="A63" s="14" t="s">
        <v>55</v>
      </c>
      <c r="B63" s="82">
        <f>62459/1000</f>
        <v>62.459000000000003</v>
      </c>
      <c r="C63" s="82">
        <f>48031/1000</f>
        <v>48.030999999999999</v>
      </c>
      <c r="D63" s="69">
        <v>0.441</v>
      </c>
      <c r="E63" s="33">
        <v>0.11700000000000001</v>
      </c>
      <c r="F63" s="33">
        <v>0.252</v>
      </c>
      <c r="G63" s="33">
        <v>0.14099999999999999</v>
      </c>
      <c r="H63" s="33">
        <v>4.9000000000000002E-2</v>
      </c>
    </row>
    <row r="64" spans="1:8" x14ac:dyDescent="0.2">
      <c r="A64" s="14" t="s">
        <v>12</v>
      </c>
      <c r="B64" s="117">
        <f>394646/1000</f>
        <v>394.64600000000002</v>
      </c>
      <c r="C64" s="117">
        <f>388206/1000</f>
        <v>388.20600000000002</v>
      </c>
      <c r="D64" s="118">
        <v>0.23899999999999999</v>
      </c>
      <c r="E64" s="120">
        <v>1.2E-2</v>
      </c>
      <c r="F64" s="120">
        <v>8.6999999999999994E-2</v>
      </c>
      <c r="G64" s="120">
        <v>0.624</v>
      </c>
      <c r="H64" s="120">
        <v>3.6999999999999998E-2</v>
      </c>
    </row>
    <row r="65" spans="1:12" x14ac:dyDescent="0.2">
      <c r="A65" s="213" t="s">
        <v>27</v>
      </c>
      <c r="B65" s="90">
        <f>144585/1000</f>
        <v>144.58500000000001</v>
      </c>
      <c r="C65" s="90">
        <f>141545/1000</f>
        <v>141.54499999999999</v>
      </c>
      <c r="D65" s="91">
        <v>9.6000000000000002E-2</v>
      </c>
      <c r="E65" s="34">
        <v>4.0000000000000001E-3</v>
      </c>
      <c r="F65" s="34">
        <v>0.03</v>
      </c>
      <c r="G65" s="34">
        <v>0.6</v>
      </c>
      <c r="H65" s="34">
        <v>0.27100000000000002</v>
      </c>
    </row>
    <row r="66" spans="1:12" x14ac:dyDescent="0.2">
      <c r="A66" s="15" t="s">
        <v>29</v>
      </c>
      <c r="B66" s="83">
        <f>269444.377163289/1000</f>
        <v>269.444377163289</v>
      </c>
      <c r="C66" s="83">
        <f>239137.450873553/1000</f>
        <v>239.13745087355301</v>
      </c>
      <c r="D66" s="70">
        <v>2.4E-2</v>
      </c>
      <c r="E66" s="65">
        <v>0.128</v>
      </c>
      <c r="F66" s="65">
        <v>0.73</v>
      </c>
      <c r="G66" s="65">
        <v>8.6999999999999994E-2</v>
      </c>
      <c r="H66" s="65">
        <v>3.2000000000000001E-2</v>
      </c>
    </row>
    <row r="68" spans="1:12" ht="13.5" x14ac:dyDescent="0.2">
      <c r="A68" s="25" t="s">
        <v>137</v>
      </c>
      <c r="B68" s="178"/>
      <c r="C68" s="178"/>
      <c r="D68" s="36"/>
      <c r="E68" s="36"/>
      <c r="F68" s="36"/>
      <c r="G68" s="36"/>
      <c r="H68" s="36"/>
    </row>
    <row r="69" spans="1:12" x14ac:dyDescent="0.2">
      <c r="A69" s="212"/>
    </row>
    <row r="70" spans="1:12" x14ac:dyDescent="0.2">
      <c r="A70" s="182"/>
    </row>
    <row r="71" spans="1:12" s="182" customFormat="1" ht="12" x14ac:dyDescent="0.2">
      <c r="A71" s="25"/>
      <c r="B71" s="183"/>
      <c r="D71" s="25"/>
      <c r="F71" s="30"/>
      <c r="G71" s="184"/>
      <c r="H71" s="185"/>
      <c r="I71" s="186"/>
      <c r="J71" s="7"/>
      <c r="L71" s="187"/>
    </row>
  </sheetData>
  <pageMargins left="0.23622047244094491" right="0.23622047244094491" top="0.74803149606299213" bottom="0.74803149606299213" header="0.31496062992125984" footer="0.31496062992125984"/>
  <pageSetup paperSize="8" scale="1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/>
  </sheetViews>
  <sheetFormatPr defaultColWidth="9.140625" defaultRowHeight="12.75" x14ac:dyDescent="0.2"/>
  <cols>
    <col min="1" max="1" width="24" style="53" customWidth="1"/>
    <col min="2" max="12" width="10.7109375" style="53" customWidth="1"/>
    <col min="13" max="16384" width="9.140625" style="53"/>
  </cols>
  <sheetData>
    <row r="1" spans="1:17" ht="15.75" x14ac:dyDescent="0.25">
      <c r="A1" s="52" t="s">
        <v>111</v>
      </c>
      <c r="B1" s="35"/>
      <c r="C1" s="36"/>
      <c r="D1" s="36"/>
      <c r="E1" s="36"/>
      <c r="F1" s="37"/>
      <c r="G1" s="37"/>
      <c r="H1" s="36"/>
      <c r="I1" s="36"/>
    </row>
    <row r="2" spans="1:17" x14ac:dyDescent="0.2">
      <c r="A2" s="38"/>
      <c r="B2" s="35"/>
      <c r="C2" s="36"/>
      <c r="D2" s="36"/>
      <c r="E2" s="36"/>
      <c r="F2" s="37"/>
      <c r="G2" s="37"/>
      <c r="H2" s="36"/>
      <c r="I2" s="36"/>
    </row>
    <row r="3" spans="1:17" ht="60" x14ac:dyDescent="0.2">
      <c r="A3" s="56">
        <v>2016</v>
      </c>
      <c r="B3" s="103" t="s">
        <v>43</v>
      </c>
      <c r="C3" s="57" t="s">
        <v>126</v>
      </c>
      <c r="D3" s="189" t="s">
        <v>125</v>
      </c>
      <c r="E3" s="202" t="s">
        <v>112</v>
      </c>
      <c r="F3" s="58" t="s">
        <v>113</v>
      </c>
      <c r="G3" s="58" t="s">
        <v>126</v>
      </c>
      <c r="H3" s="189" t="s">
        <v>114</v>
      </c>
      <c r="I3" s="57" t="s">
        <v>126</v>
      </c>
      <c r="J3" s="103" t="s">
        <v>115</v>
      </c>
      <c r="K3" s="58" t="s">
        <v>126</v>
      </c>
      <c r="L3" s="103" t="s">
        <v>116</v>
      </c>
      <c r="M3" s="195"/>
      <c r="N3" s="195"/>
      <c r="O3" s="195"/>
      <c r="P3" s="195"/>
      <c r="Q3" s="195"/>
    </row>
    <row r="4" spans="1:17" x14ac:dyDescent="0.2">
      <c r="A4" s="198" t="s">
        <v>74</v>
      </c>
      <c r="B4" s="199">
        <v>359.65723000000008</v>
      </c>
      <c r="C4" s="200">
        <v>312.82311999999996</v>
      </c>
      <c r="D4" s="201">
        <v>3266.7525800000008</v>
      </c>
      <c r="E4" s="210">
        <v>0.11009625650927013</v>
      </c>
      <c r="F4" s="200">
        <v>119.8775096</v>
      </c>
      <c r="G4" s="200">
        <v>100.38403500000001</v>
      </c>
      <c r="H4" s="200">
        <v>2812.473919</v>
      </c>
      <c r="I4" s="200">
        <v>2303.1913186000002</v>
      </c>
      <c r="J4" s="200">
        <v>272.991625</v>
      </c>
      <c r="K4" s="200">
        <v>212.99681000000001</v>
      </c>
      <c r="L4" s="201">
        <v>1296.5458100000003</v>
      </c>
      <c r="M4" s="195"/>
      <c r="N4" s="195"/>
      <c r="O4" s="195"/>
      <c r="P4" s="195"/>
      <c r="Q4" s="195"/>
    </row>
    <row r="5" spans="1:17" x14ac:dyDescent="0.2">
      <c r="A5" s="13" t="s">
        <v>3</v>
      </c>
      <c r="B5" s="193">
        <v>12.185</v>
      </c>
      <c r="C5" s="193">
        <v>9.8719999999999999</v>
      </c>
      <c r="D5" s="193">
        <v>85.805999999999997</v>
      </c>
      <c r="E5" s="211">
        <v>0.14200638649977859</v>
      </c>
      <c r="F5" s="209">
        <v>2.2109999999999999</v>
      </c>
      <c r="G5" s="194">
        <v>1.6459999999999999</v>
      </c>
      <c r="H5" s="193">
        <v>104.38800000000001</v>
      </c>
      <c r="I5" s="193">
        <v>90.835999999999999</v>
      </c>
      <c r="J5" s="193">
        <v>5.0430000000000001</v>
      </c>
      <c r="K5" s="193">
        <v>4.0839999999999996</v>
      </c>
      <c r="L5" s="193">
        <v>47.695</v>
      </c>
      <c r="M5" s="195"/>
      <c r="N5" s="195"/>
      <c r="O5" s="195"/>
      <c r="P5" s="195"/>
      <c r="Q5" s="195"/>
    </row>
    <row r="6" spans="1:17" x14ac:dyDescent="0.2">
      <c r="A6" s="14" t="s">
        <v>4</v>
      </c>
      <c r="B6" s="117">
        <v>3.6349999999999998</v>
      </c>
      <c r="C6" s="117">
        <v>3.258</v>
      </c>
      <c r="D6" s="117">
        <v>45.277000000000001</v>
      </c>
      <c r="E6" s="119">
        <v>8.0283587693530931E-2</v>
      </c>
      <c r="F6" s="123">
        <v>1.4850000000000001</v>
      </c>
      <c r="G6" s="121">
        <v>1.284</v>
      </c>
      <c r="H6" s="117">
        <v>39.347000000000001</v>
      </c>
      <c r="I6" s="117">
        <v>34.857999999999997</v>
      </c>
      <c r="J6" s="117">
        <v>4.7270000000000003</v>
      </c>
      <c r="K6" s="117">
        <v>4.1219999999999999</v>
      </c>
      <c r="L6" s="117">
        <v>12.879</v>
      </c>
      <c r="M6" s="195"/>
      <c r="N6" s="195"/>
      <c r="O6" s="195"/>
      <c r="P6" s="195"/>
      <c r="Q6" s="195"/>
    </row>
    <row r="7" spans="1:17" x14ac:dyDescent="0.2">
      <c r="A7" s="14" t="s">
        <v>6</v>
      </c>
      <c r="B7" s="117">
        <v>8.3810000000000002</v>
      </c>
      <c r="C7" s="117">
        <v>7.4969999999999999</v>
      </c>
      <c r="D7" s="117">
        <v>83.308999999999997</v>
      </c>
      <c r="E7" s="119">
        <v>0.10060137560167569</v>
      </c>
      <c r="F7" s="123">
        <v>9.0310000000000006</v>
      </c>
      <c r="G7" s="121">
        <v>7.0670000000000002</v>
      </c>
      <c r="H7" s="117">
        <v>101.557</v>
      </c>
      <c r="I7" s="117">
        <v>84.927999999999997</v>
      </c>
      <c r="J7" s="117">
        <v>20.794</v>
      </c>
      <c r="K7" s="117">
        <v>14.455</v>
      </c>
      <c r="L7" s="117">
        <v>38.311999999999998</v>
      </c>
      <c r="M7" s="195"/>
      <c r="N7" s="195"/>
      <c r="O7" s="195"/>
      <c r="P7" s="195"/>
      <c r="Q7" s="195"/>
    </row>
    <row r="8" spans="1:17" x14ac:dyDescent="0.2">
      <c r="A8" s="14" t="s">
        <v>8</v>
      </c>
      <c r="B8" s="117">
        <v>12.034000000000001</v>
      </c>
      <c r="C8" s="117">
        <v>12.029</v>
      </c>
      <c r="D8" s="117">
        <v>30.535</v>
      </c>
      <c r="E8" s="119">
        <v>0.3941051252660881</v>
      </c>
      <c r="F8" s="123">
        <v>5.8639999999999999</v>
      </c>
      <c r="G8" s="121">
        <v>5.851</v>
      </c>
      <c r="H8" s="117">
        <v>94.944999999999993</v>
      </c>
      <c r="I8" s="117">
        <v>94.91</v>
      </c>
      <c r="J8" s="117">
        <v>8.7899999999999991</v>
      </c>
      <c r="K8" s="117">
        <v>8.7609999999999992</v>
      </c>
      <c r="L8" s="117">
        <v>76.361999999999995</v>
      </c>
      <c r="M8" s="195"/>
      <c r="N8" s="195"/>
      <c r="O8" s="195"/>
      <c r="P8" s="195"/>
      <c r="Q8" s="195"/>
    </row>
    <row r="9" spans="1:17" x14ac:dyDescent="0.2">
      <c r="A9" s="14" t="s">
        <v>7</v>
      </c>
      <c r="B9" s="117">
        <v>87.935000000000002</v>
      </c>
      <c r="C9" s="117">
        <v>63.192</v>
      </c>
      <c r="D9" s="117">
        <v>649.11900000000003</v>
      </c>
      <c r="E9" s="119">
        <v>0.13546822693527688</v>
      </c>
      <c r="F9" s="123">
        <v>37.207999999999998</v>
      </c>
      <c r="G9" s="121">
        <v>28.48</v>
      </c>
      <c r="H9" s="117">
        <v>697.96900000000005</v>
      </c>
      <c r="I9" s="117">
        <v>416.80399999999997</v>
      </c>
      <c r="J9" s="117">
        <v>94.599000000000004</v>
      </c>
      <c r="K9" s="117">
        <v>66.682000000000002</v>
      </c>
      <c r="L9" s="117">
        <v>239.22399999999999</v>
      </c>
      <c r="M9" s="195"/>
      <c r="N9" s="195"/>
      <c r="O9" s="195"/>
      <c r="P9" s="195"/>
      <c r="Q9" s="195"/>
    </row>
    <row r="10" spans="1:17" ht="13.5" x14ac:dyDescent="0.2">
      <c r="A10" s="14" t="s">
        <v>119</v>
      </c>
      <c r="B10" s="117">
        <v>0.94</v>
      </c>
      <c r="C10" s="117">
        <v>0.94</v>
      </c>
      <c r="D10" s="117">
        <v>12.176</v>
      </c>
      <c r="E10" s="119">
        <v>7.7201051248357425E-2</v>
      </c>
      <c r="F10" s="123">
        <v>0.188</v>
      </c>
      <c r="G10" s="121">
        <v>0.188</v>
      </c>
      <c r="H10" s="117">
        <v>3.25</v>
      </c>
      <c r="I10" s="117">
        <v>3.25</v>
      </c>
      <c r="J10" s="117">
        <v>0.65</v>
      </c>
      <c r="K10" s="117">
        <v>0.65</v>
      </c>
      <c r="L10" s="117">
        <v>3.6509999999999998</v>
      </c>
      <c r="M10" s="195"/>
      <c r="N10" s="195"/>
      <c r="O10" s="195"/>
      <c r="P10" s="195"/>
      <c r="Q10" s="195"/>
    </row>
    <row r="11" spans="1:17" x14ac:dyDescent="0.2">
      <c r="A11" s="14" t="s">
        <v>16</v>
      </c>
      <c r="B11" s="117">
        <v>2.169</v>
      </c>
      <c r="C11" s="117">
        <v>2.0779999999999998</v>
      </c>
      <c r="D11" s="117">
        <v>30.510999999999999</v>
      </c>
      <c r="E11" s="119">
        <v>7.108911540100292E-2</v>
      </c>
      <c r="F11" s="123">
        <v>0.309</v>
      </c>
      <c r="G11" s="121">
        <v>0.29099999999999998</v>
      </c>
      <c r="H11" s="117">
        <v>11.234999999999999</v>
      </c>
      <c r="I11" s="117">
        <v>10.683</v>
      </c>
      <c r="J11" s="117">
        <v>0.59099999999999997</v>
      </c>
      <c r="K11" s="117">
        <v>0.53900000000000003</v>
      </c>
      <c r="L11" s="117">
        <v>7.41</v>
      </c>
      <c r="M11" s="195"/>
      <c r="N11" s="195"/>
      <c r="O11" s="195"/>
      <c r="P11" s="195"/>
      <c r="Q11" s="195"/>
    </row>
    <row r="12" spans="1:17" ht="13.5" x14ac:dyDescent="0.2">
      <c r="A12" s="14" t="s">
        <v>90</v>
      </c>
      <c r="B12" s="117">
        <v>2.5939999999999999</v>
      </c>
      <c r="C12" s="117">
        <v>2.3820000000000001</v>
      </c>
      <c r="D12" s="117">
        <v>54.438000000000002</v>
      </c>
      <c r="E12" s="119">
        <v>4.76505382269738E-2</v>
      </c>
      <c r="F12" s="123">
        <v>0.53100000000000003</v>
      </c>
      <c r="G12" s="121">
        <v>0.49</v>
      </c>
      <c r="H12" s="117">
        <v>18.917000000000002</v>
      </c>
      <c r="I12" s="117">
        <v>16.783000000000001</v>
      </c>
      <c r="J12" s="117">
        <v>1.3220000000000001</v>
      </c>
      <c r="K12" s="117">
        <v>0.94799999999999995</v>
      </c>
      <c r="L12" s="117">
        <v>9.1259999999999994</v>
      </c>
      <c r="M12" s="195"/>
      <c r="N12" s="195"/>
      <c r="O12" s="195"/>
      <c r="P12" s="195"/>
      <c r="Q12" s="195"/>
    </row>
    <row r="13" spans="1:17" x14ac:dyDescent="0.2">
      <c r="A13" s="14" t="s">
        <v>11</v>
      </c>
      <c r="B13" s="117">
        <v>27.481999999999999</v>
      </c>
      <c r="C13" s="117">
        <v>27.402999999999999</v>
      </c>
      <c r="D13" s="117">
        <v>274.779</v>
      </c>
      <c r="E13" s="119">
        <v>0.10001492108203319</v>
      </c>
      <c r="F13" s="123">
        <v>4.1639999999999997</v>
      </c>
      <c r="G13" s="121">
        <v>4.1239999999999997</v>
      </c>
      <c r="H13" s="117">
        <v>138.82</v>
      </c>
      <c r="I13" s="117">
        <v>137.59700000000001</v>
      </c>
      <c r="J13" s="117">
        <v>6.4039999999999999</v>
      </c>
      <c r="K13" s="117">
        <v>6.2050000000000001</v>
      </c>
      <c r="L13" s="117">
        <v>73.747</v>
      </c>
      <c r="M13" s="195"/>
      <c r="N13" s="195"/>
      <c r="O13" s="195"/>
      <c r="P13" s="195"/>
      <c r="Q13" s="195"/>
    </row>
    <row r="14" spans="1:17" x14ac:dyDescent="0.2">
      <c r="A14" s="14" t="s">
        <v>13</v>
      </c>
      <c r="B14" s="117">
        <v>14.961</v>
      </c>
      <c r="C14" s="117">
        <v>9.5269999999999992</v>
      </c>
      <c r="D14" s="117">
        <v>564.41700000000003</v>
      </c>
      <c r="E14" s="119">
        <v>2.6506997485901379E-2</v>
      </c>
      <c r="F14" s="123">
        <v>6.0709999999999997</v>
      </c>
      <c r="G14" s="121">
        <v>3.2320000000000002</v>
      </c>
      <c r="H14" s="117">
        <v>163.91200000000001</v>
      </c>
      <c r="I14" s="117">
        <v>116.82299999999999</v>
      </c>
      <c r="J14" s="117">
        <v>14.858000000000001</v>
      </c>
      <c r="K14" s="117">
        <v>8.2929999999999993</v>
      </c>
      <c r="L14" s="117">
        <v>59.935000000000002</v>
      </c>
      <c r="M14" s="195"/>
      <c r="N14" s="195"/>
      <c r="O14" s="195"/>
      <c r="P14" s="195"/>
      <c r="Q14" s="195"/>
    </row>
    <row r="15" spans="1:17" x14ac:dyDescent="0.2">
      <c r="A15" s="14" t="s">
        <v>14</v>
      </c>
      <c r="B15" s="117">
        <v>1.468</v>
      </c>
      <c r="C15" s="117">
        <v>1.137</v>
      </c>
      <c r="D15" s="117">
        <v>12.82</v>
      </c>
      <c r="E15" s="119">
        <v>0.11450858034321372</v>
      </c>
      <c r="F15" s="123">
        <v>0.751</v>
      </c>
      <c r="G15" s="121">
        <v>0.58899999999999997</v>
      </c>
      <c r="H15" s="117">
        <v>16.271999999999998</v>
      </c>
      <c r="I15" s="117">
        <v>6.6449999999999996</v>
      </c>
      <c r="J15" s="117">
        <v>2.1560000000000001</v>
      </c>
      <c r="K15" s="117">
        <v>1.1601999999999999</v>
      </c>
      <c r="L15" s="117">
        <v>3.8170000000000002</v>
      </c>
      <c r="M15" s="195"/>
      <c r="N15" s="195"/>
      <c r="O15" s="195"/>
      <c r="P15" s="195"/>
      <c r="Q15" s="195"/>
    </row>
    <row r="16" spans="1:17" x14ac:dyDescent="0.2">
      <c r="A16" s="14" t="s">
        <v>17</v>
      </c>
      <c r="B16" s="117">
        <v>40.340000000000003</v>
      </c>
      <c r="C16" s="117">
        <v>37.247</v>
      </c>
      <c r="D16" s="117">
        <v>289.76799999999997</v>
      </c>
      <c r="E16" s="119">
        <v>0.13921482013196768</v>
      </c>
      <c r="F16" s="123">
        <v>8.51</v>
      </c>
      <c r="G16" s="121">
        <v>7.8090000000000002</v>
      </c>
      <c r="H16" s="117">
        <v>219.767</v>
      </c>
      <c r="I16" s="117">
        <v>190.40199999999999</v>
      </c>
      <c r="J16" s="117">
        <v>14.006</v>
      </c>
      <c r="K16" s="117">
        <v>11.468</v>
      </c>
      <c r="L16" s="117">
        <v>143.297</v>
      </c>
      <c r="M16" s="195"/>
      <c r="N16" s="195"/>
      <c r="O16" s="195"/>
      <c r="P16" s="195"/>
      <c r="Q16" s="195"/>
    </row>
    <row r="17" spans="1:17" x14ac:dyDescent="0.2">
      <c r="A17" s="14" t="s">
        <v>5</v>
      </c>
      <c r="B17" s="117">
        <v>2.8230000000000002E-2</v>
      </c>
      <c r="C17" s="117">
        <v>2.2929999999999999E-2</v>
      </c>
      <c r="D17" s="117">
        <v>4.8869999999999996</v>
      </c>
      <c r="E17" s="119">
        <v>5.7765500306936777E-3</v>
      </c>
      <c r="F17" s="123">
        <v>9.6200000000000001E-3</v>
      </c>
      <c r="G17" s="121">
        <v>7.3200000000000001E-3</v>
      </c>
      <c r="H17" s="117">
        <v>0.124</v>
      </c>
      <c r="I17" s="117">
        <v>0.1</v>
      </c>
      <c r="J17" s="117">
        <v>1.2619999999999999E-2</v>
      </c>
      <c r="K17" s="117">
        <v>9.7199999999999995E-3</v>
      </c>
      <c r="L17" s="117">
        <v>0.12281</v>
      </c>
      <c r="M17" s="195"/>
      <c r="N17" s="195"/>
      <c r="O17" s="195"/>
      <c r="P17" s="195"/>
      <c r="Q17" s="195"/>
    </row>
    <row r="18" spans="1:17" x14ac:dyDescent="0.2">
      <c r="A18" s="14" t="s">
        <v>20</v>
      </c>
      <c r="B18" s="117">
        <v>3.1160000000000001</v>
      </c>
      <c r="C18" s="117">
        <v>2.0779999999999998</v>
      </c>
      <c r="D18" s="117">
        <v>6.4249999999999998</v>
      </c>
      <c r="E18" s="119">
        <v>0.48498054474708174</v>
      </c>
      <c r="F18" s="123">
        <v>1.292</v>
      </c>
      <c r="G18" s="121">
        <v>0.45900000000000002</v>
      </c>
      <c r="H18" s="117">
        <v>14.507999999999999</v>
      </c>
      <c r="I18" s="117">
        <v>11.673999999999999</v>
      </c>
      <c r="J18" s="117">
        <v>1.208</v>
      </c>
      <c r="K18" s="117">
        <v>0.65300000000000002</v>
      </c>
      <c r="L18" s="117">
        <v>11.47</v>
      </c>
      <c r="M18" s="195"/>
      <c r="N18" s="195"/>
      <c r="O18" s="195"/>
      <c r="P18" s="195"/>
      <c r="Q18" s="195"/>
    </row>
    <row r="19" spans="1:17" x14ac:dyDescent="0.2">
      <c r="A19" s="14" t="s">
        <v>18</v>
      </c>
      <c r="B19" s="117">
        <v>1.107</v>
      </c>
      <c r="C19" s="117">
        <v>1.1060000000000001</v>
      </c>
      <c r="D19" s="117">
        <v>4.266</v>
      </c>
      <c r="E19" s="119">
        <v>0.25949367088607594</v>
      </c>
      <c r="F19" s="123">
        <v>0.59</v>
      </c>
      <c r="G19" s="121">
        <v>0.54800000000000004</v>
      </c>
      <c r="H19" s="117">
        <v>9.5370000000000008</v>
      </c>
      <c r="I19" s="117">
        <v>9.5250000000000004</v>
      </c>
      <c r="J19" s="117">
        <v>1.19</v>
      </c>
      <c r="K19" s="117">
        <v>1.0960000000000001</v>
      </c>
      <c r="L19" s="117">
        <v>5.0179999999999998</v>
      </c>
      <c r="M19" s="195"/>
      <c r="N19" s="195"/>
      <c r="O19" s="195"/>
      <c r="P19" s="195"/>
      <c r="Q19" s="195"/>
    </row>
    <row r="20" spans="1:17" x14ac:dyDescent="0.2">
      <c r="A20" s="14" t="s">
        <v>19</v>
      </c>
      <c r="B20" s="117">
        <v>0.34499999999999997</v>
      </c>
      <c r="C20" s="117">
        <v>0.34499999999999997</v>
      </c>
      <c r="D20" s="117">
        <v>2.1975799999999999</v>
      </c>
      <c r="E20" s="119">
        <v>0.15699087177713666</v>
      </c>
      <c r="F20" s="123">
        <v>0.12</v>
      </c>
      <c r="G20" s="121">
        <v>0.12</v>
      </c>
      <c r="H20" s="117">
        <v>2.2749999999999999</v>
      </c>
      <c r="I20" s="117">
        <v>2.2749999999999999</v>
      </c>
      <c r="J20" s="117">
        <v>0.20399999999999999</v>
      </c>
      <c r="K20" s="117">
        <v>0.20399999999999999</v>
      </c>
      <c r="L20" s="117">
        <v>0.92900000000000005</v>
      </c>
      <c r="M20" s="195"/>
      <c r="N20" s="195"/>
      <c r="O20" s="195"/>
      <c r="P20" s="195"/>
      <c r="Q20" s="195"/>
    </row>
    <row r="21" spans="1:17" ht="13.5" x14ac:dyDescent="0.2">
      <c r="A21" s="14" t="s">
        <v>120</v>
      </c>
      <c r="B21" s="117">
        <v>4.82</v>
      </c>
      <c r="C21" s="117">
        <v>3.9340000000000002</v>
      </c>
      <c r="D21" s="117">
        <v>31.902000000000001</v>
      </c>
      <c r="E21" s="119">
        <v>0.15108770609993105</v>
      </c>
      <c r="F21" s="123">
        <v>1.474</v>
      </c>
      <c r="G21" s="121">
        <v>1.1859999999999999</v>
      </c>
      <c r="H21" s="117">
        <v>24.652999999999999</v>
      </c>
      <c r="I21" s="117">
        <v>20.280999999999999</v>
      </c>
      <c r="J21" s="117">
        <v>2.819</v>
      </c>
      <c r="K21" s="117">
        <v>1.819</v>
      </c>
      <c r="L21" s="117">
        <v>7.6950000000000003</v>
      </c>
      <c r="M21" s="195"/>
      <c r="N21" s="195"/>
      <c r="O21" s="195"/>
      <c r="P21" s="195"/>
      <c r="Q21" s="195"/>
    </row>
    <row r="22" spans="1:17" x14ac:dyDescent="0.2">
      <c r="A22" s="14" t="s">
        <v>21</v>
      </c>
      <c r="B22" s="117">
        <v>0.24199999999999999</v>
      </c>
      <c r="C22" s="117">
        <v>5.4400000000000004E-3</v>
      </c>
      <c r="D22" s="117">
        <v>0.85599999999999998</v>
      </c>
      <c r="E22" s="119">
        <v>0.28271028037383178</v>
      </c>
      <c r="F22" s="123">
        <v>0.1388896</v>
      </c>
      <c r="G22" s="121">
        <v>1.1590000000000001E-3</v>
      </c>
      <c r="H22" s="117">
        <v>8.9029999999999998E-2</v>
      </c>
      <c r="I22" s="117">
        <v>2.3650000000000001E-2</v>
      </c>
      <c r="J22" s="117">
        <v>1.5313E-2</v>
      </c>
      <c r="K22" s="117">
        <v>1.407E-3</v>
      </c>
      <c r="L22" s="117">
        <v>0.10199999999999999</v>
      </c>
      <c r="M22" s="195"/>
      <c r="N22" s="195"/>
      <c r="O22" s="195"/>
      <c r="P22" s="195"/>
      <c r="Q22" s="195"/>
    </row>
    <row r="23" spans="1:17" x14ac:dyDescent="0.2">
      <c r="A23" s="14" t="s">
        <v>22</v>
      </c>
      <c r="B23" s="117">
        <v>30.776</v>
      </c>
      <c r="C23" s="117">
        <v>29.52</v>
      </c>
      <c r="D23" s="117">
        <v>115.17</v>
      </c>
      <c r="E23" s="119">
        <v>0.26722236693583395</v>
      </c>
      <c r="F23" s="123">
        <v>9.08</v>
      </c>
      <c r="G23" s="121">
        <v>8.73</v>
      </c>
      <c r="H23" s="117">
        <v>174.26300000000001</v>
      </c>
      <c r="I23" s="117">
        <v>161.59200000000001</v>
      </c>
      <c r="J23" s="117">
        <v>15.981</v>
      </c>
      <c r="K23" s="117">
        <v>14.725</v>
      </c>
      <c r="L23" s="117">
        <v>109.599</v>
      </c>
      <c r="M23" s="195"/>
      <c r="N23" s="195"/>
      <c r="O23" s="195"/>
      <c r="P23" s="195"/>
      <c r="Q23" s="195"/>
    </row>
    <row r="24" spans="1:17" x14ac:dyDescent="0.2">
      <c r="A24" s="14" t="s">
        <v>2</v>
      </c>
      <c r="B24" s="117">
        <v>10.901999999999999</v>
      </c>
      <c r="C24" s="117">
        <v>10.901999999999999</v>
      </c>
      <c r="D24" s="117">
        <v>68.350999999999999</v>
      </c>
      <c r="E24" s="119">
        <v>0.15950022677063977</v>
      </c>
      <c r="F24" s="123">
        <v>3.4279999999999999</v>
      </c>
      <c r="G24" s="121">
        <v>3.4279999999999999</v>
      </c>
      <c r="H24" s="117">
        <v>114.94</v>
      </c>
      <c r="I24" s="117">
        <v>114.94</v>
      </c>
      <c r="J24" s="117">
        <v>8.8510000000000009</v>
      </c>
      <c r="K24" s="117">
        <v>8.8510000000000009</v>
      </c>
      <c r="L24" s="117">
        <v>14.279</v>
      </c>
      <c r="M24" s="195"/>
      <c r="N24" s="195"/>
      <c r="O24" s="195"/>
      <c r="P24" s="195"/>
      <c r="Q24" s="195"/>
    </row>
    <row r="25" spans="1:17" x14ac:dyDescent="0.2">
      <c r="A25" s="14" t="s">
        <v>24</v>
      </c>
      <c r="B25" s="117">
        <v>27.599</v>
      </c>
      <c r="C25" s="117">
        <v>27.062000000000001</v>
      </c>
      <c r="D25" s="117">
        <v>166.63499999999999</v>
      </c>
      <c r="E25" s="119">
        <v>0.16562546883907944</v>
      </c>
      <c r="F25" s="123">
        <v>8.7170000000000005</v>
      </c>
      <c r="G25" s="121">
        <v>8.3819999999999997</v>
      </c>
      <c r="H25" s="117">
        <v>246.47300000000001</v>
      </c>
      <c r="I25" s="117">
        <v>232.15299999999999</v>
      </c>
      <c r="J25" s="117">
        <v>23.779</v>
      </c>
      <c r="K25" s="117">
        <v>21.635000000000002</v>
      </c>
      <c r="L25" s="117">
        <v>109.495</v>
      </c>
      <c r="M25" s="195"/>
      <c r="N25" s="195"/>
      <c r="O25" s="195"/>
      <c r="P25" s="195"/>
      <c r="Q25" s="195"/>
    </row>
    <row r="26" spans="1:17" x14ac:dyDescent="0.2">
      <c r="A26" s="14" t="s">
        <v>25</v>
      </c>
      <c r="B26" s="117">
        <v>6.2489999999999997</v>
      </c>
      <c r="C26" s="117">
        <v>5.01</v>
      </c>
      <c r="D26" s="117">
        <v>60.28</v>
      </c>
      <c r="E26" s="119">
        <v>0.10366622428666224</v>
      </c>
      <c r="F26" s="123">
        <v>1.1890000000000001</v>
      </c>
      <c r="G26" s="121">
        <v>0.85899999999999999</v>
      </c>
      <c r="H26" s="117">
        <v>61.689</v>
      </c>
      <c r="I26" s="117">
        <v>50.804000000000002</v>
      </c>
      <c r="J26" s="117">
        <v>3.7639999999999998</v>
      </c>
      <c r="K26" s="117">
        <v>2.6579999999999999</v>
      </c>
      <c r="L26" s="117">
        <v>15.522</v>
      </c>
      <c r="M26" s="195"/>
      <c r="N26" s="195"/>
      <c r="O26" s="195"/>
      <c r="P26" s="195"/>
      <c r="Q26" s="195"/>
    </row>
    <row r="27" spans="1:17" x14ac:dyDescent="0.2">
      <c r="A27" s="14" t="s">
        <v>26</v>
      </c>
      <c r="B27" s="117">
        <v>5.2880000000000003</v>
      </c>
      <c r="C27" s="117">
        <v>2.9409999999999998</v>
      </c>
      <c r="D27" s="117">
        <v>65.102999999999994</v>
      </c>
      <c r="E27" s="119">
        <v>8.1225135554429145E-2</v>
      </c>
      <c r="F27" s="123">
        <v>1.853</v>
      </c>
      <c r="G27" s="121">
        <v>0.84199999999999997</v>
      </c>
      <c r="H27" s="117">
        <v>45.883000000000003</v>
      </c>
      <c r="I27" s="117">
        <v>17.475999999999999</v>
      </c>
      <c r="J27" s="117">
        <v>6.2759999999999998</v>
      </c>
      <c r="K27" s="117">
        <v>2.08</v>
      </c>
      <c r="L27" s="117">
        <v>11.27</v>
      </c>
      <c r="M27" s="195"/>
      <c r="N27" s="195"/>
      <c r="O27" s="195"/>
      <c r="P27" s="195"/>
      <c r="Q27" s="195"/>
    </row>
    <row r="28" spans="1:17" x14ac:dyDescent="0.2">
      <c r="A28" s="14" t="s">
        <v>28</v>
      </c>
      <c r="B28" s="117">
        <v>1.2110000000000001</v>
      </c>
      <c r="C28" s="117">
        <v>0.98675000000000002</v>
      </c>
      <c r="D28" s="117">
        <v>16.5</v>
      </c>
      <c r="E28" s="119">
        <v>7.33939393939394E-2</v>
      </c>
      <c r="F28" s="123">
        <v>0.35099999999999998</v>
      </c>
      <c r="G28" s="121">
        <v>0.246556</v>
      </c>
      <c r="H28" s="117">
        <v>10.762888999999999</v>
      </c>
      <c r="I28" s="117">
        <v>7.8636685999999996</v>
      </c>
      <c r="J28" s="117">
        <v>0.80869199999999997</v>
      </c>
      <c r="K28" s="117">
        <v>0.54848300000000005</v>
      </c>
      <c r="L28" s="117">
        <v>5.87</v>
      </c>
      <c r="M28" s="195"/>
      <c r="N28" s="195"/>
      <c r="O28" s="195"/>
      <c r="P28" s="195"/>
      <c r="Q28" s="195"/>
    </row>
    <row r="29" spans="1:17" x14ac:dyDescent="0.2">
      <c r="A29" s="14" t="s">
        <v>55</v>
      </c>
      <c r="B29" s="117">
        <v>3.0129999999999999</v>
      </c>
      <c r="C29" s="117">
        <v>2.64</v>
      </c>
      <c r="D29" s="117">
        <v>27.064</v>
      </c>
      <c r="E29" s="119">
        <v>0.11132870233520543</v>
      </c>
      <c r="F29" s="123">
        <v>0.999</v>
      </c>
      <c r="G29" s="121">
        <v>0.73199999999999998</v>
      </c>
      <c r="H29" s="117">
        <v>34.415999999999997</v>
      </c>
      <c r="I29" s="117">
        <v>27.934000000000001</v>
      </c>
      <c r="J29" s="117">
        <v>4.0209999999999999</v>
      </c>
      <c r="K29" s="117">
        <v>2.7010000000000001</v>
      </c>
      <c r="L29" s="117">
        <v>12.525</v>
      </c>
      <c r="M29" s="195"/>
      <c r="N29" s="195"/>
      <c r="O29" s="195"/>
      <c r="P29" s="195"/>
      <c r="Q29" s="195"/>
    </row>
    <row r="30" spans="1:17" x14ac:dyDescent="0.2">
      <c r="A30" s="14" t="s">
        <v>12</v>
      </c>
      <c r="B30" s="144">
        <v>21.831</v>
      </c>
      <c r="C30" s="144">
        <v>21.556999999999999</v>
      </c>
      <c r="D30" s="144">
        <v>68.751999999999995</v>
      </c>
      <c r="E30" s="146">
        <v>0.31753258087037467</v>
      </c>
      <c r="F30" s="150">
        <v>5.8609999999999998</v>
      </c>
      <c r="G30" s="148">
        <v>5.5339999999999998</v>
      </c>
      <c r="H30" s="144">
        <v>241.63399999999999</v>
      </c>
      <c r="I30" s="144">
        <v>236.786</v>
      </c>
      <c r="J30" s="144">
        <v>14.585000000000001</v>
      </c>
      <c r="K30" s="144">
        <v>13.853</v>
      </c>
      <c r="L30" s="144">
        <v>145.16999999999999</v>
      </c>
      <c r="M30" s="195"/>
      <c r="N30" s="195"/>
      <c r="O30" s="195"/>
      <c r="P30" s="195"/>
      <c r="Q30" s="195"/>
    </row>
    <row r="31" spans="1:17" x14ac:dyDescent="0.2">
      <c r="A31" s="14" t="s">
        <v>27</v>
      </c>
      <c r="B31" s="121">
        <v>9.2089999999999996</v>
      </c>
      <c r="C31" s="117">
        <v>9.1059999999999999</v>
      </c>
      <c r="D31" s="117">
        <v>156.01</v>
      </c>
      <c r="E31" s="119">
        <v>5.9028267418755206E-2</v>
      </c>
      <c r="F31" s="123">
        <v>3.887</v>
      </c>
      <c r="G31" s="121">
        <v>3.8370000000000002</v>
      </c>
      <c r="H31" s="121">
        <v>91.072999999999993</v>
      </c>
      <c r="I31" s="196">
        <v>86.820999999999998</v>
      </c>
      <c r="J31" s="121">
        <v>8.4209999999999994</v>
      </c>
      <c r="K31" s="121">
        <v>8.0779999999999994</v>
      </c>
      <c r="L31" s="117">
        <v>75.855000000000004</v>
      </c>
      <c r="M31" s="195"/>
      <c r="N31" s="195"/>
      <c r="O31" s="195"/>
      <c r="P31" s="195"/>
      <c r="Q31" s="195"/>
    </row>
    <row r="32" spans="1:17" x14ac:dyDescent="0.2">
      <c r="A32" s="15" t="s">
        <v>29</v>
      </c>
      <c r="B32" s="128">
        <v>19.797000000000001</v>
      </c>
      <c r="C32" s="127">
        <v>19.045000000000002</v>
      </c>
      <c r="D32" s="127">
        <v>339.399</v>
      </c>
      <c r="E32" s="125">
        <v>5.8329576692918952E-2</v>
      </c>
      <c r="F32" s="151">
        <v>4.5650000000000004</v>
      </c>
      <c r="G32" s="128">
        <v>4.4210000000000003</v>
      </c>
      <c r="H32" s="128">
        <v>129.77500000000001</v>
      </c>
      <c r="I32" s="197">
        <v>118.42400000000001</v>
      </c>
      <c r="J32" s="128">
        <v>7.1159999999999997</v>
      </c>
      <c r="K32" s="128">
        <v>6.7169999999999996</v>
      </c>
      <c r="L32" s="127">
        <v>56.168999999999997</v>
      </c>
      <c r="M32" s="195"/>
      <c r="N32" s="195"/>
      <c r="O32" s="195"/>
      <c r="P32" s="195"/>
      <c r="Q32" s="195"/>
    </row>
    <row r="33" spans="1:17" ht="13.5" x14ac:dyDescent="0.2">
      <c r="A33" s="16" t="s">
        <v>121</v>
      </c>
      <c r="B33" s="152">
        <v>3.024</v>
      </c>
      <c r="C33" s="152">
        <v>3.024</v>
      </c>
      <c r="D33" s="152">
        <v>149.63300000000001</v>
      </c>
      <c r="E33" s="154">
        <v>2.0209445777335213E-2</v>
      </c>
      <c r="F33" s="158">
        <v>0.61099999999999999</v>
      </c>
      <c r="G33" s="156">
        <v>0.61099999999999999</v>
      </c>
      <c r="H33" s="152">
        <v>6.1639999999999997</v>
      </c>
      <c r="I33" s="152">
        <v>6.1639999999999997</v>
      </c>
      <c r="J33" s="152">
        <v>0.48</v>
      </c>
      <c r="K33" s="152">
        <v>0.48</v>
      </c>
      <c r="L33" s="152" t="s">
        <v>1</v>
      </c>
      <c r="M33" s="195"/>
      <c r="N33" s="195"/>
      <c r="O33" s="195"/>
      <c r="P33" s="195"/>
      <c r="Q33" s="195"/>
    </row>
    <row r="34" spans="1:17" x14ac:dyDescent="0.2">
      <c r="A34" s="182"/>
      <c r="M34" s="195"/>
      <c r="N34" s="195"/>
      <c r="O34" s="195"/>
      <c r="P34" s="195"/>
      <c r="Q34" s="195"/>
    </row>
    <row r="35" spans="1:17" s="182" customFormat="1" ht="13.5" x14ac:dyDescent="0.2">
      <c r="A35" s="25" t="s">
        <v>122</v>
      </c>
      <c r="B35" s="183"/>
      <c r="D35" s="25" t="s">
        <v>123</v>
      </c>
      <c r="F35" s="30"/>
      <c r="G35" s="184" t="s">
        <v>124</v>
      </c>
      <c r="H35" s="185"/>
      <c r="I35" s="186"/>
      <c r="J35" s="7"/>
      <c r="L35" s="187"/>
    </row>
    <row r="38" spans="1:17" ht="52.5" customHeight="1" x14ac:dyDescent="0.2">
      <c r="A38" s="56">
        <v>2016</v>
      </c>
      <c r="B38" s="190" t="s">
        <v>57</v>
      </c>
      <c r="C38" s="207" t="s">
        <v>117</v>
      </c>
      <c r="D38" s="57" t="s">
        <v>58</v>
      </c>
      <c r="E38" s="57" t="s">
        <v>59</v>
      </c>
      <c r="F38" s="57" t="s">
        <v>60</v>
      </c>
      <c r="G38" s="57" t="s">
        <v>61</v>
      </c>
      <c r="H38" s="57" t="s">
        <v>62</v>
      </c>
    </row>
    <row r="39" spans="1:17" ht="13.5" x14ac:dyDescent="0.2">
      <c r="A39" s="20" t="s">
        <v>82</v>
      </c>
      <c r="B39" s="206">
        <v>5110.1898139999994</v>
      </c>
      <c r="C39" s="206">
        <v>4093.7727599999998</v>
      </c>
      <c r="D39" s="203" t="s">
        <v>1</v>
      </c>
      <c r="E39" s="204" t="s">
        <v>1</v>
      </c>
      <c r="F39" s="204" t="s">
        <v>1</v>
      </c>
      <c r="G39" s="204" t="s">
        <v>1</v>
      </c>
      <c r="H39" s="204" t="s">
        <v>1</v>
      </c>
    </row>
    <row r="40" spans="1:17" x14ac:dyDescent="0.2">
      <c r="A40" s="13" t="s">
        <v>3</v>
      </c>
      <c r="B40" s="104">
        <v>167.66399999999999</v>
      </c>
      <c r="C40" s="104">
        <v>139.066</v>
      </c>
      <c r="D40" s="191">
        <v>1.2E-2</v>
      </c>
      <c r="E40" s="192">
        <v>1.4E-2</v>
      </c>
      <c r="F40" s="192">
        <v>0.59299999999999997</v>
      </c>
      <c r="G40" s="192">
        <v>0.16200000000000001</v>
      </c>
      <c r="H40" s="192">
        <v>0.219</v>
      </c>
    </row>
    <row r="41" spans="1:17" x14ac:dyDescent="0.2">
      <c r="A41" s="14" t="s">
        <v>4</v>
      </c>
      <c r="B41" s="82">
        <v>64.718999999999994</v>
      </c>
      <c r="C41" s="82">
        <v>55.093000000000004</v>
      </c>
      <c r="D41" s="69">
        <v>0.42299999999999999</v>
      </c>
      <c r="E41" s="33">
        <v>1.4999999999999999E-2</v>
      </c>
      <c r="F41" s="33">
        <v>0.39100000000000001</v>
      </c>
      <c r="G41" s="33">
        <v>5.2999999999999999E-2</v>
      </c>
      <c r="H41" s="33">
        <v>0.11899999999999999</v>
      </c>
    </row>
    <row r="42" spans="1:17" x14ac:dyDescent="0.2">
      <c r="A42" s="14" t="s">
        <v>6</v>
      </c>
      <c r="B42" s="82">
        <v>165.75700000000001</v>
      </c>
      <c r="C42" s="82">
        <v>136.25</v>
      </c>
      <c r="D42" s="205">
        <v>0.68100000000000005</v>
      </c>
      <c r="E42" s="33">
        <v>7.0000000000000001E-3</v>
      </c>
      <c r="F42" s="33">
        <v>0.13</v>
      </c>
      <c r="G42" s="33">
        <v>0.16</v>
      </c>
      <c r="H42" s="33">
        <v>2.3E-2</v>
      </c>
    </row>
    <row r="43" spans="1:17" x14ac:dyDescent="0.2">
      <c r="A43" s="14" t="s">
        <v>8</v>
      </c>
      <c r="B43" s="82">
        <v>155.03800000000001</v>
      </c>
      <c r="C43" s="82">
        <v>154.96899999999999</v>
      </c>
      <c r="D43" s="69">
        <v>0.29599999999999999</v>
      </c>
      <c r="E43" s="33">
        <v>2.4E-2</v>
      </c>
      <c r="F43" s="33">
        <v>0.14899999999999999</v>
      </c>
      <c r="G43" s="33">
        <v>0.432</v>
      </c>
      <c r="H43" s="33">
        <v>0.1</v>
      </c>
    </row>
    <row r="44" spans="1:17" x14ac:dyDescent="0.2">
      <c r="A44" s="14" t="s">
        <v>7</v>
      </c>
      <c r="B44" s="82">
        <v>1351.519</v>
      </c>
      <c r="C44" s="82">
        <v>785.04849999999999</v>
      </c>
      <c r="D44" s="69">
        <v>0.13500000000000001</v>
      </c>
      <c r="E44" s="33">
        <v>4.2999999999999997E-2</v>
      </c>
      <c r="F44" s="33">
        <v>0.45600000000000002</v>
      </c>
      <c r="G44" s="33">
        <v>0.23300000000000001</v>
      </c>
      <c r="H44" s="33">
        <v>0.13300000000000001</v>
      </c>
    </row>
    <row r="45" spans="1:17" ht="13.5" x14ac:dyDescent="0.2">
      <c r="A45" s="14" t="s">
        <v>119</v>
      </c>
      <c r="B45" s="82">
        <v>7.6509999999999998</v>
      </c>
      <c r="C45" s="82">
        <v>7.6509999999999998</v>
      </c>
      <c r="D45" s="69">
        <v>0.11600000000000001</v>
      </c>
      <c r="E45" s="33">
        <v>0.245</v>
      </c>
      <c r="F45" s="33">
        <v>1E-3</v>
      </c>
      <c r="G45" s="33">
        <v>0.61199999999999999</v>
      </c>
      <c r="H45" s="33">
        <v>2.5999999999999999E-2</v>
      </c>
    </row>
    <row r="46" spans="1:17" x14ac:dyDescent="0.2">
      <c r="A46" s="14" t="s">
        <v>16</v>
      </c>
      <c r="B46" s="82">
        <v>23.821999999999999</v>
      </c>
      <c r="C46" s="82">
        <v>22.111000000000001</v>
      </c>
      <c r="D46" s="205">
        <v>3.5999999999999997E-2</v>
      </c>
      <c r="E46" s="33">
        <v>1.2999999999999999E-2</v>
      </c>
      <c r="F46" s="33">
        <v>0.92100000000000004</v>
      </c>
      <c r="G46" s="33">
        <v>2.9000000000000001E-2</v>
      </c>
      <c r="H46" s="33">
        <v>1E-3</v>
      </c>
    </row>
    <row r="47" spans="1:17" ht="13.5" x14ac:dyDescent="0.2">
      <c r="A47" s="14" t="s">
        <v>90</v>
      </c>
      <c r="B47" s="82">
        <v>26.747</v>
      </c>
      <c r="C47" s="82">
        <v>0.125</v>
      </c>
      <c r="D47" s="69">
        <v>0.13500000000000001</v>
      </c>
      <c r="E47" s="33">
        <v>0.307</v>
      </c>
      <c r="F47" s="33">
        <v>0.29599999999999999</v>
      </c>
      <c r="G47" s="33">
        <v>0.14000000000000001</v>
      </c>
      <c r="H47" s="33">
        <v>0.122</v>
      </c>
    </row>
    <row r="48" spans="1:17" x14ac:dyDescent="0.2">
      <c r="A48" s="14" t="s">
        <v>11</v>
      </c>
      <c r="B48" s="82">
        <v>302.48099999999999</v>
      </c>
      <c r="C48" s="82">
        <v>300.60399999999998</v>
      </c>
      <c r="D48" s="69">
        <v>2.3E-2</v>
      </c>
      <c r="E48" s="33">
        <v>8.3000000000000004E-2</v>
      </c>
      <c r="F48" s="33">
        <v>0.79200000000000004</v>
      </c>
      <c r="G48" s="33">
        <v>1.7000000000000001E-2</v>
      </c>
      <c r="H48" s="33">
        <v>8.5999999999999993E-2</v>
      </c>
    </row>
    <row r="49" spans="1:8" x14ac:dyDescent="0.2">
      <c r="A49" s="14" t="s">
        <v>13</v>
      </c>
      <c r="B49" s="82">
        <v>260.01499999999999</v>
      </c>
      <c r="C49" s="82">
        <v>173.107</v>
      </c>
      <c r="D49" s="69">
        <v>4.7E-2</v>
      </c>
      <c r="E49" s="33">
        <v>4.8000000000000001E-2</v>
      </c>
      <c r="F49" s="33">
        <v>0.503</v>
      </c>
      <c r="G49" s="33">
        <v>0.27700000000000002</v>
      </c>
      <c r="H49" s="33">
        <v>0.125</v>
      </c>
    </row>
    <row r="50" spans="1:8" x14ac:dyDescent="0.2">
      <c r="A50" s="14" t="s">
        <v>14</v>
      </c>
      <c r="B50" s="82">
        <v>27.271999999999998</v>
      </c>
      <c r="C50" s="82">
        <v>13.952</v>
      </c>
      <c r="D50" s="69">
        <v>2.5000000000000001E-2</v>
      </c>
      <c r="E50" s="33">
        <v>0.107</v>
      </c>
      <c r="F50" s="33">
        <v>0.78</v>
      </c>
      <c r="G50" s="33">
        <v>8.7999999999999995E-2</v>
      </c>
      <c r="H50" s="33">
        <v>0</v>
      </c>
    </row>
    <row r="51" spans="1:8" x14ac:dyDescent="0.2">
      <c r="A51" s="14" t="s">
        <v>17</v>
      </c>
      <c r="B51" s="82">
        <v>451.70800000000003</v>
      </c>
      <c r="C51" s="82">
        <v>387.88299999999998</v>
      </c>
      <c r="D51" s="69">
        <v>3.2000000000000001E-2</v>
      </c>
      <c r="E51" s="33">
        <v>8.6999999999999994E-2</v>
      </c>
      <c r="F51" s="33">
        <v>0.65200000000000002</v>
      </c>
      <c r="G51" s="33">
        <v>0.156</v>
      </c>
      <c r="H51" s="33">
        <v>7.2999999999999995E-2</v>
      </c>
    </row>
    <row r="52" spans="1:8" x14ac:dyDescent="0.2">
      <c r="A52" s="14" t="s">
        <v>5</v>
      </c>
      <c r="B52" s="82">
        <v>0.30099999999999999</v>
      </c>
      <c r="C52" s="82">
        <v>0.24356</v>
      </c>
      <c r="D52" s="69">
        <v>0</v>
      </c>
      <c r="E52" s="33">
        <v>7.0000000000000007E-2</v>
      </c>
      <c r="F52" s="33">
        <v>0</v>
      </c>
      <c r="G52" s="33">
        <v>0.93</v>
      </c>
      <c r="H52" s="33">
        <v>0</v>
      </c>
    </row>
    <row r="53" spans="1:8" x14ac:dyDescent="0.2">
      <c r="A53" s="14" t="s">
        <v>20</v>
      </c>
      <c r="B53" s="82">
        <v>31.558</v>
      </c>
      <c r="C53" s="82">
        <v>23.34</v>
      </c>
      <c r="D53" s="69">
        <v>2E-3</v>
      </c>
      <c r="E53" s="33">
        <v>0</v>
      </c>
      <c r="F53" s="33">
        <v>0.628</v>
      </c>
      <c r="G53" s="33">
        <v>0.37</v>
      </c>
      <c r="H53" s="33">
        <v>0</v>
      </c>
    </row>
    <row r="54" spans="1:8" x14ac:dyDescent="0.2">
      <c r="A54" s="14" t="s">
        <v>18</v>
      </c>
      <c r="B54" s="82">
        <v>15.994999999999999</v>
      </c>
      <c r="C54" s="82">
        <v>15.974</v>
      </c>
      <c r="D54" s="69">
        <v>0</v>
      </c>
      <c r="E54" s="33">
        <v>0.128</v>
      </c>
      <c r="F54" s="33">
        <v>0.35499999999999998</v>
      </c>
      <c r="G54" s="33">
        <v>0.40400000000000003</v>
      </c>
      <c r="H54" s="33">
        <v>0.112</v>
      </c>
    </row>
    <row r="55" spans="1:8" x14ac:dyDescent="0.2">
      <c r="A55" s="14" t="s">
        <v>19</v>
      </c>
      <c r="B55" s="82">
        <v>4.2640000000000002</v>
      </c>
      <c r="C55" s="82">
        <v>4.2640000000000002</v>
      </c>
      <c r="D55" s="69">
        <v>0</v>
      </c>
      <c r="E55" s="33">
        <v>0</v>
      </c>
      <c r="F55" s="33">
        <v>0.74099999999999999</v>
      </c>
      <c r="G55" s="33">
        <v>0.254</v>
      </c>
      <c r="H55" s="33">
        <v>5.0000000000000001E-3</v>
      </c>
    </row>
    <row r="56" spans="1:8" ht="13.5" x14ac:dyDescent="0.2">
      <c r="A56" s="14" t="s">
        <v>120</v>
      </c>
      <c r="B56" s="82">
        <v>58.393999999999998</v>
      </c>
      <c r="C56" s="82">
        <v>44.957999999999998</v>
      </c>
      <c r="D56" s="69">
        <v>0.10100000000000001</v>
      </c>
      <c r="E56" s="33">
        <v>1E-3</v>
      </c>
      <c r="F56" s="33">
        <v>0.63</v>
      </c>
      <c r="G56" s="33">
        <v>0.215</v>
      </c>
      <c r="H56" s="33">
        <v>5.2999999999999999E-2</v>
      </c>
    </row>
    <row r="57" spans="1:8" x14ac:dyDescent="0.2">
      <c r="A57" s="14" t="s">
        <v>21</v>
      </c>
      <c r="B57" s="82">
        <v>1.9810000000000001</v>
      </c>
      <c r="C57" s="82">
        <v>5.3699999999999998E-2</v>
      </c>
      <c r="D57" s="69">
        <v>0</v>
      </c>
      <c r="E57" s="33">
        <v>0</v>
      </c>
      <c r="F57" s="33">
        <v>0</v>
      </c>
      <c r="G57" s="33">
        <v>3.3000000000000002E-2</v>
      </c>
      <c r="H57" s="33">
        <v>0.96699999999999997</v>
      </c>
    </row>
    <row r="58" spans="1:8" x14ac:dyDescent="0.2">
      <c r="A58" s="14" t="s">
        <v>22</v>
      </c>
      <c r="B58" s="82">
        <v>338.80799999999999</v>
      </c>
      <c r="C58" s="82">
        <v>316.41300000000001</v>
      </c>
      <c r="D58" s="69">
        <v>3.7999999999999999E-2</v>
      </c>
      <c r="E58" s="33">
        <v>3.7999999999999999E-2</v>
      </c>
      <c r="F58" s="33">
        <v>0.81</v>
      </c>
      <c r="G58" s="33">
        <v>5.8000000000000003E-2</v>
      </c>
      <c r="H58" s="33">
        <v>5.5E-2</v>
      </c>
    </row>
    <row r="59" spans="1:8" x14ac:dyDescent="0.2">
      <c r="A59" s="14" t="s">
        <v>2</v>
      </c>
      <c r="B59" s="82">
        <v>184.517</v>
      </c>
      <c r="C59" s="82">
        <v>184.517</v>
      </c>
      <c r="D59" s="69">
        <v>7.8E-2</v>
      </c>
      <c r="E59" s="33">
        <v>9.6000000000000002E-2</v>
      </c>
      <c r="F59" s="33">
        <v>0.376</v>
      </c>
      <c r="G59" s="33">
        <v>0.38100000000000001</v>
      </c>
      <c r="H59" s="33">
        <v>7.0000000000000007E-2</v>
      </c>
    </row>
    <row r="60" spans="1:8" x14ac:dyDescent="0.2">
      <c r="A60" s="14" t="s">
        <v>24</v>
      </c>
      <c r="B60" s="82">
        <v>421.238</v>
      </c>
      <c r="C60" s="82">
        <v>400.87400000000002</v>
      </c>
      <c r="D60" s="69">
        <v>0.70799999999999996</v>
      </c>
      <c r="E60" s="33">
        <v>7.4999999999999997E-2</v>
      </c>
      <c r="F60" s="33">
        <v>0.10100000000000001</v>
      </c>
      <c r="G60" s="33">
        <v>0.106</v>
      </c>
      <c r="H60" s="33">
        <v>0.01</v>
      </c>
    </row>
    <row r="61" spans="1:8" x14ac:dyDescent="0.2">
      <c r="A61" s="14" t="s">
        <v>25</v>
      </c>
      <c r="B61" s="82">
        <v>108.297</v>
      </c>
      <c r="C61" s="82">
        <v>80.341999999999999</v>
      </c>
      <c r="D61" s="69">
        <v>0</v>
      </c>
      <c r="E61" s="33">
        <v>7.9000000000000001E-2</v>
      </c>
      <c r="F61" s="33">
        <v>0.45600000000000002</v>
      </c>
      <c r="G61" s="33">
        <v>0.46</v>
      </c>
      <c r="H61" s="33">
        <v>6.0000000000000001E-3</v>
      </c>
    </row>
    <row r="62" spans="1:8" x14ac:dyDescent="0.2">
      <c r="A62" s="14" t="s">
        <v>26</v>
      </c>
      <c r="B62" s="82">
        <v>82.173000000000002</v>
      </c>
      <c r="C62" s="82">
        <v>35.142000000000003</v>
      </c>
      <c r="D62" s="69">
        <v>0.28699999999999998</v>
      </c>
      <c r="E62" s="33">
        <v>4.8000000000000001E-2</v>
      </c>
      <c r="F62" s="33">
        <v>0.59799999999999998</v>
      </c>
      <c r="G62" s="33">
        <v>6.4000000000000001E-2</v>
      </c>
      <c r="H62" s="33">
        <v>4.0000000000000001E-3</v>
      </c>
    </row>
    <row r="63" spans="1:8" x14ac:dyDescent="0.2">
      <c r="A63" s="14" t="s">
        <v>28</v>
      </c>
      <c r="B63" s="82">
        <v>18.404813999999998</v>
      </c>
      <c r="C63" s="82">
        <v>13.587</v>
      </c>
      <c r="D63" s="69">
        <v>0.503</v>
      </c>
      <c r="E63" s="33">
        <v>2E-3</v>
      </c>
      <c r="F63" s="33">
        <v>0.27</v>
      </c>
      <c r="G63" s="33">
        <v>0.20599999999999999</v>
      </c>
      <c r="H63" s="33">
        <v>0.02</v>
      </c>
    </row>
    <row r="64" spans="1:8" x14ac:dyDescent="0.2">
      <c r="A64" s="14" t="s">
        <v>55</v>
      </c>
      <c r="B64" s="117">
        <v>56.45</v>
      </c>
      <c r="C64" s="117">
        <v>46.859000000000002</v>
      </c>
      <c r="D64" s="118">
        <v>0.24099999999999999</v>
      </c>
      <c r="E64" s="120">
        <v>0.127</v>
      </c>
      <c r="F64" s="120">
        <v>0.33700000000000002</v>
      </c>
      <c r="G64" s="120">
        <v>0.23899999999999999</v>
      </c>
      <c r="H64" s="120">
        <v>5.6000000000000001E-2</v>
      </c>
    </row>
    <row r="65" spans="1:12" x14ac:dyDescent="0.2">
      <c r="A65" s="14" t="s">
        <v>12</v>
      </c>
      <c r="B65" s="90">
        <v>387.96699999999998</v>
      </c>
      <c r="C65" s="90">
        <v>379.75099999999998</v>
      </c>
      <c r="D65" s="91">
        <v>0.251</v>
      </c>
      <c r="E65" s="34">
        <v>6.0000000000000001E-3</v>
      </c>
      <c r="F65" s="34">
        <v>9.5000000000000001E-2</v>
      </c>
      <c r="G65" s="34">
        <v>0.60799999999999998</v>
      </c>
      <c r="H65" s="34">
        <v>4.1000000000000002E-2</v>
      </c>
    </row>
    <row r="66" spans="1:12" x14ac:dyDescent="0.2">
      <c r="A66" s="14" t="s">
        <v>27</v>
      </c>
      <c r="B66" s="82">
        <v>145.17099999999999</v>
      </c>
      <c r="C66" s="82">
        <v>139.26599999999999</v>
      </c>
      <c r="D66" s="69">
        <v>9.0999999999999998E-2</v>
      </c>
      <c r="E66" s="33">
        <v>6.0000000000000001E-3</v>
      </c>
      <c r="F66" s="33">
        <v>7.3999999999999996E-2</v>
      </c>
      <c r="G66" s="33">
        <v>0.58699999999999997</v>
      </c>
      <c r="H66" s="33">
        <v>0.24099999999999999</v>
      </c>
    </row>
    <row r="67" spans="1:12" x14ac:dyDescent="0.2">
      <c r="A67" s="15" t="s">
        <v>29</v>
      </c>
      <c r="B67" s="90">
        <v>250.27799999999999</v>
      </c>
      <c r="C67" s="90">
        <v>232.32900000000001</v>
      </c>
      <c r="D67" s="91">
        <v>1.6E-2</v>
      </c>
      <c r="E67" s="34">
        <v>0.14199999999999999</v>
      </c>
      <c r="F67" s="34">
        <v>0.73899999999999999</v>
      </c>
      <c r="G67" s="34">
        <v>6.6000000000000003E-2</v>
      </c>
      <c r="H67" s="34">
        <v>3.6999999999999998E-2</v>
      </c>
    </row>
    <row r="68" spans="1:12" ht="13.5" x14ac:dyDescent="0.2">
      <c r="A68" s="16" t="s">
        <v>121</v>
      </c>
      <c r="B68" s="107">
        <v>23.178000000000001</v>
      </c>
      <c r="C68" s="107">
        <v>23.178000000000001</v>
      </c>
      <c r="D68" s="110">
        <v>3.2000000000000001E-2</v>
      </c>
      <c r="E68" s="108">
        <v>0</v>
      </c>
      <c r="F68" s="108">
        <v>0.59599999999999997</v>
      </c>
      <c r="G68" s="108">
        <v>0.187</v>
      </c>
      <c r="H68" s="108">
        <v>0.186</v>
      </c>
    </row>
    <row r="69" spans="1:12" x14ac:dyDescent="0.2">
      <c r="A69" s="188"/>
    </row>
    <row r="70" spans="1:12" x14ac:dyDescent="0.2">
      <c r="A70" s="182"/>
    </row>
    <row r="71" spans="1:12" s="182" customFormat="1" ht="13.5" x14ac:dyDescent="0.2">
      <c r="A71" s="25" t="s">
        <v>122</v>
      </c>
      <c r="B71" s="183"/>
      <c r="D71" s="25" t="s">
        <v>123</v>
      </c>
      <c r="F71" s="30"/>
      <c r="G71" s="184" t="s">
        <v>124</v>
      </c>
      <c r="H71" s="185"/>
      <c r="I71" s="186"/>
      <c r="J71" s="7"/>
      <c r="L71" s="18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N70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214" width="9.140625" style="38"/>
    <col min="215" max="215" width="21.7109375" style="38" customWidth="1"/>
    <col min="216" max="216" width="9.7109375" style="38" customWidth="1"/>
    <col min="217" max="219" width="9.140625" style="38"/>
    <col min="220" max="220" width="10.7109375" style="38" customWidth="1"/>
    <col min="221" max="221" width="9.5703125" style="38" customWidth="1"/>
    <col min="222" max="470" width="9.140625" style="38"/>
    <col min="471" max="471" width="21.7109375" style="38" customWidth="1"/>
    <col min="472" max="472" width="9.7109375" style="38" customWidth="1"/>
    <col min="473" max="475" width="9.140625" style="38"/>
    <col min="476" max="476" width="10.7109375" style="38" customWidth="1"/>
    <col min="477" max="477" width="9.5703125" style="38" customWidth="1"/>
    <col min="478" max="726" width="9.140625" style="38"/>
    <col min="727" max="727" width="21.7109375" style="38" customWidth="1"/>
    <col min="728" max="728" width="9.7109375" style="38" customWidth="1"/>
    <col min="729" max="731" width="9.140625" style="38"/>
    <col min="732" max="732" width="10.7109375" style="38" customWidth="1"/>
    <col min="733" max="733" width="9.5703125" style="38" customWidth="1"/>
    <col min="734" max="982" width="9.140625" style="38"/>
    <col min="983" max="983" width="21.7109375" style="38" customWidth="1"/>
    <col min="984" max="984" width="9.7109375" style="38" customWidth="1"/>
    <col min="985" max="987" width="9.140625" style="38"/>
    <col min="988" max="988" width="10.7109375" style="38" customWidth="1"/>
    <col min="989" max="989" width="9.5703125" style="38" customWidth="1"/>
    <col min="990" max="1238" width="9.140625" style="38"/>
    <col min="1239" max="1239" width="21.7109375" style="38" customWidth="1"/>
    <col min="1240" max="1240" width="9.7109375" style="38" customWidth="1"/>
    <col min="1241" max="1243" width="9.140625" style="38"/>
    <col min="1244" max="1244" width="10.7109375" style="38" customWidth="1"/>
    <col min="1245" max="1245" width="9.5703125" style="38" customWidth="1"/>
    <col min="1246" max="1494" width="9.140625" style="38"/>
    <col min="1495" max="1495" width="21.7109375" style="38" customWidth="1"/>
    <col min="1496" max="1496" width="9.7109375" style="38" customWidth="1"/>
    <col min="1497" max="1499" width="9.140625" style="38"/>
    <col min="1500" max="1500" width="10.7109375" style="38" customWidth="1"/>
    <col min="1501" max="1501" width="9.5703125" style="38" customWidth="1"/>
    <col min="1502" max="1750" width="9.140625" style="38"/>
    <col min="1751" max="1751" width="21.7109375" style="38" customWidth="1"/>
    <col min="1752" max="1752" width="9.7109375" style="38" customWidth="1"/>
    <col min="1753" max="1755" width="9.140625" style="38"/>
    <col min="1756" max="1756" width="10.7109375" style="38" customWidth="1"/>
    <col min="1757" max="1757" width="9.5703125" style="38" customWidth="1"/>
    <col min="1758" max="2006" width="9.140625" style="38"/>
    <col min="2007" max="2007" width="21.7109375" style="38" customWidth="1"/>
    <col min="2008" max="2008" width="9.7109375" style="38" customWidth="1"/>
    <col min="2009" max="2011" width="9.140625" style="38"/>
    <col min="2012" max="2012" width="10.7109375" style="38" customWidth="1"/>
    <col min="2013" max="2013" width="9.5703125" style="38" customWidth="1"/>
    <col min="2014" max="2262" width="9.140625" style="38"/>
    <col min="2263" max="2263" width="21.7109375" style="38" customWidth="1"/>
    <col min="2264" max="2264" width="9.7109375" style="38" customWidth="1"/>
    <col min="2265" max="2267" width="9.140625" style="38"/>
    <col min="2268" max="2268" width="10.7109375" style="38" customWidth="1"/>
    <col min="2269" max="2269" width="9.5703125" style="38" customWidth="1"/>
    <col min="2270" max="2518" width="9.140625" style="38"/>
    <col min="2519" max="2519" width="21.7109375" style="38" customWidth="1"/>
    <col min="2520" max="2520" width="9.7109375" style="38" customWidth="1"/>
    <col min="2521" max="2523" width="9.140625" style="38"/>
    <col min="2524" max="2524" width="10.7109375" style="38" customWidth="1"/>
    <col min="2525" max="2525" width="9.5703125" style="38" customWidth="1"/>
    <col min="2526" max="2774" width="9.140625" style="38"/>
    <col min="2775" max="2775" width="21.7109375" style="38" customWidth="1"/>
    <col min="2776" max="2776" width="9.7109375" style="38" customWidth="1"/>
    <col min="2777" max="2779" width="9.140625" style="38"/>
    <col min="2780" max="2780" width="10.7109375" style="38" customWidth="1"/>
    <col min="2781" max="2781" width="9.5703125" style="38" customWidth="1"/>
    <col min="2782" max="3030" width="9.140625" style="38"/>
    <col min="3031" max="3031" width="21.7109375" style="38" customWidth="1"/>
    <col min="3032" max="3032" width="9.7109375" style="38" customWidth="1"/>
    <col min="3033" max="3035" width="9.140625" style="38"/>
    <col min="3036" max="3036" width="10.7109375" style="38" customWidth="1"/>
    <col min="3037" max="3037" width="9.5703125" style="38" customWidth="1"/>
    <col min="3038" max="3286" width="9.140625" style="38"/>
    <col min="3287" max="3287" width="21.7109375" style="38" customWidth="1"/>
    <col min="3288" max="3288" width="9.7109375" style="38" customWidth="1"/>
    <col min="3289" max="3291" width="9.140625" style="38"/>
    <col min="3292" max="3292" width="10.7109375" style="38" customWidth="1"/>
    <col min="3293" max="3293" width="9.5703125" style="38" customWidth="1"/>
    <col min="3294" max="3542" width="9.140625" style="38"/>
    <col min="3543" max="3543" width="21.7109375" style="38" customWidth="1"/>
    <col min="3544" max="3544" width="9.7109375" style="38" customWidth="1"/>
    <col min="3545" max="3547" width="9.140625" style="38"/>
    <col min="3548" max="3548" width="10.7109375" style="38" customWidth="1"/>
    <col min="3549" max="3549" width="9.5703125" style="38" customWidth="1"/>
    <col min="3550" max="3798" width="9.140625" style="38"/>
    <col min="3799" max="3799" width="21.7109375" style="38" customWidth="1"/>
    <col min="3800" max="3800" width="9.7109375" style="38" customWidth="1"/>
    <col min="3801" max="3803" width="9.140625" style="38"/>
    <col min="3804" max="3804" width="10.7109375" style="38" customWidth="1"/>
    <col min="3805" max="3805" width="9.5703125" style="38" customWidth="1"/>
    <col min="3806" max="4054" width="9.140625" style="38"/>
    <col min="4055" max="4055" width="21.7109375" style="38" customWidth="1"/>
    <col min="4056" max="4056" width="9.7109375" style="38" customWidth="1"/>
    <col min="4057" max="4059" width="9.140625" style="38"/>
    <col min="4060" max="4060" width="10.7109375" style="38" customWidth="1"/>
    <col min="4061" max="4061" width="9.5703125" style="38" customWidth="1"/>
    <col min="4062" max="4310" width="9.140625" style="38"/>
    <col min="4311" max="4311" width="21.7109375" style="38" customWidth="1"/>
    <col min="4312" max="4312" width="9.7109375" style="38" customWidth="1"/>
    <col min="4313" max="4315" width="9.140625" style="38"/>
    <col min="4316" max="4316" width="10.7109375" style="38" customWidth="1"/>
    <col min="4317" max="4317" width="9.5703125" style="38" customWidth="1"/>
    <col min="4318" max="4566" width="9.140625" style="38"/>
    <col min="4567" max="4567" width="21.7109375" style="38" customWidth="1"/>
    <col min="4568" max="4568" width="9.7109375" style="38" customWidth="1"/>
    <col min="4569" max="4571" width="9.140625" style="38"/>
    <col min="4572" max="4572" width="10.7109375" style="38" customWidth="1"/>
    <col min="4573" max="4573" width="9.5703125" style="38" customWidth="1"/>
    <col min="4574" max="4822" width="9.140625" style="38"/>
    <col min="4823" max="4823" width="21.7109375" style="38" customWidth="1"/>
    <col min="4824" max="4824" width="9.7109375" style="38" customWidth="1"/>
    <col min="4825" max="4827" width="9.140625" style="38"/>
    <col min="4828" max="4828" width="10.7109375" style="38" customWidth="1"/>
    <col min="4829" max="4829" width="9.5703125" style="38" customWidth="1"/>
    <col min="4830" max="5078" width="9.140625" style="38"/>
    <col min="5079" max="5079" width="21.7109375" style="38" customWidth="1"/>
    <col min="5080" max="5080" width="9.7109375" style="38" customWidth="1"/>
    <col min="5081" max="5083" width="9.140625" style="38"/>
    <col min="5084" max="5084" width="10.7109375" style="38" customWidth="1"/>
    <col min="5085" max="5085" width="9.5703125" style="38" customWidth="1"/>
    <col min="5086" max="5334" width="9.140625" style="38"/>
    <col min="5335" max="5335" width="21.7109375" style="38" customWidth="1"/>
    <col min="5336" max="5336" width="9.7109375" style="38" customWidth="1"/>
    <col min="5337" max="5339" width="9.140625" style="38"/>
    <col min="5340" max="5340" width="10.7109375" style="38" customWidth="1"/>
    <col min="5341" max="5341" width="9.5703125" style="38" customWidth="1"/>
    <col min="5342" max="5590" width="9.140625" style="38"/>
    <col min="5591" max="5591" width="21.7109375" style="38" customWidth="1"/>
    <col min="5592" max="5592" width="9.7109375" style="38" customWidth="1"/>
    <col min="5593" max="5595" width="9.140625" style="38"/>
    <col min="5596" max="5596" width="10.7109375" style="38" customWidth="1"/>
    <col min="5597" max="5597" width="9.5703125" style="38" customWidth="1"/>
    <col min="5598" max="5846" width="9.140625" style="38"/>
    <col min="5847" max="5847" width="21.7109375" style="38" customWidth="1"/>
    <col min="5848" max="5848" width="9.7109375" style="38" customWidth="1"/>
    <col min="5849" max="5851" width="9.140625" style="38"/>
    <col min="5852" max="5852" width="10.7109375" style="38" customWidth="1"/>
    <col min="5853" max="5853" width="9.5703125" style="38" customWidth="1"/>
    <col min="5854" max="6102" width="9.140625" style="38"/>
    <col min="6103" max="6103" width="21.7109375" style="38" customWidth="1"/>
    <col min="6104" max="6104" width="9.7109375" style="38" customWidth="1"/>
    <col min="6105" max="6107" width="9.140625" style="38"/>
    <col min="6108" max="6108" width="10.7109375" style="38" customWidth="1"/>
    <col min="6109" max="6109" width="9.5703125" style="38" customWidth="1"/>
    <col min="6110" max="6358" width="9.140625" style="38"/>
    <col min="6359" max="6359" width="21.7109375" style="38" customWidth="1"/>
    <col min="6360" max="6360" width="9.7109375" style="38" customWidth="1"/>
    <col min="6361" max="6363" width="9.140625" style="38"/>
    <col min="6364" max="6364" width="10.7109375" style="38" customWidth="1"/>
    <col min="6365" max="6365" width="9.5703125" style="38" customWidth="1"/>
    <col min="6366" max="6614" width="9.140625" style="38"/>
    <col min="6615" max="6615" width="21.7109375" style="38" customWidth="1"/>
    <col min="6616" max="6616" width="9.7109375" style="38" customWidth="1"/>
    <col min="6617" max="6619" width="9.140625" style="38"/>
    <col min="6620" max="6620" width="10.7109375" style="38" customWidth="1"/>
    <col min="6621" max="6621" width="9.5703125" style="38" customWidth="1"/>
    <col min="6622" max="6870" width="9.140625" style="38"/>
    <col min="6871" max="6871" width="21.7109375" style="38" customWidth="1"/>
    <col min="6872" max="6872" width="9.7109375" style="38" customWidth="1"/>
    <col min="6873" max="6875" width="9.140625" style="38"/>
    <col min="6876" max="6876" width="10.7109375" style="38" customWidth="1"/>
    <col min="6877" max="6877" width="9.5703125" style="38" customWidth="1"/>
    <col min="6878" max="7126" width="9.140625" style="38"/>
    <col min="7127" max="7127" width="21.7109375" style="38" customWidth="1"/>
    <col min="7128" max="7128" width="9.7109375" style="38" customWidth="1"/>
    <col min="7129" max="7131" width="9.140625" style="38"/>
    <col min="7132" max="7132" width="10.7109375" style="38" customWidth="1"/>
    <col min="7133" max="7133" width="9.5703125" style="38" customWidth="1"/>
    <col min="7134" max="7382" width="9.140625" style="38"/>
    <col min="7383" max="7383" width="21.7109375" style="38" customWidth="1"/>
    <col min="7384" max="7384" width="9.7109375" style="38" customWidth="1"/>
    <col min="7385" max="7387" width="9.140625" style="38"/>
    <col min="7388" max="7388" width="10.7109375" style="38" customWidth="1"/>
    <col min="7389" max="7389" width="9.5703125" style="38" customWidth="1"/>
    <col min="7390" max="7638" width="9.140625" style="38"/>
    <col min="7639" max="7639" width="21.7109375" style="38" customWidth="1"/>
    <col min="7640" max="7640" width="9.7109375" style="38" customWidth="1"/>
    <col min="7641" max="7643" width="9.140625" style="38"/>
    <col min="7644" max="7644" width="10.7109375" style="38" customWidth="1"/>
    <col min="7645" max="7645" width="9.5703125" style="38" customWidth="1"/>
    <col min="7646" max="7894" width="9.140625" style="38"/>
    <col min="7895" max="7895" width="21.7109375" style="38" customWidth="1"/>
    <col min="7896" max="7896" width="9.7109375" style="38" customWidth="1"/>
    <col min="7897" max="7899" width="9.140625" style="38"/>
    <col min="7900" max="7900" width="10.7109375" style="38" customWidth="1"/>
    <col min="7901" max="7901" width="9.5703125" style="38" customWidth="1"/>
    <col min="7902" max="8150" width="9.140625" style="38"/>
    <col min="8151" max="8151" width="21.7109375" style="38" customWidth="1"/>
    <col min="8152" max="8152" width="9.7109375" style="38" customWidth="1"/>
    <col min="8153" max="8155" width="9.140625" style="38"/>
    <col min="8156" max="8156" width="10.7109375" style="38" customWidth="1"/>
    <col min="8157" max="8157" width="9.5703125" style="38" customWidth="1"/>
    <col min="8158" max="8406" width="9.140625" style="38"/>
    <col min="8407" max="8407" width="21.7109375" style="38" customWidth="1"/>
    <col min="8408" max="8408" width="9.7109375" style="38" customWidth="1"/>
    <col min="8409" max="8411" width="9.140625" style="38"/>
    <col min="8412" max="8412" width="10.7109375" style="38" customWidth="1"/>
    <col min="8413" max="8413" width="9.5703125" style="38" customWidth="1"/>
    <col min="8414" max="8662" width="9.140625" style="38"/>
    <col min="8663" max="8663" width="21.7109375" style="38" customWidth="1"/>
    <col min="8664" max="8664" width="9.7109375" style="38" customWidth="1"/>
    <col min="8665" max="8667" width="9.140625" style="38"/>
    <col min="8668" max="8668" width="10.7109375" style="38" customWidth="1"/>
    <col min="8669" max="8669" width="9.5703125" style="38" customWidth="1"/>
    <col min="8670" max="8918" width="9.140625" style="38"/>
    <col min="8919" max="8919" width="21.7109375" style="38" customWidth="1"/>
    <col min="8920" max="8920" width="9.7109375" style="38" customWidth="1"/>
    <col min="8921" max="8923" width="9.140625" style="38"/>
    <col min="8924" max="8924" width="10.7109375" style="38" customWidth="1"/>
    <col min="8925" max="8925" width="9.5703125" style="38" customWidth="1"/>
    <col min="8926" max="9174" width="9.140625" style="38"/>
    <col min="9175" max="9175" width="21.7109375" style="38" customWidth="1"/>
    <col min="9176" max="9176" width="9.7109375" style="38" customWidth="1"/>
    <col min="9177" max="9179" width="9.140625" style="38"/>
    <col min="9180" max="9180" width="10.7109375" style="38" customWidth="1"/>
    <col min="9181" max="9181" width="9.5703125" style="38" customWidth="1"/>
    <col min="9182" max="9430" width="9.140625" style="38"/>
    <col min="9431" max="9431" width="21.7109375" style="38" customWidth="1"/>
    <col min="9432" max="9432" width="9.7109375" style="38" customWidth="1"/>
    <col min="9433" max="9435" width="9.140625" style="38"/>
    <col min="9436" max="9436" width="10.7109375" style="38" customWidth="1"/>
    <col min="9437" max="9437" width="9.5703125" style="38" customWidth="1"/>
    <col min="9438" max="9686" width="9.140625" style="38"/>
    <col min="9687" max="9687" width="21.7109375" style="38" customWidth="1"/>
    <col min="9688" max="9688" width="9.7109375" style="38" customWidth="1"/>
    <col min="9689" max="9691" width="9.140625" style="38"/>
    <col min="9692" max="9692" width="10.7109375" style="38" customWidth="1"/>
    <col min="9693" max="9693" width="9.5703125" style="38" customWidth="1"/>
    <col min="9694" max="9942" width="9.140625" style="38"/>
    <col min="9943" max="9943" width="21.7109375" style="38" customWidth="1"/>
    <col min="9944" max="9944" width="9.7109375" style="38" customWidth="1"/>
    <col min="9945" max="9947" width="9.140625" style="38"/>
    <col min="9948" max="9948" width="10.7109375" style="38" customWidth="1"/>
    <col min="9949" max="9949" width="9.5703125" style="38" customWidth="1"/>
    <col min="9950" max="10198" width="9.140625" style="38"/>
    <col min="10199" max="10199" width="21.7109375" style="38" customWidth="1"/>
    <col min="10200" max="10200" width="9.7109375" style="38" customWidth="1"/>
    <col min="10201" max="10203" width="9.140625" style="38"/>
    <col min="10204" max="10204" width="10.7109375" style="38" customWidth="1"/>
    <col min="10205" max="10205" width="9.5703125" style="38" customWidth="1"/>
    <col min="10206" max="10454" width="9.140625" style="38"/>
    <col min="10455" max="10455" width="21.7109375" style="38" customWidth="1"/>
    <col min="10456" max="10456" width="9.7109375" style="38" customWidth="1"/>
    <col min="10457" max="10459" width="9.140625" style="38"/>
    <col min="10460" max="10460" width="10.7109375" style="38" customWidth="1"/>
    <col min="10461" max="10461" width="9.5703125" style="38" customWidth="1"/>
    <col min="10462" max="10710" width="9.140625" style="38"/>
    <col min="10711" max="10711" width="21.7109375" style="38" customWidth="1"/>
    <col min="10712" max="10712" width="9.7109375" style="38" customWidth="1"/>
    <col min="10713" max="10715" width="9.140625" style="38"/>
    <col min="10716" max="10716" width="10.7109375" style="38" customWidth="1"/>
    <col min="10717" max="10717" width="9.5703125" style="38" customWidth="1"/>
    <col min="10718" max="10966" width="9.140625" style="38"/>
    <col min="10967" max="10967" width="21.7109375" style="38" customWidth="1"/>
    <col min="10968" max="10968" width="9.7109375" style="38" customWidth="1"/>
    <col min="10969" max="10971" width="9.140625" style="38"/>
    <col min="10972" max="10972" width="10.7109375" style="38" customWidth="1"/>
    <col min="10973" max="10973" width="9.5703125" style="38" customWidth="1"/>
    <col min="10974" max="11222" width="9.140625" style="38"/>
    <col min="11223" max="11223" width="21.7109375" style="38" customWidth="1"/>
    <col min="11224" max="11224" width="9.7109375" style="38" customWidth="1"/>
    <col min="11225" max="11227" width="9.140625" style="38"/>
    <col min="11228" max="11228" width="10.7109375" style="38" customWidth="1"/>
    <col min="11229" max="11229" width="9.5703125" style="38" customWidth="1"/>
    <col min="11230" max="11478" width="9.140625" style="38"/>
    <col min="11479" max="11479" width="21.7109375" style="38" customWidth="1"/>
    <col min="11480" max="11480" width="9.7109375" style="38" customWidth="1"/>
    <col min="11481" max="11483" width="9.140625" style="38"/>
    <col min="11484" max="11484" width="10.7109375" style="38" customWidth="1"/>
    <col min="11485" max="11485" width="9.5703125" style="38" customWidth="1"/>
    <col min="11486" max="11734" width="9.140625" style="38"/>
    <col min="11735" max="11735" width="21.7109375" style="38" customWidth="1"/>
    <col min="11736" max="11736" width="9.7109375" style="38" customWidth="1"/>
    <col min="11737" max="11739" width="9.140625" style="38"/>
    <col min="11740" max="11740" width="10.7109375" style="38" customWidth="1"/>
    <col min="11741" max="11741" width="9.5703125" style="38" customWidth="1"/>
    <col min="11742" max="11990" width="9.140625" style="38"/>
    <col min="11991" max="11991" width="21.7109375" style="38" customWidth="1"/>
    <col min="11992" max="11992" width="9.7109375" style="38" customWidth="1"/>
    <col min="11993" max="11995" width="9.140625" style="38"/>
    <col min="11996" max="11996" width="10.7109375" style="38" customWidth="1"/>
    <col min="11997" max="11997" width="9.5703125" style="38" customWidth="1"/>
    <col min="11998" max="12246" width="9.140625" style="38"/>
    <col min="12247" max="12247" width="21.7109375" style="38" customWidth="1"/>
    <col min="12248" max="12248" width="9.7109375" style="38" customWidth="1"/>
    <col min="12249" max="12251" width="9.140625" style="38"/>
    <col min="12252" max="12252" width="10.7109375" style="38" customWidth="1"/>
    <col min="12253" max="12253" width="9.5703125" style="38" customWidth="1"/>
    <col min="12254" max="12502" width="9.140625" style="38"/>
    <col min="12503" max="12503" width="21.7109375" style="38" customWidth="1"/>
    <col min="12504" max="12504" width="9.7109375" style="38" customWidth="1"/>
    <col min="12505" max="12507" width="9.140625" style="38"/>
    <col min="12508" max="12508" width="10.7109375" style="38" customWidth="1"/>
    <col min="12509" max="12509" width="9.5703125" style="38" customWidth="1"/>
    <col min="12510" max="12758" width="9.140625" style="38"/>
    <col min="12759" max="12759" width="21.7109375" style="38" customWidth="1"/>
    <col min="12760" max="12760" width="9.7109375" style="38" customWidth="1"/>
    <col min="12761" max="12763" width="9.140625" style="38"/>
    <col min="12764" max="12764" width="10.7109375" style="38" customWidth="1"/>
    <col min="12765" max="12765" width="9.5703125" style="38" customWidth="1"/>
    <col min="12766" max="13014" width="9.140625" style="38"/>
    <col min="13015" max="13015" width="21.7109375" style="38" customWidth="1"/>
    <col min="13016" max="13016" width="9.7109375" style="38" customWidth="1"/>
    <col min="13017" max="13019" width="9.140625" style="38"/>
    <col min="13020" max="13020" width="10.7109375" style="38" customWidth="1"/>
    <col min="13021" max="13021" width="9.5703125" style="38" customWidth="1"/>
    <col min="13022" max="13270" width="9.140625" style="38"/>
    <col min="13271" max="13271" width="21.7109375" style="38" customWidth="1"/>
    <col min="13272" max="13272" width="9.7109375" style="38" customWidth="1"/>
    <col min="13273" max="13275" width="9.140625" style="38"/>
    <col min="13276" max="13276" width="10.7109375" style="38" customWidth="1"/>
    <col min="13277" max="13277" width="9.5703125" style="38" customWidth="1"/>
    <col min="13278" max="13526" width="9.140625" style="38"/>
    <col min="13527" max="13527" width="21.7109375" style="38" customWidth="1"/>
    <col min="13528" max="13528" width="9.7109375" style="38" customWidth="1"/>
    <col min="13529" max="13531" width="9.140625" style="38"/>
    <col min="13532" max="13532" width="10.7109375" style="38" customWidth="1"/>
    <col min="13533" max="13533" width="9.5703125" style="38" customWidth="1"/>
    <col min="13534" max="13782" width="9.140625" style="38"/>
    <col min="13783" max="13783" width="21.7109375" style="38" customWidth="1"/>
    <col min="13784" max="13784" width="9.7109375" style="38" customWidth="1"/>
    <col min="13785" max="13787" width="9.140625" style="38"/>
    <col min="13788" max="13788" width="10.7109375" style="38" customWidth="1"/>
    <col min="13789" max="13789" width="9.5703125" style="38" customWidth="1"/>
    <col min="13790" max="14038" width="9.140625" style="38"/>
    <col min="14039" max="14039" width="21.7109375" style="38" customWidth="1"/>
    <col min="14040" max="14040" width="9.7109375" style="38" customWidth="1"/>
    <col min="14041" max="14043" width="9.140625" style="38"/>
    <col min="14044" max="14044" width="10.7109375" style="38" customWidth="1"/>
    <col min="14045" max="14045" width="9.5703125" style="38" customWidth="1"/>
    <col min="14046" max="14294" width="9.140625" style="38"/>
    <col min="14295" max="14295" width="21.7109375" style="38" customWidth="1"/>
    <col min="14296" max="14296" width="9.7109375" style="38" customWidth="1"/>
    <col min="14297" max="14299" width="9.140625" style="38"/>
    <col min="14300" max="14300" width="10.7109375" style="38" customWidth="1"/>
    <col min="14301" max="14301" width="9.5703125" style="38" customWidth="1"/>
    <col min="14302" max="14550" width="9.140625" style="38"/>
    <col min="14551" max="14551" width="21.7109375" style="38" customWidth="1"/>
    <col min="14552" max="14552" width="9.7109375" style="38" customWidth="1"/>
    <col min="14553" max="14555" width="9.140625" style="38"/>
    <col min="14556" max="14556" width="10.7109375" style="38" customWidth="1"/>
    <col min="14557" max="14557" width="9.5703125" style="38" customWidth="1"/>
    <col min="14558" max="14806" width="9.140625" style="38"/>
    <col min="14807" max="14807" width="21.7109375" style="38" customWidth="1"/>
    <col min="14808" max="14808" width="9.7109375" style="38" customWidth="1"/>
    <col min="14809" max="14811" width="9.140625" style="38"/>
    <col min="14812" max="14812" width="10.7109375" style="38" customWidth="1"/>
    <col min="14813" max="14813" width="9.5703125" style="38" customWidth="1"/>
    <col min="14814" max="15062" width="9.140625" style="38"/>
    <col min="15063" max="15063" width="21.7109375" style="38" customWidth="1"/>
    <col min="15064" max="15064" width="9.7109375" style="38" customWidth="1"/>
    <col min="15065" max="15067" width="9.140625" style="38"/>
    <col min="15068" max="15068" width="10.7109375" style="38" customWidth="1"/>
    <col min="15069" max="15069" width="9.5703125" style="38" customWidth="1"/>
    <col min="15070" max="15318" width="9.140625" style="38"/>
    <col min="15319" max="15319" width="21.7109375" style="38" customWidth="1"/>
    <col min="15320" max="15320" width="9.7109375" style="38" customWidth="1"/>
    <col min="15321" max="15323" width="9.140625" style="38"/>
    <col min="15324" max="15324" width="10.7109375" style="38" customWidth="1"/>
    <col min="15325" max="15325" width="9.5703125" style="38" customWidth="1"/>
    <col min="15326" max="15574" width="9.140625" style="38"/>
    <col min="15575" max="15575" width="21.7109375" style="38" customWidth="1"/>
    <col min="15576" max="15576" width="9.7109375" style="38" customWidth="1"/>
    <col min="15577" max="15579" width="9.140625" style="38"/>
    <col min="15580" max="15580" width="10.7109375" style="38" customWidth="1"/>
    <col min="15581" max="15581" width="9.5703125" style="38" customWidth="1"/>
    <col min="15582" max="15830" width="9.140625" style="38"/>
    <col min="15831" max="15831" width="21.7109375" style="38" customWidth="1"/>
    <col min="15832" max="15832" width="9.7109375" style="38" customWidth="1"/>
    <col min="15833" max="15835" width="9.140625" style="38"/>
    <col min="15836" max="15836" width="10.7109375" style="38" customWidth="1"/>
    <col min="15837" max="15837" width="9.5703125" style="38" customWidth="1"/>
    <col min="15838" max="16086" width="9.140625" style="38"/>
    <col min="16087" max="16087" width="21.7109375" style="38" customWidth="1"/>
    <col min="16088" max="16088" width="9.7109375" style="38" customWidth="1"/>
    <col min="16089" max="16091" width="9.140625" style="38"/>
    <col min="16092" max="16092" width="10.7109375" style="38" customWidth="1"/>
    <col min="16093" max="16093" width="9.5703125" style="38" customWidth="1"/>
    <col min="16094" max="16384" width="9.140625" style="38"/>
  </cols>
  <sheetData>
    <row r="1" spans="1:10" ht="15.75" x14ac:dyDescent="0.25">
      <c r="A1" s="52" t="s">
        <v>79</v>
      </c>
      <c r="F1" s="37"/>
      <c r="G1" s="37"/>
    </row>
    <row r="2" spans="1:10" x14ac:dyDescent="0.2">
      <c r="F2" s="37"/>
      <c r="G2" s="37"/>
    </row>
    <row r="3" spans="1:10" ht="48" x14ac:dyDescent="0.2">
      <c r="A3" s="54">
        <v>2015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71" t="s">
        <v>49</v>
      </c>
    </row>
    <row r="4" spans="1:10" ht="13.5" x14ac:dyDescent="0.2">
      <c r="A4" s="59" t="s">
        <v>82</v>
      </c>
      <c r="B4" s="77">
        <f>SUM(B5:B32)</f>
        <v>362.85398000000004</v>
      </c>
      <c r="C4" s="67"/>
      <c r="D4" s="73"/>
      <c r="E4" s="60">
        <v>0.11218791710583394</v>
      </c>
      <c r="F4" s="77">
        <f>SUM(F5:F32)</f>
        <v>119.67318999999998</v>
      </c>
      <c r="G4" s="111">
        <f>SUM(G5:G32)</f>
        <v>2791.66662</v>
      </c>
      <c r="H4" s="86"/>
      <c r="I4" s="86"/>
      <c r="J4" s="84">
        <f>SUM(J5:J32)</f>
        <v>303.78993000000003</v>
      </c>
    </row>
    <row r="5" spans="1:10" x14ac:dyDescent="0.2">
      <c r="A5" s="61" t="s">
        <v>3</v>
      </c>
      <c r="B5" s="81">
        <v>12.478999999999999</v>
      </c>
      <c r="C5" s="68">
        <v>0.42442711</v>
      </c>
      <c r="D5" s="74">
        <v>0.57557289</v>
      </c>
      <c r="E5" s="62">
        <v>0.17663628128184802</v>
      </c>
      <c r="F5" s="81">
        <v>2.3769999999999998</v>
      </c>
      <c r="G5" s="112">
        <v>104.405</v>
      </c>
      <c r="H5" s="87">
        <v>0.24455480199999999</v>
      </c>
      <c r="I5" s="87">
        <v>0.75445198000000002</v>
      </c>
      <c r="J5" s="78">
        <v>5.0759999999999996</v>
      </c>
    </row>
    <row r="6" spans="1:10" x14ac:dyDescent="0.2">
      <c r="A6" s="63" t="s">
        <v>4</v>
      </c>
      <c r="B6" s="82">
        <v>2.9449999999999998</v>
      </c>
      <c r="C6" s="69">
        <f>+(2945-65)/2945</f>
        <v>0.97792869269949068</v>
      </c>
      <c r="D6" s="75">
        <f>65/2945</f>
        <v>2.2071307300509338E-2</v>
      </c>
      <c r="E6" s="33">
        <v>5.9823677581863972E-2</v>
      </c>
      <c r="F6" s="82">
        <v>1.121</v>
      </c>
      <c r="G6" s="113">
        <v>31.895</v>
      </c>
      <c r="H6" s="88">
        <f>+(G6-0.26)/+G6</f>
        <v>0.99184825207712801</v>
      </c>
      <c r="I6" s="88">
        <f>0.26/100/+G6%</f>
        <v>8.1517479228719221E-3</v>
      </c>
      <c r="J6" s="79">
        <v>3.7280000000000002</v>
      </c>
    </row>
    <row r="7" spans="1:10" x14ac:dyDescent="0.2">
      <c r="A7" s="63" t="s">
        <v>6</v>
      </c>
      <c r="B7" s="82">
        <v>11.785</v>
      </c>
      <c r="C7" s="69">
        <v>0.70386084000000004</v>
      </c>
      <c r="D7" s="75">
        <v>0.29613915000000002</v>
      </c>
      <c r="E7" s="33">
        <v>0.14047823391980166</v>
      </c>
      <c r="F7" s="82">
        <v>4.6379999999999999</v>
      </c>
      <c r="G7" s="113">
        <v>106.039</v>
      </c>
      <c r="H7" s="88">
        <v>0.62484550000000005</v>
      </c>
      <c r="I7" s="88">
        <v>0.3751544</v>
      </c>
      <c r="J7" s="79">
        <v>21.032</v>
      </c>
    </row>
    <row r="8" spans="1:10" x14ac:dyDescent="0.2">
      <c r="A8" s="63" t="s">
        <v>8</v>
      </c>
      <c r="B8" s="82">
        <v>11.568</v>
      </c>
      <c r="C8" s="69">
        <v>0.82425440000000005</v>
      </c>
      <c r="D8" s="75">
        <v>0.1757456</v>
      </c>
      <c r="E8" s="33">
        <v>0.39962690434241888</v>
      </c>
      <c r="F8" s="82">
        <v>6.133</v>
      </c>
      <c r="G8" s="113">
        <v>93.307000000000002</v>
      </c>
      <c r="H8" s="88">
        <v>0.70495479999999999</v>
      </c>
      <c r="I8" s="88">
        <v>0.29504520000000001</v>
      </c>
      <c r="J8" s="79">
        <v>9.5090000000000003</v>
      </c>
    </row>
    <row r="9" spans="1:10" ht="13.5" x14ac:dyDescent="0.2">
      <c r="A9" s="63" t="s">
        <v>83</v>
      </c>
      <c r="B9" s="82">
        <v>78.787000000000006</v>
      </c>
      <c r="C9" s="69">
        <f>45.643/78.787</f>
        <v>0.57932146166245702</v>
      </c>
      <c r="D9" s="75">
        <f>33.144/78.787</f>
        <v>0.42067853833754293</v>
      </c>
      <c r="E9" s="33">
        <v>0.12179388085727359</v>
      </c>
      <c r="F9" s="82">
        <v>37.131999999999998</v>
      </c>
      <c r="G9" s="113">
        <v>669.90700000000004</v>
      </c>
      <c r="H9" s="88">
        <f>+(G9-325.673)/+G9</f>
        <v>0.51385341547408825</v>
      </c>
      <c r="I9" s="88">
        <f>324.673/100/+G9%</f>
        <v>0.48465384001062828</v>
      </c>
      <c r="J9" s="79">
        <v>95.072999999999993</v>
      </c>
    </row>
    <row r="10" spans="1:10" x14ac:dyDescent="0.2">
      <c r="A10" s="63" t="s">
        <v>9</v>
      </c>
      <c r="B10" s="82">
        <v>1.2390000000000001</v>
      </c>
      <c r="C10" s="69">
        <v>0.97206999999999999</v>
      </c>
      <c r="D10" s="75">
        <v>2.7900000000000001E-2</v>
      </c>
      <c r="E10" s="33">
        <v>0.11894019391379478</v>
      </c>
      <c r="F10" s="82">
        <v>0.42899999999999999</v>
      </c>
      <c r="G10" s="113">
        <v>12.472</v>
      </c>
      <c r="H10" s="88">
        <v>0.899648</v>
      </c>
      <c r="I10" s="88">
        <v>0.100352</v>
      </c>
      <c r="J10" s="79">
        <v>1.26</v>
      </c>
    </row>
    <row r="11" spans="1:10" x14ac:dyDescent="0.2">
      <c r="A11" s="63" t="s">
        <v>16</v>
      </c>
      <c r="B11" s="82">
        <v>2.1269999999999998</v>
      </c>
      <c r="C11" s="69">
        <v>4.7014000000000002E-4</v>
      </c>
      <c r="D11" s="75">
        <v>0.99952980000000002</v>
      </c>
      <c r="E11" s="33">
        <v>7.4928664529538155E-2</v>
      </c>
      <c r="F11" s="82">
        <v>0.31</v>
      </c>
      <c r="G11" s="113">
        <v>12.629</v>
      </c>
      <c r="H11" s="88">
        <v>0</v>
      </c>
      <c r="I11" s="88">
        <v>1</v>
      </c>
      <c r="J11" s="79">
        <v>0.59199999999999997</v>
      </c>
    </row>
    <row r="12" spans="1:10" x14ac:dyDescent="0.2">
      <c r="A12" s="63" t="s">
        <v>10</v>
      </c>
      <c r="B12" s="82">
        <v>2.0249999999999999</v>
      </c>
      <c r="C12" s="69">
        <v>0.10123456</v>
      </c>
      <c r="D12" s="75">
        <v>0.89876540000000005</v>
      </c>
      <c r="E12" s="33">
        <v>3.9036897096811504E-2</v>
      </c>
      <c r="F12" s="82">
        <v>0.625</v>
      </c>
      <c r="G12" s="113">
        <v>10.853</v>
      </c>
      <c r="H12" s="88">
        <v>0.19579838999999999</v>
      </c>
      <c r="I12" s="88">
        <v>0.80420159999999996</v>
      </c>
      <c r="J12" s="79">
        <v>0.72199999999999998</v>
      </c>
    </row>
    <row r="13" spans="1:10" x14ac:dyDescent="0.2">
      <c r="A13" s="63" t="s">
        <v>11</v>
      </c>
      <c r="B13" s="82">
        <v>22.702999999999999</v>
      </c>
      <c r="C13" s="69">
        <v>0</v>
      </c>
      <c r="D13" s="75">
        <v>1</v>
      </c>
      <c r="E13" s="33">
        <v>8.0787844281545798E-2</v>
      </c>
      <c r="F13" s="82">
        <v>3.4729999999999999</v>
      </c>
      <c r="G13" s="113">
        <v>120.274</v>
      </c>
      <c r="H13" s="88">
        <v>0</v>
      </c>
      <c r="I13" s="88">
        <v>1</v>
      </c>
      <c r="J13" s="79">
        <v>5.0049999999999999</v>
      </c>
    </row>
    <row r="14" spans="1:10" x14ac:dyDescent="0.2">
      <c r="A14" s="63" t="s">
        <v>13</v>
      </c>
      <c r="B14" s="82">
        <v>13.943</v>
      </c>
      <c r="C14" s="69">
        <v>0.50933390000000001</v>
      </c>
      <c r="D14" s="75">
        <v>0.49066609999999999</v>
      </c>
      <c r="E14" s="33">
        <v>2.4527930140345572E-2</v>
      </c>
      <c r="F14" s="82">
        <v>5.5860000000000003</v>
      </c>
      <c r="G14" s="113">
        <v>154.93199999999999</v>
      </c>
      <c r="H14" s="88">
        <v>0.39831670000000002</v>
      </c>
      <c r="I14" s="88">
        <v>0.60168330000000003</v>
      </c>
      <c r="J14" s="79">
        <v>14.065</v>
      </c>
    </row>
    <row r="15" spans="1:10" x14ac:dyDescent="0.2">
      <c r="A15" s="63" t="s">
        <v>14</v>
      </c>
      <c r="B15" s="82">
        <v>0.80500000000000005</v>
      </c>
      <c r="C15" s="69">
        <v>0.850905303</v>
      </c>
      <c r="D15" s="75">
        <v>0.149094697</v>
      </c>
      <c r="E15" s="33">
        <v>7.0595457335788828E-2</v>
      </c>
      <c r="F15" s="82">
        <v>0.64</v>
      </c>
      <c r="G15" s="113">
        <v>10.002000000000001</v>
      </c>
      <c r="H15" s="88">
        <v>0.52098628849999995</v>
      </c>
      <c r="I15" s="88">
        <v>0.47901371149999999</v>
      </c>
      <c r="J15" s="79">
        <v>1.5780000000000001</v>
      </c>
    </row>
    <row r="16" spans="1:10" x14ac:dyDescent="0.2">
      <c r="A16" s="63" t="s">
        <v>17</v>
      </c>
      <c r="B16" s="82">
        <v>39.523000000000003</v>
      </c>
      <c r="C16" s="69">
        <v>0.69989630000000003</v>
      </c>
      <c r="D16" s="75">
        <v>0.30010369999999997</v>
      </c>
      <c r="E16" s="33">
        <v>0.13966020480999597</v>
      </c>
      <c r="F16" s="82">
        <v>9.02</v>
      </c>
      <c r="G16" s="113">
        <v>213.20400000000001</v>
      </c>
      <c r="H16" s="88">
        <v>0.6485573</v>
      </c>
      <c r="I16" s="88">
        <v>0.3514427</v>
      </c>
      <c r="J16" s="79">
        <v>14.224</v>
      </c>
    </row>
    <row r="17" spans="1:10" x14ac:dyDescent="0.2">
      <c r="A17" s="63" t="s">
        <v>5</v>
      </c>
      <c r="B17" s="82">
        <f>3.98/1000</f>
        <v>3.98E-3</v>
      </c>
      <c r="C17" s="69">
        <v>0.91657440000000001</v>
      </c>
      <c r="D17" s="75">
        <v>8.3425620000000006E-2</v>
      </c>
      <c r="E17" s="33">
        <v>8.7800573571586145E-4</v>
      </c>
      <c r="F17" s="82">
        <f>13.19/1000</f>
        <v>1.319E-2</v>
      </c>
      <c r="G17" s="113">
        <f>199.62/1000</f>
        <v>0.19961999999999999</v>
      </c>
      <c r="H17" s="88">
        <v>0.98321809999999998</v>
      </c>
      <c r="I17" s="88">
        <v>1.6781890000000001E-2</v>
      </c>
      <c r="J17" s="79">
        <f>12.93/1000</f>
        <v>1.2930000000000001E-2</v>
      </c>
    </row>
    <row r="18" spans="1:10" x14ac:dyDescent="0.2">
      <c r="A18" s="63" t="s">
        <v>20</v>
      </c>
      <c r="B18" s="82">
        <v>2.476</v>
      </c>
      <c r="C18" s="69">
        <v>0.89903069999999996</v>
      </c>
      <c r="D18" s="75">
        <v>0.1009693</v>
      </c>
      <c r="E18" s="33">
        <v>0.44749683715886496</v>
      </c>
      <c r="F18" s="82">
        <v>1.1020000000000001</v>
      </c>
      <c r="G18" s="113">
        <v>12.351000000000001</v>
      </c>
      <c r="H18" s="88">
        <v>0.88260059999999996</v>
      </c>
      <c r="I18" s="88">
        <v>0.1173994</v>
      </c>
      <c r="J18" s="79">
        <v>1.2470000000000001</v>
      </c>
    </row>
    <row r="19" spans="1:10" x14ac:dyDescent="0.2">
      <c r="A19" s="63" t="s">
        <v>18</v>
      </c>
      <c r="B19" s="82">
        <v>1.542</v>
      </c>
      <c r="C19" s="69">
        <v>0.64332040000000001</v>
      </c>
      <c r="D19" s="75">
        <v>0.35667959999999999</v>
      </c>
      <c r="E19" s="33">
        <v>0.31258868842489357</v>
      </c>
      <c r="F19" s="82">
        <v>0.96099999999999997</v>
      </c>
      <c r="G19" s="113">
        <v>12.4</v>
      </c>
      <c r="H19" s="88">
        <v>0.72741940000000005</v>
      </c>
      <c r="I19" s="88">
        <v>0.27258060000000001</v>
      </c>
      <c r="J19" s="79">
        <v>1.877</v>
      </c>
    </row>
    <row r="20" spans="1:10" x14ac:dyDescent="0.2">
      <c r="A20" s="63" t="s">
        <v>19</v>
      </c>
      <c r="B20" s="82">
        <v>0.35</v>
      </c>
      <c r="C20" s="69">
        <v>0.53428571430000005</v>
      </c>
      <c r="D20" s="75">
        <v>0.46571428570000001</v>
      </c>
      <c r="E20" s="33">
        <v>0.12671976828385229</v>
      </c>
      <c r="F20" s="82">
        <v>0.12</v>
      </c>
      <c r="G20" s="113">
        <v>2.37</v>
      </c>
      <c r="H20" s="88">
        <v>0.66455696200000003</v>
      </c>
      <c r="I20" s="88">
        <v>0.33544303800000003</v>
      </c>
      <c r="J20" s="79">
        <v>0.183</v>
      </c>
    </row>
    <row r="21" spans="1:10" x14ac:dyDescent="0.2">
      <c r="A21" s="63" t="s">
        <v>15</v>
      </c>
      <c r="B21" s="82">
        <v>4.0860000000000003</v>
      </c>
      <c r="C21" s="69">
        <v>0.88277099999999997</v>
      </c>
      <c r="D21" s="75">
        <v>0.117228</v>
      </c>
      <c r="E21" s="33">
        <v>0.13466482104014238</v>
      </c>
      <c r="F21" s="82">
        <v>1.57</v>
      </c>
      <c r="G21" s="113">
        <v>24.372</v>
      </c>
      <c r="H21" s="88">
        <v>0.76342699999999997</v>
      </c>
      <c r="I21" s="88">
        <v>0.236572</v>
      </c>
      <c r="J21" s="79">
        <v>3.2210000000000001</v>
      </c>
    </row>
    <row r="22" spans="1:10" x14ac:dyDescent="0.2">
      <c r="A22" s="63" t="s">
        <v>21</v>
      </c>
      <c r="B22" s="82">
        <v>0</v>
      </c>
      <c r="C22" s="69">
        <v>0</v>
      </c>
      <c r="D22" s="75">
        <v>0</v>
      </c>
      <c r="E22" s="33">
        <v>0</v>
      </c>
      <c r="F22" s="82">
        <v>0</v>
      </c>
      <c r="G22" s="113">
        <v>0</v>
      </c>
      <c r="H22" s="88">
        <v>0</v>
      </c>
      <c r="I22" s="88">
        <v>0</v>
      </c>
      <c r="J22" s="79">
        <v>0</v>
      </c>
    </row>
    <row r="23" spans="1:10" x14ac:dyDescent="0.2">
      <c r="A23" s="63" t="s">
        <v>22</v>
      </c>
      <c r="B23" s="82">
        <v>29.783000000000001</v>
      </c>
      <c r="C23" s="69">
        <v>0.45833639999999998</v>
      </c>
      <c r="D23" s="75">
        <v>0.54166364</v>
      </c>
      <c r="E23" s="33">
        <v>0.27058235668211139</v>
      </c>
      <c r="F23" s="82">
        <v>9.1829999999999998</v>
      </c>
      <c r="G23" s="113">
        <v>189.642</v>
      </c>
      <c r="H23" s="88">
        <v>0.38084089999999998</v>
      </c>
      <c r="I23" s="88">
        <v>0.61915907999999997</v>
      </c>
      <c r="J23" s="79">
        <v>18.088000000000001</v>
      </c>
    </row>
    <row r="24" spans="1:10" x14ac:dyDescent="0.2">
      <c r="A24" s="63" t="s">
        <v>2</v>
      </c>
      <c r="B24" s="82">
        <v>9.0039999999999996</v>
      </c>
      <c r="C24" s="69">
        <v>0.54801319999999998</v>
      </c>
      <c r="D24" s="75">
        <v>0.45198680000000002</v>
      </c>
      <c r="E24" s="33">
        <v>0.13788878849599531</v>
      </c>
      <c r="F24" s="82">
        <v>2.8069999999999999</v>
      </c>
      <c r="G24" s="113">
        <v>105.90600000000001</v>
      </c>
      <c r="H24" s="88">
        <v>0.3663361</v>
      </c>
      <c r="I24" s="88">
        <v>0.6339939</v>
      </c>
      <c r="J24" s="79">
        <v>8.5960000000000001</v>
      </c>
    </row>
    <row r="25" spans="1:10" x14ac:dyDescent="0.2">
      <c r="A25" s="63" t="s">
        <v>24</v>
      </c>
      <c r="B25" s="82">
        <v>26.542000000000002</v>
      </c>
      <c r="C25" s="69">
        <v>0.74534699999999998</v>
      </c>
      <c r="D25" s="75">
        <v>0.25465300000000002</v>
      </c>
      <c r="E25" s="33">
        <v>0.16091521971093223</v>
      </c>
      <c r="F25" s="82">
        <v>8.5530000000000008</v>
      </c>
      <c r="G25" s="113">
        <v>238.608</v>
      </c>
      <c r="H25" s="88">
        <v>0.60215079999999999</v>
      </c>
      <c r="I25" s="88">
        <v>0.39784920000000001</v>
      </c>
      <c r="J25" s="79">
        <v>23.908999999999999</v>
      </c>
    </row>
    <row r="26" spans="1:10" x14ac:dyDescent="0.2">
      <c r="A26" s="63" t="s">
        <v>25</v>
      </c>
      <c r="B26" s="82">
        <v>6.468</v>
      </c>
      <c r="C26" s="69">
        <v>0.74926020999999998</v>
      </c>
      <c r="D26" s="75">
        <v>0.25073979000000002</v>
      </c>
      <c r="E26" s="33">
        <v>0.12338801983975581</v>
      </c>
      <c r="F26" s="82">
        <v>1.3320000000000001</v>
      </c>
      <c r="G26" s="113">
        <v>59.281999999999996</v>
      </c>
      <c r="H26" s="88">
        <v>0.58101859700000003</v>
      </c>
      <c r="I26" s="88">
        <v>0.41898140299999997</v>
      </c>
      <c r="J26" s="79">
        <v>4.3479999999999999</v>
      </c>
    </row>
    <row r="27" spans="1:10" x14ac:dyDescent="0.2">
      <c r="A27" s="63" t="s">
        <v>26</v>
      </c>
      <c r="B27" s="82">
        <v>5.601</v>
      </c>
      <c r="C27" s="69">
        <v>0.83235139999999996</v>
      </c>
      <c r="D27" s="75">
        <v>0.16764860000000001</v>
      </c>
      <c r="E27" s="33">
        <v>8.4484735127307822E-2</v>
      </c>
      <c r="F27" s="82">
        <v>1.831</v>
      </c>
      <c r="G27" s="113">
        <v>50.978000000000002</v>
      </c>
      <c r="H27" s="88">
        <v>0.81578329999999999</v>
      </c>
      <c r="I27" s="88">
        <v>0.18421670000000001</v>
      </c>
      <c r="J27" s="79">
        <v>9.8309999999999995</v>
      </c>
    </row>
    <row r="28" spans="1:10" x14ac:dyDescent="0.2">
      <c r="A28" s="63" t="s">
        <v>28</v>
      </c>
      <c r="B28" s="82">
        <v>1.1579999999999999</v>
      </c>
      <c r="C28" s="69">
        <v>0.78447706900000003</v>
      </c>
      <c r="D28" s="75">
        <v>0.215522931</v>
      </c>
      <c r="E28" s="33">
        <v>7.6688741721854303E-2</v>
      </c>
      <c r="F28" s="82">
        <v>0.35899999999999999</v>
      </c>
      <c r="G28" s="113">
        <v>10.381</v>
      </c>
      <c r="H28" s="88">
        <v>0.65568271050000004</v>
      </c>
      <c r="I28" s="88">
        <v>0.34431728950000001</v>
      </c>
      <c r="J28" s="79">
        <v>0.72799999999999998</v>
      </c>
    </row>
    <row r="29" spans="1:10" ht="13.5" x14ac:dyDescent="0.2">
      <c r="A29" s="63" t="s">
        <v>84</v>
      </c>
      <c r="B29" s="82">
        <v>21.116</v>
      </c>
      <c r="C29" s="69">
        <v>0.93999809999999995</v>
      </c>
      <c r="D29" s="75">
        <v>6.0001899999999997E-2</v>
      </c>
      <c r="E29" s="33">
        <v>0.78489387800617039</v>
      </c>
      <c r="F29" s="82">
        <v>3.7440000000000002</v>
      </c>
      <c r="G29" s="113">
        <v>27.33</v>
      </c>
      <c r="H29" s="88">
        <v>0.79721920000000002</v>
      </c>
      <c r="I29" s="88">
        <v>0.20278080000000001</v>
      </c>
      <c r="J29" s="79">
        <v>24.286000000000001</v>
      </c>
    </row>
    <row r="30" spans="1:10" x14ac:dyDescent="0.2">
      <c r="A30" s="63" t="s">
        <v>12</v>
      </c>
      <c r="B30" s="82">
        <v>21.739000000000001</v>
      </c>
      <c r="C30" s="69">
        <v>0.62155570000000004</v>
      </c>
      <c r="D30" s="75">
        <v>0.37844430000000001</v>
      </c>
      <c r="E30" s="33">
        <v>0.31690428292370043</v>
      </c>
      <c r="F30" s="82">
        <v>5.8479999999999999</v>
      </c>
      <c r="G30" s="113">
        <v>242.43199999999999</v>
      </c>
      <c r="H30" s="88">
        <v>0.43012470000000003</v>
      </c>
      <c r="I30" s="88">
        <v>0.56987529999999997</v>
      </c>
      <c r="J30" s="79">
        <v>15.182</v>
      </c>
    </row>
    <row r="31" spans="1:10" ht="13.5" x14ac:dyDescent="0.2">
      <c r="A31" s="64" t="s">
        <v>85</v>
      </c>
      <c r="B31" s="90">
        <v>13.659000000000001</v>
      </c>
      <c r="C31" s="91">
        <v>0.57420016110000005</v>
      </c>
      <c r="D31" s="92">
        <v>0.42579983890000001</v>
      </c>
      <c r="E31" s="34">
        <v>8.4284638833010406E-2</v>
      </c>
      <c r="F31" s="90">
        <v>4.8529999999999998</v>
      </c>
      <c r="G31" s="114">
        <v>151.346</v>
      </c>
      <c r="H31" s="94">
        <v>0.47475321450000002</v>
      </c>
      <c r="I31" s="94">
        <v>0.52524678550000004</v>
      </c>
      <c r="J31" s="93">
        <v>12.798</v>
      </c>
    </row>
    <row r="32" spans="1:10" x14ac:dyDescent="0.2">
      <c r="A32" s="32" t="s">
        <v>29</v>
      </c>
      <c r="B32" s="83">
        <v>19.396999999999998</v>
      </c>
      <c r="C32" s="70">
        <v>1.7606799999999999E-2</v>
      </c>
      <c r="D32" s="76">
        <v>0.98239319999999997</v>
      </c>
      <c r="E32" s="65">
        <v>5.7202258953980442E-2</v>
      </c>
      <c r="F32" s="83">
        <v>5.9130000000000003</v>
      </c>
      <c r="G32" s="115">
        <v>124.15</v>
      </c>
      <c r="H32" s="89">
        <v>2.2860599999999998E-2</v>
      </c>
      <c r="I32" s="89">
        <v>0.97713939999999999</v>
      </c>
      <c r="J32" s="80">
        <v>7.6189999999999998</v>
      </c>
    </row>
    <row r="33" spans="1:14" x14ac:dyDescent="0.2">
      <c r="A33" s="95" t="s">
        <v>23</v>
      </c>
      <c r="B33" s="96">
        <v>0.40799999999999997</v>
      </c>
      <c r="C33" s="97">
        <v>1</v>
      </c>
      <c r="D33" s="98">
        <v>0</v>
      </c>
      <c r="E33" s="99">
        <v>2.8133856475958657E-3</v>
      </c>
      <c r="F33" s="96">
        <v>0.11</v>
      </c>
      <c r="G33" s="116">
        <v>9.7070000000000007</v>
      </c>
      <c r="H33" s="101">
        <v>1</v>
      </c>
      <c r="I33" s="101">
        <v>0</v>
      </c>
      <c r="J33" s="100">
        <v>0.501</v>
      </c>
    </row>
    <row r="34" spans="1:14" x14ac:dyDescent="0.2">
      <c r="F34" s="36"/>
      <c r="G34" s="36"/>
    </row>
    <row r="35" spans="1:14" ht="36" x14ac:dyDescent="0.2">
      <c r="A35" s="54">
        <v>2015</v>
      </c>
      <c r="B35" s="72" t="s">
        <v>57</v>
      </c>
      <c r="C35" s="66" t="s">
        <v>58</v>
      </c>
      <c r="D35" s="12" t="s">
        <v>59</v>
      </c>
      <c r="E35" s="12" t="s">
        <v>60</v>
      </c>
      <c r="F35" s="102" t="s">
        <v>61</v>
      </c>
      <c r="G35" s="102" t="s">
        <v>62</v>
      </c>
      <c r="H35" s="17"/>
      <c r="I35" s="17"/>
      <c r="J35" s="18"/>
      <c r="K35" s="19"/>
      <c r="L35" s="19"/>
    </row>
    <row r="36" spans="1:14" ht="13.5" x14ac:dyDescent="0.2">
      <c r="A36" s="59" t="s">
        <v>82</v>
      </c>
      <c r="B36" s="77">
        <f>SUM(B37:B64)</f>
        <v>5239.55746</v>
      </c>
      <c r="C36" s="67">
        <v>0.17989688047862212</v>
      </c>
      <c r="D36" s="60">
        <v>4.8522771530169463E-2</v>
      </c>
      <c r="E36" s="60">
        <v>0.43544993059952708</v>
      </c>
      <c r="F36" s="60">
        <v>0.20557105551589927</v>
      </c>
      <c r="G36" s="60">
        <v>0.13055936187578226</v>
      </c>
    </row>
    <row r="37" spans="1:14" x14ac:dyDescent="0.2">
      <c r="A37" s="61" t="s">
        <v>3</v>
      </c>
      <c r="B37" s="81">
        <v>181.52699999999999</v>
      </c>
      <c r="C37" s="109">
        <v>1.2E-2</v>
      </c>
      <c r="D37" s="105">
        <v>1.4999999999999999E-2</v>
      </c>
      <c r="E37" s="105">
        <v>0.55900000000000005</v>
      </c>
      <c r="F37" s="105">
        <v>0.17299999999999999</v>
      </c>
      <c r="G37" s="105">
        <v>0.24099999999999999</v>
      </c>
      <c r="K37" s="40"/>
      <c r="L37" s="40"/>
      <c r="M37" s="50"/>
      <c r="N37" s="51"/>
    </row>
    <row r="38" spans="1:14" x14ac:dyDescent="0.2">
      <c r="A38" s="63" t="s">
        <v>4</v>
      </c>
      <c r="B38" s="82">
        <v>55.085999999999999</v>
      </c>
      <c r="C38" s="69">
        <v>0.59879098137457798</v>
      </c>
      <c r="D38" s="33">
        <v>0.12916167447264279</v>
      </c>
      <c r="E38" s="33">
        <v>0.27055876266201939</v>
      </c>
      <c r="F38" s="33">
        <v>3.2676179065461281E-4</v>
      </c>
      <c r="G38" s="33">
        <v>1.1618197001052898E-3</v>
      </c>
      <c r="K38" s="40"/>
      <c r="L38" s="40"/>
      <c r="M38" s="50"/>
      <c r="N38" s="51"/>
    </row>
    <row r="39" spans="1:14" x14ac:dyDescent="0.2">
      <c r="A39" s="63" t="s">
        <v>63</v>
      </c>
      <c r="B39" s="82">
        <v>238.43</v>
      </c>
      <c r="C39" s="69">
        <v>0.78400000000000003</v>
      </c>
      <c r="D39" s="33">
        <v>3.0000000000000001E-3</v>
      </c>
      <c r="E39" s="33">
        <v>6.3E-2</v>
      </c>
      <c r="F39" s="33">
        <v>0.13300000000000001</v>
      </c>
      <c r="G39" s="33">
        <v>1.7000000000000001E-2</v>
      </c>
      <c r="K39" s="40"/>
      <c r="L39" s="40"/>
      <c r="M39" s="50"/>
      <c r="N39" s="51"/>
    </row>
    <row r="40" spans="1:14" x14ac:dyDescent="0.2">
      <c r="A40" s="63" t="s">
        <v>8</v>
      </c>
      <c r="B40" s="82">
        <v>155.94200000000001</v>
      </c>
      <c r="C40" s="69">
        <v>0.33200000000000002</v>
      </c>
      <c r="D40" s="33">
        <v>2.9000000000000001E-2</v>
      </c>
      <c r="E40" s="33">
        <v>0.13</v>
      </c>
      <c r="F40" s="33">
        <v>0.40899999999999997</v>
      </c>
      <c r="G40" s="33">
        <v>0.10100000000000001</v>
      </c>
      <c r="K40" s="40"/>
      <c r="L40" s="40"/>
      <c r="M40" s="50"/>
      <c r="N40" s="51"/>
    </row>
    <row r="41" spans="1:14" ht="13.5" x14ac:dyDescent="0.2">
      <c r="A41" s="63" t="s">
        <v>83</v>
      </c>
      <c r="B41" s="82">
        <v>669.90700000000004</v>
      </c>
      <c r="C41" s="69">
        <v>0.129</v>
      </c>
      <c r="D41" s="33">
        <v>0.04</v>
      </c>
      <c r="E41" s="33">
        <v>0.46800000000000003</v>
      </c>
      <c r="F41" s="33">
        <v>0.17799999999999999</v>
      </c>
      <c r="G41" s="33">
        <v>0.186</v>
      </c>
      <c r="K41" s="40"/>
      <c r="L41" s="40"/>
      <c r="M41" s="50"/>
      <c r="N41" s="51"/>
    </row>
    <row r="42" spans="1:14" x14ac:dyDescent="0.2">
      <c r="A42" s="63" t="s">
        <v>9</v>
      </c>
      <c r="B42" s="82">
        <v>21.065000000000001</v>
      </c>
      <c r="C42" s="69">
        <v>0.253</v>
      </c>
      <c r="D42" s="33">
        <v>2E-3</v>
      </c>
      <c r="E42" s="33">
        <v>0.124</v>
      </c>
      <c r="F42" s="33">
        <v>0.51400000000000001</v>
      </c>
      <c r="G42" s="33">
        <v>0.108</v>
      </c>
      <c r="K42" s="40"/>
      <c r="L42" s="40"/>
      <c r="M42" s="50"/>
      <c r="N42" s="51"/>
    </row>
    <row r="43" spans="1:14" x14ac:dyDescent="0.2">
      <c r="A43" s="63" t="s">
        <v>16</v>
      </c>
      <c r="B43" s="82">
        <v>24.2</v>
      </c>
      <c r="C43" s="69">
        <v>2.7E-2</v>
      </c>
      <c r="D43" s="33">
        <v>2.7E-2</v>
      </c>
      <c r="E43" s="33">
        <v>0.92200000000000004</v>
      </c>
      <c r="F43" s="33">
        <v>2.3E-2</v>
      </c>
      <c r="G43" s="33">
        <v>1E-3</v>
      </c>
      <c r="K43" s="40"/>
      <c r="L43" s="40"/>
      <c r="M43" s="50"/>
      <c r="N43" s="51"/>
    </row>
    <row r="44" spans="1:14" x14ac:dyDescent="0.2">
      <c r="A44" s="63" t="s">
        <v>10</v>
      </c>
      <c r="B44" s="82">
        <v>22.852</v>
      </c>
      <c r="C44" s="69">
        <v>0.125</v>
      </c>
      <c r="D44" s="33">
        <v>0.38400000000000001</v>
      </c>
      <c r="E44" s="33">
        <v>0.40500000000000003</v>
      </c>
      <c r="F44" s="33">
        <v>1.2999999999999999E-2</v>
      </c>
      <c r="G44" s="33">
        <v>7.2999999999999995E-2</v>
      </c>
      <c r="K44" s="40"/>
      <c r="L44" s="40"/>
      <c r="M44" s="50"/>
      <c r="N44" s="51"/>
    </row>
    <row r="45" spans="1:14" x14ac:dyDescent="0.2">
      <c r="A45" s="63" t="s">
        <v>11</v>
      </c>
      <c r="B45" s="82">
        <v>321.17099999999999</v>
      </c>
      <c r="C45" s="69">
        <v>2.1999999999999999E-2</v>
      </c>
      <c r="D45" s="33">
        <v>8.4000000000000005E-2</v>
      </c>
      <c r="E45" s="33">
        <v>0.78600000000000003</v>
      </c>
      <c r="F45" s="33">
        <v>0</v>
      </c>
      <c r="G45" s="33">
        <v>0.108</v>
      </c>
      <c r="K45" s="40"/>
      <c r="L45" s="40"/>
      <c r="M45" s="50"/>
      <c r="N45" s="51"/>
    </row>
    <row r="46" spans="1:14" x14ac:dyDescent="0.2">
      <c r="A46" s="63" t="s">
        <v>13</v>
      </c>
      <c r="B46" s="82">
        <v>246.43799999999999</v>
      </c>
      <c r="C46" s="69">
        <v>5.6000000000000001E-2</v>
      </c>
      <c r="D46" s="33">
        <v>4.7E-2</v>
      </c>
      <c r="E46" s="33">
        <v>0.53500000000000003</v>
      </c>
      <c r="F46" s="33">
        <v>0.24399999999999999</v>
      </c>
      <c r="G46" s="33">
        <v>0.11799999999999999</v>
      </c>
      <c r="K46" s="40"/>
      <c r="L46" s="40"/>
      <c r="M46" s="50"/>
      <c r="N46" s="51"/>
    </row>
    <row r="47" spans="1:14" x14ac:dyDescent="0.2">
      <c r="A47" s="63" t="s">
        <v>14</v>
      </c>
      <c r="B47" s="82">
        <v>15.194000000000001</v>
      </c>
      <c r="C47" s="69">
        <v>4.5999999999999999E-2</v>
      </c>
      <c r="D47" s="33">
        <v>5.6000000000000001E-2</v>
      </c>
      <c r="E47" s="33">
        <v>0.86699999999999999</v>
      </c>
      <c r="F47" s="33">
        <v>3.1E-2</v>
      </c>
      <c r="G47" s="33">
        <v>0</v>
      </c>
      <c r="K47" s="40"/>
      <c r="L47" s="40"/>
      <c r="M47" s="50"/>
      <c r="N47" s="51"/>
    </row>
    <row r="48" spans="1:14" x14ac:dyDescent="0.2">
      <c r="A48" s="63" t="s">
        <v>17</v>
      </c>
      <c r="B48" s="82">
        <v>864.75099999999998</v>
      </c>
      <c r="C48" s="69">
        <v>2.7E-2</v>
      </c>
      <c r="D48" s="33">
        <v>3.3000000000000002E-2</v>
      </c>
      <c r="E48" s="33">
        <v>0.69099999999999995</v>
      </c>
      <c r="F48" s="33">
        <v>0.13700000000000001</v>
      </c>
      <c r="G48" s="33">
        <v>0.111</v>
      </c>
      <c r="K48" s="40"/>
      <c r="L48" s="40"/>
      <c r="M48" s="50"/>
      <c r="N48" s="51"/>
    </row>
    <row r="49" spans="1:14" x14ac:dyDescent="0.2">
      <c r="A49" s="63" t="s">
        <v>5</v>
      </c>
      <c r="B49" s="82">
        <f>568.46/1000</f>
        <v>0.56846000000000008</v>
      </c>
      <c r="C49" s="69">
        <v>0</v>
      </c>
      <c r="D49" s="33">
        <v>0.10299999999999999</v>
      </c>
      <c r="E49" s="33">
        <v>0</v>
      </c>
      <c r="F49" s="33">
        <v>0.89700000000000002</v>
      </c>
      <c r="G49" s="33">
        <v>0</v>
      </c>
      <c r="K49" s="40"/>
      <c r="L49" s="40"/>
      <c r="M49" s="50"/>
      <c r="N49" s="51"/>
    </row>
    <row r="50" spans="1:14" x14ac:dyDescent="0.2">
      <c r="A50" s="63" t="s">
        <v>20</v>
      </c>
      <c r="B50" s="82">
        <v>32.945</v>
      </c>
      <c r="C50" s="69">
        <v>0</v>
      </c>
      <c r="D50" s="33">
        <v>0</v>
      </c>
      <c r="E50" s="33">
        <v>0.67100000000000004</v>
      </c>
      <c r="F50" s="33">
        <v>0.32800000000000001</v>
      </c>
      <c r="G50" s="33">
        <v>0</v>
      </c>
      <c r="K50" s="40"/>
      <c r="L50" s="40"/>
      <c r="M50" s="50"/>
      <c r="N50" s="51"/>
    </row>
    <row r="51" spans="1:14" x14ac:dyDescent="0.2">
      <c r="A51" s="63" t="s">
        <v>18</v>
      </c>
      <c r="B51" s="82">
        <v>21.073</v>
      </c>
      <c r="C51" s="69">
        <v>0</v>
      </c>
      <c r="D51" s="33">
        <v>0.14000000000000001</v>
      </c>
      <c r="E51" s="33">
        <v>0.47699999999999998</v>
      </c>
      <c r="F51" s="33">
        <v>0.33800000000000002</v>
      </c>
      <c r="G51" s="33">
        <v>4.4999999999999998E-2</v>
      </c>
      <c r="K51" s="40"/>
      <c r="L51" s="40"/>
      <c r="M51" s="50"/>
      <c r="N51" s="51"/>
    </row>
    <row r="52" spans="1:14" x14ac:dyDescent="0.2">
      <c r="A52" s="63" t="s">
        <v>19</v>
      </c>
      <c r="B52" s="82">
        <v>4.4729999999999999</v>
      </c>
      <c r="C52" s="69">
        <v>0</v>
      </c>
      <c r="D52" s="33">
        <v>0</v>
      </c>
      <c r="E52" s="33">
        <v>0.73</v>
      </c>
      <c r="F52" s="33">
        <v>0.26800000000000002</v>
      </c>
      <c r="G52" s="33">
        <v>2E-3</v>
      </c>
      <c r="K52" s="40"/>
      <c r="L52" s="40"/>
      <c r="M52" s="50"/>
      <c r="N52" s="51"/>
    </row>
    <row r="53" spans="1:14" x14ac:dyDescent="0.2">
      <c r="A53" s="63" t="s">
        <v>15</v>
      </c>
      <c r="B53" s="82">
        <v>50.991</v>
      </c>
      <c r="C53" s="69">
        <v>8.1000000000000003E-2</v>
      </c>
      <c r="D53" s="33">
        <v>4.7E-2</v>
      </c>
      <c r="E53" s="33">
        <v>0.69599999999999995</v>
      </c>
      <c r="F53" s="33">
        <v>0.129</v>
      </c>
      <c r="G53" s="33">
        <v>4.7E-2</v>
      </c>
      <c r="K53" s="40"/>
      <c r="L53" s="40"/>
      <c r="M53" s="50"/>
      <c r="N53" s="51"/>
    </row>
    <row r="54" spans="1:14" x14ac:dyDescent="0.2">
      <c r="A54" s="63" t="s">
        <v>21</v>
      </c>
      <c r="B54" s="82">
        <v>0</v>
      </c>
      <c r="C54" s="69">
        <v>0</v>
      </c>
      <c r="D54" s="33">
        <v>0</v>
      </c>
      <c r="E54" s="33">
        <v>0</v>
      </c>
      <c r="F54" s="33">
        <v>0</v>
      </c>
      <c r="G54" s="33">
        <v>0</v>
      </c>
      <c r="K54" s="40"/>
      <c r="L54" s="40"/>
      <c r="M54" s="50"/>
      <c r="N54" s="51"/>
    </row>
    <row r="55" spans="1:14" x14ac:dyDescent="0.2">
      <c r="A55" s="63" t="s">
        <v>22</v>
      </c>
      <c r="B55" s="82">
        <v>370.84300000000002</v>
      </c>
      <c r="C55" s="69">
        <v>2.5000000000000001E-2</v>
      </c>
      <c r="D55" s="33">
        <v>0.04</v>
      </c>
      <c r="E55" s="33">
        <v>0.748</v>
      </c>
      <c r="F55" s="33">
        <v>0.04</v>
      </c>
      <c r="G55" s="33">
        <v>0.14799999999999999</v>
      </c>
      <c r="K55" s="40"/>
      <c r="L55" s="40"/>
      <c r="M55" s="50"/>
      <c r="N55" s="51"/>
    </row>
    <row r="56" spans="1:14" x14ac:dyDescent="0.2">
      <c r="A56" s="63" t="s">
        <v>2</v>
      </c>
      <c r="B56" s="82">
        <v>165.68100000000001</v>
      </c>
      <c r="C56" s="69">
        <v>8.8999999999999996E-2</v>
      </c>
      <c r="D56" s="33">
        <v>9.0999999999999998E-2</v>
      </c>
      <c r="E56" s="33">
        <v>0.376</v>
      </c>
      <c r="F56" s="33">
        <v>0.214</v>
      </c>
      <c r="G56" s="33">
        <v>0.23100000000000001</v>
      </c>
      <c r="K56" s="40"/>
      <c r="L56" s="40"/>
      <c r="M56" s="50"/>
      <c r="N56" s="51"/>
    </row>
    <row r="57" spans="1:14" x14ac:dyDescent="0.2">
      <c r="A57" s="63" t="s">
        <v>24</v>
      </c>
      <c r="B57" s="82">
        <v>401.84</v>
      </c>
      <c r="C57" s="69">
        <v>0.71099999999999997</v>
      </c>
      <c r="D57" s="33">
        <v>7.9000000000000001E-2</v>
      </c>
      <c r="E57" s="33">
        <v>9.2999999999999999E-2</v>
      </c>
      <c r="F57" s="33">
        <v>0.109</v>
      </c>
      <c r="G57" s="33">
        <v>8.0000000000000002E-3</v>
      </c>
      <c r="K57" s="40"/>
      <c r="L57" s="40"/>
      <c r="M57" s="50"/>
      <c r="N57" s="51"/>
    </row>
    <row r="58" spans="1:14" x14ac:dyDescent="0.2">
      <c r="A58" s="63" t="s">
        <v>25</v>
      </c>
      <c r="B58" s="82">
        <v>108.67100000000001</v>
      </c>
      <c r="C58" s="69">
        <v>0</v>
      </c>
      <c r="D58" s="33">
        <v>8.5999999999999993E-2</v>
      </c>
      <c r="E58" s="33">
        <v>0.47399999999999998</v>
      </c>
      <c r="F58" s="33">
        <v>0.434</v>
      </c>
      <c r="G58" s="33">
        <v>5.0000000000000001E-3</v>
      </c>
      <c r="K58" s="40"/>
      <c r="L58" s="40"/>
      <c r="M58" s="50"/>
      <c r="N58" s="51"/>
    </row>
    <row r="59" spans="1:14" x14ac:dyDescent="0.2">
      <c r="A59" s="63" t="s">
        <v>26</v>
      </c>
      <c r="B59" s="82">
        <v>90.259</v>
      </c>
      <c r="C59" s="69">
        <v>0.35099999999999998</v>
      </c>
      <c r="D59" s="33">
        <v>3.4000000000000002E-2</v>
      </c>
      <c r="E59" s="33">
        <v>0.54800000000000004</v>
      </c>
      <c r="F59" s="33">
        <v>6.4000000000000001E-2</v>
      </c>
      <c r="G59" s="33">
        <v>3.0000000000000001E-3</v>
      </c>
      <c r="K59" s="40"/>
      <c r="L59" s="40"/>
      <c r="M59" s="50"/>
      <c r="N59" s="51"/>
    </row>
    <row r="60" spans="1:14" x14ac:dyDescent="0.2">
      <c r="A60" s="63" t="s">
        <v>28</v>
      </c>
      <c r="B60" s="82">
        <v>18.265000000000001</v>
      </c>
      <c r="C60" s="69">
        <v>0.503</v>
      </c>
      <c r="D60" s="33">
        <v>1E-3</v>
      </c>
      <c r="E60" s="33">
        <v>0.26800000000000002</v>
      </c>
      <c r="F60" s="33">
        <v>0.20699999999999999</v>
      </c>
      <c r="G60" s="33">
        <v>0.02</v>
      </c>
      <c r="K60" s="40"/>
      <c r="L60" s="40"/>
      <c r="M60" s="50"/>
      <c r="N60" s="51"/>
    </row>
    <row r="61" spans="1:14" ht="13.5" x14ac:dyDescent="0.2">
      <c r="A61" s="63" t="s">
        <v>84</v>
      </c>
      <c r="B61" s="82">
        <v>280.56700000000001</v>
      </c>
      <c r="C61" s="69">
        <v>0.215</v>
      </c>
      <c r="D61" s="33">
        <v>3.1E-2</v>
      </c>
      <c r="E61" s="33">
        <v>6.6000000000000003E-2</v>
      </c>
      <c r="F61" s="33">
        <v>4.3999999999999997E-2</v>
      </c>
      <c r="G61" s="33">
        <v>0.64400000000000002</v>
      </c>
      <c r="K61" s="40"/>
      <c r="L61" s="40"/>
      <c r="M61" s="50"/>
      <c r="N61" s="51"/>
    </row>
    <row r="62" spans="1:14" x14ac:dyDescent="0.2">
      <c r="A62" s="63" t="s">
        <v>12</v>
      </c>
      <c r="B62" s="82">
        <v>382.09800000000001</v>
      </c>
      <c r="C62" s="69">
        <v>0.223</v>
      </c>
      <c r="D62" s="33">
        <v>1.6E-2</v>
      </c>
      <c r="E62" s="33">
        <v>0.127</v>
      </c>
      <c r="F62" s="33">
        <v>0.59399999999999997</v>
      </c>
      <c r="G62" s="33">
        <v>0.04</v>
      </c>
      <c r="K62" s="40"/>
      <c r="L62" s="40"/>
      <c r="M62" s="50"/>
      <c r="N62" s="51"/>
    </row>
    <row r="63" spans="1:14" ht="13.5" x14ac:dyDescent="0.2">
      <c r="A63" s="64" t="s">
        <v>85</v>
      </c>
      <c r="B63" s="90">
        <v>256.416</v>
      </c>
      <c r="C63" s="91">
        <v>5.5E-2</v>
      </c>
      <c r="D63" s="34">
        <v>2.1999999999999999E-2</v>
      </c>
      <c r="E63" s="34">
        <v>3.2000000000000001E-2</v>
      </c>
      <c r="F63" s="34">
        <v>0.80500000000000005</v>
      </c>
      <c r="G63" s="34">
        <v>8.5000000000000006E-2</v>
      </c>
      <c r="K63" s="40"/>
      <c r="L63" s="40"/>
      <c r="M63" s="50"/>
      <c r="N63" s="51"/>
    </row>
    <row r="64" spans="1:14" x14ac:dyDescent="0.2">
      <c r="A64" s="64" t="s">
        <v>29</v>
      </c>
      <c r="B64" s="90">
        <v>238.304</v>
      </c>
      <c r="C64" s="91">
        <v>4.5999999999999999E-2</v>
      </c>
      <c r="D64" s="34">
        <v>0.14499999999999999</v>
      </c>
      <c r="E64" s="34">
        <v>0.70799999999999996</v>
      </c>
      <c r="F64" s="34">
        <v>5.7000000000000002E-2</v>
      </c>
      <c r="G64" s="34">
        <v>4.4999999999999998E-2</v>
      </c>
      <c r="K64" s="40"/>
      <c r="L64" s="40"/>
      <c r="M64" s="50"/>
      <c r="N64" s="51"/>
    </row>
    <row r="65" spans="1:14" x14ac:dyDescent="0.2">
      <c r="A65" s="106" t="s">
        <v>23</v>
      </c>
      <c r="B65" s="107">
        <v>13.978999999999999</v>
      </c>
      <c r="C65" s="110">
        <v>5.2999999999999999E-2</v>
      </c>
      <c r="D65" s="108">
        <v>0</v>
      </c>
      <c r="E65" s="108">
        <v>0</v>
      </c>
      <c r="F65" s="108">
        <v>0.47499999999999998</v>
      </c>
      <c r="G65" s="108">
        <v>0.47499999999999998</v>
      </c>
      <c r="K65" s="40"/>
      <c r="L65" s="40"/>
      <c r="M65" s="40"/>
      <c r="N65" s="51"/>
    </row>
    <row r="67" spans="1:14" ht="13.5" x14ac:dyDescent="0.2">
      <c r="A67" s="21" t="s">
        <v>86</v>
      </c>
    </row>
    <row r="68" spans="1:14" x14ac:dyDescent="0.2">
      <c r="A68" s="21" t="s">
        <v>77</v>
      </c>
    </row>
    <row r="69" spans="1:14" ht="13.5" x14ac:dyDescent="0.2">
      <c r="A69" s="38" t="s">
        <v>87</v>
      </c>
    </row>
    <row r="70" spans="1:14" ht="13.5" x14ac:dyDescent="0.2">
      <c r="A70" s="38" t="s">
        <v>88</v>
      </c>
    </row>
  </sheetData>
  <pageMargins left="0.7" right="0.7" top="0.75" bottom="0.75" header="0.3" footer="0.3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70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216" width="9.140625" style="38"/>
    <col min="217" max="217" width="21.7109375" style="38" customWidth="1"/>
    <col min="218" max="218" width="9.7109375" style="38" customWidth="1"/>
    <col min="219" max="221" width="9.140625" style="38"/>
    <col min="222" max="222" width="10.7109375" style="38" customWidth="1"/>
    <col min="223" max="223" width="9.5703125" style="38" customWidth="1"/>
    <col min="224" max="472" width="9.140625" style="38"/>
    <col min="473" max="473" width="21.7109375" style="38" customWidth="1"/>
    <col min="474" max="474" width="9.7109375" style="38" customWidth="1"/>
    <col min="475" max="477" width="9.140625" style="38"/>
    <col min="478" max="478" width="10.7109375" style="38" customWidth="1"/>
    <col min="479" max="479" width="9.5703125" style="38" customWidth="1"/>
    <col min="480" max="728" width="9.140625" style="38"/>
    <col min="729" max="729" width="21.7109375" style="38" customWidth="1"/>
    <col min="730" max="730" width="9.7109375" style="38" customWidth="1"/>
    <col min="731" max="733" width="9.140625" style="38"/>
    <col min="734" max="734" width="10.7109375" style="38" customWidth="1"/>
    <col min="735" max="735" width="9.5703125" style="38" customWidth="1"/>
    <col min="736" max="984" width="9.140625" style="38"/>
    <col min="985" max="985" width="21.7109375" style="38" customWidth="1"/>
    <col min="986" max="986" width="9.7109375" style="38" customWidth="1"/>
    <col min="987" max="989" width="9.140625" style="38"/>
    <col min="990" max="990" width="10.7109375" style="38" customWidth="1"/>
    <col min="991" max="991" width="9.5703125" style="38" customWidth="1"/>
    <col min="992" max="1240" width="9.140625" style="38"/>
    <col min="1241" max="1241" width="21.7109375" style="38" customWidth="1"/>
    <col min="1242" max="1242" width="9.7109375" style="38" customWidth="1"/>
    <col min="1243" max="1245" width="9.140625" style="38"/>
    <col min="1246" max="1246" width="10.7109375" style="38" customWidth="1"/>
    <col min="1247" max="1247" width="9.5703125" style="38" customWidth="1"/>
    <col min="1248" max="1496" width="9.140625" style="38"/>
    <col min="1497" max="1497" width="21.7109375" style="38" customWidth="1"/>
    <col min="1498" max="1498" width="9.7109375" style="38" customWidth="1"/>
    <col min="1499" max="1501" width="9.140625" style="38"/>
    <col min="1502" max="1502" width="10.7109375" style="38" customWidth="1"/>
    <col min="1503" max="1503" width="9.5703125" style="38" customWidth="1"/>
    <col min="1504" max="1752" width="9.140625" style="38"/>
    <col min="1753" max="1753" width="21.7109375" style="38" customWidth="1"/>
    <col min="1754" max="1754" width="9.7109375" style="38" customWidth="1"/>
    <col min="1755" max="1757" width="9.140625" style="38"/>
    <col min="1758" max="1758" width="10.7109375" style="38" customWidth="1"/>
    <col min="1759" max="1759" width="9.5703125" style="38" customWidth="1"/>
    <col min="1760" max="2008" width="9.140625" style="38"/>
    <col min="2009" max="2009" width="21.7109375" style="38" customWidth="1"/>
    <col min="2010" max="2010" width="9.7109375" style="38" customWidth="1"/>
    <col min="2011" max="2013" width="9.140625" style="38"/>
    <col min="2014" max="2014" width="10.7109375" style="38" customWidth="1"/>
    <col min="2015" max="2015" width="9.5703125" style="38" customWidth="1"/>
    <col min="2016" max="2264" width="9.140625" style="38"/>
    <col min="2265" max="2265" width="21.7109375" style="38" customWidth="1"/>
    <col min="2266" max="2266" width="9.7109375" style="38" customWidth="1"/>
    <col min="2267" max="2269" width="9.140625" style="38"/>
    <col min="2270" max="2270" width="10.7109375" style="38" customWidth="1"/>
    <col min="2271" max="2271" width="9.5703125" style="38" customWidth="1"/>
    <col min="2272" max="2520" width="9.140625" style="38"/>
    <col min="2521" max="2521" width="21.7109375" style="38" customWidth="1"/>
    <col min="2522" max="2522" width="9.7109375" style="38" customWidth="1"/>
    <col min="2523" max="2525" width="9.140625" style="38"/>
    <col min="2526" max="2526" width="10.7109375" style="38" customWidth="1"/>
    <col min="2527" max="2527" width="9.5703125" style="38" customWidth="1"/>
    <col min="2528" max="2776" width="9.140625" style="38"/>
    <col min="2777" max="2777" width="21.7109375" style="38" customWidth="1"/>
    <col min="2778" max="2778" width="9.7109375" style="38" customWidth="1"/>
    <col min="2779" max="2781" width="9.140625" style="38"/>
    <col min="2782" max="2782" width="10.7109375" style="38" customWidth="1"/>
    <col min="2783" max="2783" width="9.5703125" style="38" customWidth="1"/>
    <col min="2784" max="3032" width="9.140625" style="38"/>
    <col min="3033" max="3033" width="21.7109375" style="38" customWidth="1"/>
    <col min="3034" max="3034" width="9.7109375" style="38" customWidth="1"/>
    <col min="3035" max="3037" width="9.140625" style="38"/>
    <col min="3038" max="3038" width="10.7109375" style="38" customWidth="1"/>
    <col min="3039" max="3039" width="9.5703125" style="38" customWidth="1"/>
    <col min="3040" max="3288" width="9.140625" style="38"/>
    <col min="3289" max="3289" width="21.7109375" style="38" customWidth="1"/>
    <col min="3290" max="3290" width="9.7109375" style="38" customWidth="1"/>
    <col min="3291" max="3293" width="9.140625" style="38"/>
    <col min="3294" max="3294" width="10.7109375" style="38" customWidth="1"/>
    <col min="3295" max="3295" width="9.5703125" style="38" customWidth="1"/>
    <col min="3296" max="3544" width="9.140625" style="38"/>
    <col min="3545" max="3545" width="21.7109375" style="38" customWidth="1"/>
    <col min="3546" max="3546" width="9.7109375" style="38" customWidth="1"/>
    <col min="3547" max="3549" width="9.140625" style="38"/>
    <col min="3550" max="3550" width="10.7109375" style="38" customWidth="1"/>
    <col min="3551" max="3551" width="9.5703125" style="38" customWidth="1"/>
    <col min="3552" max="3800" width="9.140625" style="38"/>
    <col min="3801" max="3801" width="21.7109375" style="38" customWidth="1"/>
    <col min="3802" max="3802" width="9.7109375" style="38" customWidth="1"/>
    <col min="3803" max="3805" width="9.140625" style="38"/>
    <col min="3806" max="3806" width="10.7109375" style="38" customWidth="1"/>
    <col min="3807" max="3807" width="9.5703125" style="38" customWidth="1"/>
    <col min="3808" max="4056" width="9.140625" style="38"/>
    <col min="4057" max="4057" width="21.7109375" style="38" customWidth="1"/>
    <col min="4058" max="4058" width="9.7109375" style="38" customWidth="1"/>
    <col min="4059" max="4061" width="9.140625" style="38"/>
    <col min="4062" max="4062" width="10.7109375" style="38" customWidth="1"/>
    <col min="4063" max="4063" width="9.5703125" style="38" customWidth="1"/>
    <col min="4064" max="4312" width="9.140625" style="38"/>
    <col min="4313" max="4313" width="21.7109375" style="38" customWidth="1"/>
    <col min="4314" max="4314" width="9.7109375" style="38" customWidth="1"/>
    <col min="4315" max="4317" width="9.140625" style="38"/>
    <col min="4318" max="4318" width="10.7109375" style="38" customWidth="1"/>
    <col min="4319" max="4319" width="9.5703125" style="38" customWidth="1"/>
    <col min="4320" max="4568" width="9.140625" style="38"/>
    <col min="4569" max="4569" width="21.7109375" style="38" customWidth="1"/>
    <col min="4570" max="4570" width="9.7109375" style="38" customWidth="1"/>
    <col min="4571" max="4573" width="9.140625" style="38"/>
    <col min="4574" max="4574" width="10.7109375" style="38" customWidth="1"/>
    <col min="4575" max="4575" width="9.5703125" style="38" customWidth="1"/>
    <col min="4576" max="4824" width="9.140625" style="38"/>
    <col min="4825" max="4825" width="21.7109375" style="38" customWidth="1"/>
    <col min="4826" max="4826" width="9.7109375" style="38" customWidth="1"/>
    <col min="4827" max="4829" width="9.140625" style="38"/>
    <col min="4830" max="4830" width="10.7109375" style="38" customWidth="1"/>
    <col min="4831" max="4831" width="9.5703125" style="38" customWidth="1"/>
    <col min="4832" max="5080" width="9.140625" style="38"/>
    <col min="5081" max="5081" width="21.7109375" style="38" customWidth="1"/>
    <col min="5082" max="5082" width="9.7109375" style="38" customWidth="1"/>
    <col min="5083" max="5085" width="9.140625" style="38"/>
    <col min="5086" max="5086" width="10.7109375" style="38" customWidth="1"/>
    <col min="5087" max="5087" width="9.5703125" style="38" customWidth="1"/>
    <col min="5088" max="5336" width="9.140625" style="38"/>
    <col min="5337" max="5337" width="21.7109375" style="38" customWidth="1"/>
    <col min="5338" max="5338" width="9.7109375" style="38" customWidth="1"/>
    <col min="5339" max="5341" width="9.140625" style="38"/>
    <col min="5342" max="5342" width="10.7109375" style="38" customWidth="1"/>
    <col min="5343" max="5343" width="9.5703125" style="38" customWidth="1"/>
    <col min="5344" max="5592" width="9.140625" style="38"/>
    <col min="5593" max="5593" width="21.7109375" style="38" customWidth="1"/>
    <col min="5594" max="5594" width="9.7109375" style="38" customWidth="1"/>
    <col min="5595" max="5597" width="9.140625" style="38"/>
    <col min="5598" max="5598" width="10.7109375" style="38" customWidth="1"/>
    <col min="5599" max="5599" width="9.5703125" style="38" customWidth="1"/>
    <col min="5600" max="5848" width="9.140625" style="38"/>
    <col min="5849" max="5849" width="21.7109375" style="38" customWidth="1"/>
    <col min="5850" max="5850" width="9.7109375" style="38" customWidth="1"/>
    <col min="5851" max="5853" width="9.140625" style="38"/>
    <col min="5854" max="5854" width="10.7109375" style="38" customWidth="1"/>
    <col min="5855" max="5855" width="9.5703125" style="38" customWidth="1"/>
    <col min="5856" max="6104" width="9.140625" style="38"/>
    <col min="6105" max="6105" width="21.7109375" style="38" customWidth="1"/>
    <col min="6106" max="6106" width="9.7109375" style="38" customWidth="1"/>
    <col min="6107" max="6109" width="9.140625" style="38"/>
    <col min="6110" max="6110" width="10.7109375" style="38" customWidth="1"/>
    <col min="6111" max="6111" width="9.5703125" style="38" customWidth="1"/>
    <col min="6112" max="6360" width="9.140625" style="38"/>
    <col min="6361" max="6361" width="21.7109375" style="38" customWidth="1"/>
    <col min="6362" max="6362" width="9.7109375" style="38" customWidth="1"/>
    <col min="6363" max="6365" width="9.140625" style="38"/>
    <col min="6366" max="6366" width="10.7109375" style="38" customWidth="1"/>
    <col min="6367" max="6367" width="9.5703125" style="38" customWidth="1"/>
    <col min="6368" max="6616" width="9.140625" style="38"/>
    <col min="6617" max="6617" width="21.7109375" style="38" customWidth="1"/>
    <col min="6618" max="6618" width="9.7109375" style="38" customWidth="1"/>
    <col min="6619" max="6621" width="9.140625" style="38"/>
    <col min="6622" max="6622" width="10.7109375" style="38" customWidth="1"/>
    <col min="6623" max="6623" width="9.5703125" style="38" customWidth="1"/>
    <col min="6624" max="6872" width="9.140625" style="38"/>
    <col min="6873" max="6873" width="21.7109375" style="38" customWidth="1"/>
    <col min="6874" max="6874" width="9.7109375" style="38" customWidth="1"/>
    <col min="6875" max="6877" width="9.140625" style="38"/>
    <col min="6878" max="6878" width="10.7109375" style="38" customWidth="1"/>
    <col min="6879" max="6879" width="9.5703125" style="38" customWidth="1"/>
    <col min="6880" max="7128" width="9.140625" style="38"/>
    <col min="7129" max="7129" width="21.7109375" style="38" customWidth="1"/>
    <col min="7130" max="7130" width="9.7109375" style="38" customWidth="1"/>
    <col min="7131" max="7133" width="9.140625" style="38"/>
    <col min="7134" max="7134" width="10.7109375" style="38" customWidth="1"/>
    <col min="7135" max="7135" width="9.5703125" style="38" customWidth="1"/>
    <col min="7136" max="7384" width="9.140625" style="38"/>
    <col min="7385" max="7385" width="21.7109375" style="38" customWidth="1"/>
    <col min="7386" max="7386" width="9.7109375" style="38" customWidth="1"/>
    <col min="7387" max="7389" width="9.140625" style="38"/>
    <col min="7390" max="7390" width="10.7109375" style="38" customWidth="1"/>
    <col min="7391" max="7391" width="9.5703125" style="38" customWidth="1"/>
    <col min="7392" max="7640" width="9.140625" style="38"/>
    <col min="7641" max="7641" width="21.7109375" style="38" customWidth="1"/>
    <col min="7642" max="7642" width="9.7109375" style="38" customWidth="1"/>
    <col min="7643" max="7645" width="9.140625" style="38"/>
    <col min="7646" max="7646" width="10.7109375" style="38" customWidth="1"/>
    <col min="7647" max="7647" width="9.5703125" style="38" customWidth="1"/>
    <col min="7648" max="7896" width="9.140625" style="38"/>
    <col min="7897" max="7897" width="21.7109375" style="38" customWidth="1"/>
    <col min="7898" max="7898" width="9.7109375" style="38" customWidth="1"/>
    <col min="7899" max="7901" width="9.140625" style="38"/>
    <col min="7902" max="7902" width="10.7109375" style="38" customWidth="1"/>
    <col min="7903" max="7903" width="9.5703125" style="38" customWidth="1"/>
    <col min="7904" max="8152" width="9.140625" style="38"/>
    <col min="8153" max="8153" width="21.7109375" style="38" customWidth="1"/>
    <col min="8154" max="8154" width="9.7109375" style="38" customWidth="1"/>
    <col min="8155" max="8157" width="9.140625" style="38"/>
    <col min="8158" max="8158" width="10.7109375" style="38" customWidth="1"/>
    <col min="8159" max="8159" width="9.5703125" style="38" customWidth="1"/>
    <col min="8160" max="8408" width="9.140625" style="38"/>
    <col min="8409" max="8409" width="21.7109375" style="38" customWidth="1"/>
    <col min="8410" max="8410" width="9.7109375" style="38" customWidth="1"/>
    <col min="8411" max="8413" width="9.140625" style="38"/>
    <col min="8414" max="8414" width="10.7109375" style="38" customWidth="1"/>
    <col min="8415" max="8415" width="9.5703125" style="38" customWidth="1"/>
    <col min="8416" max="8664" width="9.140625" style="38"/>
    <col min="8665" max="8665" width="21.7109375" style="38" customWidth="1"/>
    <col min="8666" max="8666" width="9.7109375" style="38" customWidth="1"/>
    <col min="8667" max="8669" width="9.140625" style="38"/>
    <col min="8670" max="8670" width="10.7109375" style="38" customWidth="1"/>
    <col min="8671" max="8671" width="9.5703125" style="38" customWidth="1"/>
    <col min="8672" max="8920" width="9.140625" style="38"/>
    <col min="8921" max="8921" width="21.7109375" style="38" customWidth="1"/>
    <col min="8922" max="8922" width="9.7109375" style="38" customWidth="1"/>
    <col min="8923" max="8925" width="9.140625" style="38"/>
    <col min="8926" max="8926" width="10.7109375" style="38" customWidth="1"/>
    <col min="8927" max="8927" width="9.5703125" style="38" customWidth="1"/>
    <col min="8928" max="9176" width="9.140625" style="38"/>
    <col min="9177" max="9177" width="21.7109375" style="38" customWidth="1"/>
    <col min="9178" max="9178" width="9.7109375" style="38" customWidth="1"/>
    <col min="9179" max="9181" width="9.140625" style="38"/>
    <col min="9182" max="9182" width="10.7109375" style="38" customWidth="1"/>
    <col min="9183" max="9183" width="9.5703125" style="38" customWidth="1"/>
    <col min="9184" max="9432" width="9.140625" style="38"/>
    <col min="9433" max="9433" width="21.7109375" style="38" customWidth="1"/>
    <col min="9434" max="9434" width="9.7109375" style="38" customWidth="1"/>
    <col min="9435" max="9437" width="9.140625" style="38"/>
    <col min="9438" max="9438" width="10.7109375" style="38" customWidth="1"/>
    <col min="9439" max="9439" width="9.5703125" style="38" customWidth="1"/>
    <col min="9440" max="9688" width="9.140625" style="38"/>
    <col min="9689" max="9689" width="21.7109375" style="38" customWidth="1"/>
    <col min="9690" max="9690" width="9.7109375" style="38" customWidth="1"/>
    <col min="9691" max="9693" width="9.140625" style="38"/>
    <col min="9694" max="9694" width="10.7109375" style="38" customWidth="1"/>
    <col min="9695" max="9695" width="9.5703125" style="38" customWidth="1"/>
    <col min="9696" max="9944" width="9.140625" style="38"/>
    <col min="9945" max="9945" width="21.7109375" style="38" customWidth="1"/>
    <col min="9946" max="9946" width="9.7109375" style="38" customWidth="1"/>
    <col min="9947" max="9949" width="9.140625" style="38"/>
    <col min="9950" max="9950" width="10.7109375" style="38" customWidth="1"/>
    <col min="9951" max="9951" width="9.5703125" style="38" customWidth="1"/>
    <col min="9952" max="10200" width="9.140625" style="38"/>
    <col min="10201" max="10201" width="21.7109375" style="38" customWidth="1"/>
    <col min="10202" max="10202" width="9.7109375" style="38" customWidth="1"/>
    <col min="10203" max="10205" width="9.140625" style="38"/>
    <col min="10206" max="10206" width="10.7109375" style="38" customWidth="1"/>
    <col min="10207" max="10207" width="9.5703125" style="38" customWidth="1"/>
    <col min="10208" max="10456" width="9.140625" style="38"/>
    <col min="10457" max="10457" width="21.7109375" style="38" customWidth="1"/>
    <col min="10458" max="10458" width="9.7109375" style="38" customWidth="1"/>
    <col min="10459" max="10461" width="9.140625" style="38"/>
    <col min="10462" max="10462" width="10.7109375" style="38" customWidth="1"/>
    <col min="10463" max="10463" width="9.5703125" style="38" customWidth="1"/>
    <col min="10464" max="10712" width="9.140625" style="38"/>
    <col min="10713" max="10713" width="21.7109375" style="38" customWidth="1"/>
    <col min="10714" max="10714" width="9.7109375" style="38" customWidth="1"/>
    <col min="10715" max="10717" width="9.140625" style="38"/>
    <col min="10718" max="10718" width="10.7109375" style="38" customWidth="1"/>
    <col min="10719" max="10719" width="9.5703125" style="38" customWidth="1"/>
    <col min="10720" max="10968" width="9.140625" style="38"/>
    <col min="10969" max="10969" width="21.7109375" style="38" customWidth="1"/>
    <col min="10970" max="10970" width="9.7109375" style="38" customWidth="1"/>
    <col min="10971" max="10973" width="9.140625" style="38"/>
    <col min="10974" max="10974" width="10.7109375" style="38" customWidth="1"/>
    <col min="10975" max="10975" width="9.5703125" style="38" customWidth="1"/>
    <col min="10976" max="11224" width="9.140625" style="38"/>
    <col min="11225" max="11225" width="21.7109375" style="38" customWidth="1"/>
    <col min="11226" max="11226" width="9.7109375" style="38" customWidth="1"/>
    <col min="11227" max="11229" width="9.140625" style="38"/>
    <col min="11230" max="11230" width="10.7109375" style="38" customWidth="1"/>
    <col min="11231" max="11231" width="9.5703125" style="38" customWidth="1"/>
    <col min="11232" max="11480" width="9.140625" style="38"/>
    <col min="11481" max="11481" width="21.7109375" style="38" customWidth="1"/>
    <col min="11482" max="11482" width="9.7109375" style="38" customWidth="1"/>
    <col min="11483" max="11485" width="9.140625" style="38"/>
    <col min="11486" max="11486" width="10.7109375" style="38" customWidth="1"/>
    <col min="11487" max="11487" width="9.5703125" style="38" customWidth="1"/>
    <col min="11488" max="11736" width="9.140625" style="38"/>
    <col min="11737" max="11737" width="21.7109375" style="38" customWidth="1"/>
    <col min="11738" max="11738" width="9.7109375" style="38" customWidth="1"/>
    <col min="11739" max="11741" width="9.140625" style="38"/>
    <col min="11742" max="11742" width="10.7109375" style="38" customWidth="1"/>
    <col min="11743" max="11743" width="9.5703125" style="38" customWidth="1"/>
    <col min="11744" max="11992" width="9.140625" style="38"/>
    <col min="11993" max="11993" width="21.7109375" style="38" customWidth="1"/>
    <col min="11994" max="11994" width="9.7109375" style="38" customWidth="1"/>
    <col min="11995" max="11997" width="9.140625" style="38"/>
    <col min="11998" max="11998" width="10.7109375" style="38" customWidth="1"/>
    <col min="11999" max="11999" width="9.5703125" style="38" customWidth="1"/>
    <col min="12000" max="12248" width="9.140625" style="38"/>
    <col min="12249" max="12249" width="21.7109375" style="38" customWidth="1"/>
    <col min="12250" max="12250" width="9.7109375" style="38" customWidth="1"/>
    <col min="12251" max="12253" width="9.140625" style="38"/>
    <col min="12254" max="12254" width="10.7109375" style="38" customWidth="1"/>
    <col min="12255" max="12255" width="9.5703125" style="38" customWidth="1"/>
    <col min="12256" max="12504" width="9.140625" style="38"/>
    <col min="12505" max="12505" width="21.7109375" style="38" customWidth="1"/>
    <col min="12506" max="12506" width="9.7109375" style="38" customWidth="1"/>
    <col min="12507" max="12509" width="9.140625" style="38"/>
    <col min="12510" max="12510" width="10.7109375" style="38" customWidth="1"/>
    <col min="12511" max="12511" width="9.5703125" style="38" customWidth="1"/>
    <col min="12512" max="12760" width="9.140625" style="38"/>
    <col min="12761" max="12761" width="21.7109375" style="38" customWidth="1"/>
    <col min="12762" max="12762" width="9.7109375" style="38" customWidth="1"/>
    <col min="12763" max="12765" width="9.140625" style="38"/>
    <col min="12766" max="12766" width="10.7109375" style="38" customWidth="1"/>
    <col min="12767" max="12767" width="9.5703125" style="38" customWidth="1"/>
    <col min="12768" max="13016" width="9.140625" style="38"/>
    <col min="13017" max="13017" width="21.7109375" style="38" customWidth="1"/>
    <col min="13018" max="13018" width="9.7109375" style="38" customWidth="1"/>
    <col min="13019" max="13021" width="9.140625" style="38"/>
    <col min="13022" max="13022" width="10.7109375" style="38" customWidth="1"/>
    <col min="13023" max="13023" width="9.5703125" style="38" customWidth="1"/>
    <col min="13024" max="13272" width="9.140625" style="38"/>
    <col min="13273" max="13273" width="21.7109375" style="38" customWidth="1"/>
    <col min="13274" max="13274" width="9.7109375" style="38" customWidth="1"/>
    <col min="13275" max="13277" width="9.140625" style="38"/>
    <col min="13278" max="13278" width="10.7109375" style="38" customWidth="1"/>
    <col min="13279" max="13279" width="9.5703125" style="38" customWidth="1"/>
    <col min="13280" max="13528" width="9.140625" style="38"/>
    <col min="13529" max="13529" width="21.7109375" style="38" customWidth="1"/>
    <col min="13530" max="13530" width="9.7109375" style="38" customWidth="1"/>
    <col min="13531" max="13533" width="9.140625" style="38"/>
    <col min="13534" max="13534" width="10.7109375" style="38" customWidth="1"/>
    <col min="13535" max="13535" width="9.5703125" style="38" customWidth="1"/>
    <col min="13536" max="13784" width="9.140625" style="38"/>
    <col min="13785" max="13785" width="21.7109375" style="38" customWidth="1"/>
    <col min="13786" max="13786" width="9.7109375" style="38" customWidth="1"/>
    <col min="13787" max="13789" width="9.140625" style="38"/>
    <col min="13790" max="13790" width="10.7109375" style="38" customWidth="1"/>
    <col min="13791" max="13791" width="9.5703125" style="38" customWidth="1"/>
    <col min="13792" max="14040" width="9.140625" style="38"/>
    <col min="14041" max="14041" width="21.7109375" style="38" customWidth="1"/>
    <col min="14042" max="14042" width="9.7109375" style="38" customWidth="1"/>
    <col min="14043" max="14045" width="9.140625" style="38"/>
    <col min="14046" max="14046" width="10.7109375" style="38" customWidth="1"/>
    <col min="14047" max="14047" width="9.5703125" style="38" customWidth="1"/>
    <col min="14048" max="14296" width="9.140625" style="38"/>
    <col min="14297" max="14297" width="21.7109375" style="38" customWidth="1"/>
    <col min="14298" max="14298" width="9.7109375" style="38" customWidth="1"/>
    <col min="14299" max="14301" width="9.140625" style="38"/>
    <col min="14302" max="14302" width="10.7109375" style="38" customWidth="1"/>
    <col min="14303" max="14303" width="9.5703125" style="38" customWidth="1"/>
    <col min="14304" max="14552" width="9.140625" style="38"/>
    <col min="14553" max="14553" width="21.7109375" style="38" customWidth="1"/>
    <col min="14554" max="14554" width="9.7109375" style="38" customWidth="1"/>
    <col min="14555" max="14557" width="9.140625" style="38"/>
    <col min="14558" max="14558" width="10.7109375" style="38" customWidth="1"/>
    <col min="14559" max="14559" width="9.5703125" style="38" customWidth="1"/>
    <col min="14560" max="14808" width="9.140625" style="38"/>
    <col min="14809" max="14809" width="21.7109375" style="38" customWidth="1"/>
    <col min="14810" max="14810" width="9.7109375" style="38" customWidth="1"/>
    <col min="14811" max="14813" width="9.140625" style="38"/>
    <col min="14814" max="14814" width="10.7109375" style="38" customWidth="1"/>
    <col min="14815" max="14815" width="9.5703125" style="38" customWidth="1"/>
    <col min="14816" max="15064" width="9.140625" style="38"/>
    <col min="15065" max="15065" width="21.7109375" style="38" customWidth="1"/>
    <col min="15066" max="15066" width="9.7109375" style="38" customWidth="1"/>
    <col min="15067" max="15069" width="9.140625" style="38"/>
    <col min="15070" max="15070" width="10.7109375" style="38" customWidth="1"/>
    <col min="15071" max="15071" width="9.5703125" style="38" customWidth="1"/>
    <col min="15072" max="15320" width="9.140625" style="38"/>
    <col min="15321" max="15321" width="21.7109375" style="38" customWidth="1"/>
    <col min="15322" max="15322" width="9.7109375" style="38" customWidth="1"/>
    <col min="15323" max="15325" width="9.140625" style="38"/>
    <col min="15326" max="15326" width="10.7109375" style="38" customWidth="1"/>
    <col min="15327" max="15327" width="9.5703125" style="38" customWidth="1"/>
    <col min="15328" max="15576" width="9.140625" style="38"/>
    <col min="15577" max="15577" width="21.7109375" style="38" customWidth="1"/>
    <col min="15578" max="15578" width="9.7109375" style="38" customWidth="1"/>
    <col min="15579" max="15581" width="9.140625" style="38"/>
    <col min="15582" max="15582" width="10.7109375" style="38" customWidth="1"/>
    <col min="15583" max="15583" width="9.5703125" style="38" customWidth="1"/>
    <col min="15584" max="15832" width="9.140625" style="38"/>
    <col min="15833" max="15833" width="21.7109375" style="38" customWidth="1"/>
    <col min="15834" max="15834" width="9.7109375" style="38" customWidth="1"/>
    <col min="15835" max="15837" width="9.140625" style="38"/>
    <col min="15838" max="15838" width="10.7109375" style="38" customWidth="1"/>
    <col min="15839" max="15839" width="9.5703125" style="38" customWidth="1"/>
    <col min="15840" max="16088" width="9.140625" style="38"/>
    <col min="16089" max="16089" width="21.7109375" style="38" customWidth="1"/>
    <col min="16090" max="16090" width="9.7109375" style="38" customWidth="1"/>
    <col min="16091" max="16093" width="9.140625" style="38"/>
    <col min="16094" max="16094" width="10.7109375" style="38" customWidth="1"/>
    <col min="16095" max="16095" width="9.5703125" style="38" customWidth="1"/>
    <col min="16096" max="16384" width="9.140625" style="38"/>
  </cols>
  <sheetData>
    <row r="1" spans="1:10" ht="15.75" x14ac:dyDescent="0.25">
      <c r="A1" s="52" t="s">
        <v>76</v>
      </c>
      <c r="F1" s="37"/>
      <c r="G1" s="37"/>
    </row>
    <row r="2" spans="1:10" x14ac:dyDescent="0.2">
      <c r="F2" s="37"/>
      <c r="G2" s="37"/>
    </row>
    <row r="3" spans="1:10" ht="48" x14ac:dyDescent="0.2">
      <c r="A3" s="54">
        <v>2014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71" t="s">
        <v>49</v>
      </c>
    </row>
    <row r="4" spans="1:10" ht="13.5" x14ac:dyDescent="0.2">
      <c r="A4" s="59" t="s">
        <v>82</v>
      </c>
      <c r="B4" s="77">
        <f>SUM(B5:B32)</f>
        <v>331.14377695408962</v>
      </c>
      <c r="C4" s="67"/>
      <c r="D4" s="73"/>
      <c r="E4" s="60">
        <v>0.104</v>
      </c>
      <c r="F4" s="77">
        <f>SUM(F5:F32)</f>
        <v>119.27205171419365</v>
      </c>
      <c r="G4" s="111">
        <f>SUM(G5:G32)</f>
        <v>2767.9416700363136</v>
      </c>
      <c r="H4" s="86"/>
      <c r="I4" s="86"/>
      <c r="J4" s="84">
        <f>SUM(J5:J32)</f>
        <v>285.70262942378611</v>
      </c>
    </row>
    <row r="5" spans="1:10" x14ac:dyDescent="0.2">
      <c r="A5" s="61" t="s">
        <v>3</v>
      </c>
      <c r="B5" s="81">
        <v>12.203752292322083</v>
      </c>
      <c r="C5" s="68">
        <v>0.42043015549772333</v>
      </c>
      <c r="D5" s="74">
        <v>0.57956984450227667</v>
      </c>
      <c r="E5" s="62">
        <v>0.1678945656351491</v>
      </c>
      <c r="F5" s="81">
        <v>2.4036196990000001</v>
      </c>
      <c r="G5" s="112">
        <v>107.35783526033079</v>
      </c>
      <c r="H5" s="87">
        <v>0.22153276546507061</v>
      </c>
      <c r="I5" s="87">
        <v>0.77846723453492939</v>
      </c>
      <c r="J5" s="78">
        <v>5.5212177266300007</v>
      </c>
    </row>
    <row r="6" spans="1:10" x14ac:dyDescent="0.2">
      <c r="A6" s="63" t="s">
        <v>4</v>
      </c>
      <c r="B6" s="82">
        <v>2.9590000000000001</v>
      </c>
      <c r="C6" s="69">
        <v>0.9689084150050693</v>
      </c>
      <c r="D6" s="75">
        <v>3.109158499493072E-2</v>
      </c>
      <c r="E6" s="33">
        <v>6.2314415078445824E-2</v>
      </c>
      <c r="F6" s="82">
        <v>0.92</v>
      </c>
      <c r="G6" s="113">
        <v>33.378</v>
      </c>
      <c r="H6" s="88">
        <v>0.98990352927077718</v>
      </c>
      <c r="I6" s="88">
        <v>1.0096470729222842E-2</v>
      </c>
      <c r="J6" s="79">
        <v>3.4</v>
      </c>
    </row>
    <row r="7" spans="1:10" x14ac:dyDescent="0.2">
      <c r="A7" s="63" t="s">
        <v>6</v>
      </c>
      <c r="B7" s="82">
        <v>11.801</v>
      </c>
      <c r="C7" s="69">
        <v>0.70426235064825016</v>
      </c>
      <c r="D7" s="75">
        <v>0.29573764935174984</v>
      </c>
      <c r="E7" s="33">
        <v>0.13718264670324559</v>
      </c>
      <c r="F7" s="82">
        <v>4.6289999999999996</v>
      </c>
      <c r="G7" s="113">
        <v>105.626</v>
      </c>
      <c r="H7" s="88">
        <v>0.62337871357430941</v>
      </c>
      <c r="I7" s="88">
        <v>0.37662128642569065</v>
      </c>
      <c r="J7" s="79">
        <v>21.010999999999999</v>
      </c>
    </row>
    <row r="8" spans="1:10" x14ac:dyDescent="0.2">
      <c r="A8" s="63" t="s">
        <v>8</v>
      </c>
      <c r="B8" s="82">
        <v>11.492000000000001</v>
      </c>
      <c r="C8" s="69">
        <v>0.82640380000000002</v>
      </c>
      <c r="D8" s="75">
        <v>0.17359620000000001</v>
      </c>
      <c r="E8" s="33">
        <v>0.35699999999999998</v>
      </c>
      <c r="F8" s="82">
        <v>6.1669999999999998</v>
      </c>
      <c r="G8" s="113">
        <v>91.122</v>
      </c>
      <c r="H8" s="88">
        <v>0.70141929999999997</v>
      </c>
      <c r="I8" s="88">
        <v>0.29858069999999998</v>
      </c>
      <c r="J8" s="79">
        <v>9.5660000000000007</v>
      </c>
    </row>
    <row r="9" spans="1:10" ht="13.5" x14ac:dyDescent="0.2">
      <c r="A9" s="63" t="s">
        <v>89</v>
      </c>
      <c r="B9" s="82">
        <v>74.830600000000004</v>
      </c>
      <c r="C9" s="69">
        <v>0.60019831459322792</v>
      </c>
      <c r="D9" s="75">
        <v>0.39980168540677208</v>
      </c>
      <c r="E9" s="33">
        <v>0.11919591586425506</v>
      </c>
      <c r="F9" s="82">
        <v>37.185400000000001</v>
      </c>
      <c r="G9" s="113">
        <v>651.4289</v>
      </c>
      <c r="H9" s="88">
        <v>0.51355735061800301</v>
      </c>
      <c r="I9" s="88">
        <v>0.48644264938199699</v>
      </c>
      <c r="J9" s="79">
        <v>92.234899999999996</v>
      </c>
    </row>
    <row r="10" spans="1:10" x14ac:dyDescent="0.2">
      <c r="A10" s="63" t="s">
        <v>9</v>
      </c>
      <c r="B10" s="82">
        <v>1.239252</v>
      </c>
      <c r="C10" s="69">
        <v>0.96362483175334801</v>
      </c>
      <c r="D10" s="75">
        <v>3.6375168246652018E-2</v>
      </c>
      <c r="E10" s="33">
        <v>9.9570303712035999E-2</v>
      </c>
      <c r="F10" s="82">
        <v>0.46664999999999995</v>
      </c>
      <c r="G10" s="113">
        <v>12.656044999999999</v>
      </c>
      <c r="H10" s="88">
        <v>0.90057739206837517</v>
      </c>
      <c r="I10" s="88">
        <v>9.9422607931624787E-2</v>
      </c>
      <c r="J10" s="79">
        <v>1.432175</v>
      </c>
    </row>
    <row r="11" spans="1:10" x14ac:dyDescent="0.2">
      <c r="A11" s="63" t="s">
        <v>16</v>
      </c>
      <c r="B11" s="82">
        <v>2.0419999999999998</v>
      </c>
      <c r="C11" s="69">
        <v>0</v>
      </c>
      <c r="D11" s="75">
        <v>1</v>
      </c>
      <c r="E11" s="33">
        <v>7.4308588064046582E-2</v>
      </c>
      <c r="F11" s="82">
        <v>0.309</v>
      </c>
      <c r="G11" s="113">
        <v>11.558999999999999</v>
      </c>
      <c r="H11" s="88">
        <v>0</v>
      </c>
      <c r="I11" s="88">
        <v>1</v>
      </c>
      <c r="J11" s="79">
        <v>0.59</v>
      </c>
    </row>
    <row r="12" spans="1:10" ht="13.5" x14ac:dyDescent="0.2">
      <c r="A12" s="63" t="s">
        <v>90</v>
      </c>
      <c r="B12" s="82">
        <v>1.8879999999999999</v>
      </c>
      <c r="C12" s="69">
        <v>0.11705508474576276</v>
      </c>
      <c r="D12" s="75">
        <v>0.88294491525423724</v>
      </c>
      <c r="E12" s="33">
        <v>3.7405396837975988E-2</v>
      </c>
      <c r="F12" s="82">
        <v>0.55300000000000005</v>
      </c>
      <c r="G12" s="113">
        <v>10.068</v>
      </c>
      <c r="H12" s="88">
        <v>0.21126340882002381</v>
      </c>
      <c r="I12" s="88">
        <v>0.78873659117997619</v>
      </c>
      <c r="J12" s="79">
        <v>0.76100000000000001</v>
      </c>
    </row>
    <row r="13" spans="1:10" x14ac:dyDescent="0.2">
      <c r="A13" s="63" t="s">
        <v>11</v>
      </c>
      <c r="B13" s="82">
        <v>23.292878875199996</v>
      </c>
      <c r="C13" s="69">
        <v>1</v>
      </c>
      <c r="D13" s="75">
        <v>0</v>
      </c>
      <c r="E13" s="33">
        <v>8.3562197084832576E-2</v>
      </c>
      <c r="F13" s="82">
        <v>3.9084148165834858</v>
      </c>
      <c r="G13" s="113">
        <v>138.20500381539938</v>
      </c>
      <c r="H13" s="88">
        <v>1</v>
      </c>
      <c r="I13" s="88">
        <v>0</v>
      </c>
      <c r="J13" s="79">
        <v>5.5030550359670816</v>
      </c>
    </row>
    <row r="14" spans="1:10" x14ac:dyDescent="0.2">
      <c r="A14" s="63" t="s">
        <v>13</v>
      </c>
      <c r="B14" s="82">
        <v>11.624919999999999</v>
      </c>
      <c r="C14" s="69">
        <v>0.43922538821772539</v>
      </c>
      <c r="D14" s="75">
        <v>0.56077461178227461</v>
      </c>
      <c r="E14" s="33">
        <v>2.0656389042887403E-2</v>
      </c>
      <c r="F14" s="82">
        <v>6.1712499999999997</v>
      </c>
      <c r="G14" s="113">
        <v>132.04309849999999</v>
      </c>
      <c r="H14" s="88">
        <v>0.28072128661839912</v>
      </c>
      <c r="I14" s="88">
        <v>0.71927871338160088</v>
      </c>
      <c r="J14" s="79">
        <v>13.73948</v>
      </c>
    </row>
    <row r="15" spans="1:10" x14ac:dyDescent="0.2">
      <c r="A15" s="63" t="s">
        <v>14</v>
      </c>
      <c r="B15" s="82">
        <v>0.86</v>
      </c>
      <c r="C15" s="69">
        <v>0.85465116279069764</v>
      </c>
      <c r="D15" s="75">
        <v>0.14534883720930233</v>
      </c>
      <c r="E15" s="33">
        <v>6.3449904087354292E-2</v>
      </c>
      <c r="F15" s="82">
        <v>0.68100000000000005</v>
      </c>
      <c r="G15" s="113">
        <v>11.316000000000001</v>
      </c>
      <c r="H15" s="88">
        <v>0.50159066808059383</v>
      </c>
      <c r="I15" s="88">
        <v>0.49840933191940617</v>
      </c>
      <c r="J15" s="79">
        <v>1.7090000000000001</v>
      </c>
    </row>
    <row r="16" spans="1:10" x14ac:dyDescent="0.2">
      <c r="A16" s="63" t="s">
        <v>17</v>
      </c>
      <c r="B16" s="82">
        <v>36.654000000000003</v>
      </c>
      <c r="C16" s="69">
        <v>0.7035248540404867</v>
      </c>
      <c r="D16" s="75">
        <v>0.2964751459595133</v>
      </c>
      <c r="E16" s="33">
        <v>0.13098807477477156</v>
      </c>
      <c r="F16" s="82">
        <v>8.5730000000000004</v>
      </c>
      <c r="G16" s="113">
        <v>202.45099999999999</v>
      </c>
      <c r="H16" s="88">
        <v>0.63795683893880495</v>
      </c>
      <c r="I16" s="88">
        <v>0.36204316106119505</v>
      </c>
      <c r="J16" s="79">
        <v>19.762</v>
      </c>
    </row>
    <row r="17" spans="1:10" x14ac:dyDescent="0.2">
      <c r="A17" s="63" t="s">
        <v>5</v>
      </c>
      <c r="B17" s="82">
        <v>6.6799999999999998E-2</v>
      </c>
      <c r="C17" s="69">
        <v>1</v>
      </c>
      <c r="D17" s="75">
        <v>0</v>
      </c>
      <c r="E17" s="33">
        <v>1.5356321839080459E-2</v>
      </c>
      <c r="F17" s="82">
        <v>1.3295E-2</v>
      </c>
      <c r="G17" s="113">
        <v>0.18143999999999999</v>
      </c>
      <c r="H17" s="88">
        <v>1</v>
      </c>
      <c r="I17" s="88">
        <v>0</v>
      </c>
      <c r="J17" s="79">
        <v>1.2945999999999999E-2</v>
      </c>
    </row>
    <row r="18" spans="1:10" x14ac:dyDescent="0.2">
      <c r="A18" s="63" t="s">
        <v>20</v>
      </c>
      <c r="B18" s="82">
        <v>2.44</v>
      </c>
      <c r="C18" s="69">
        <v>0.90286885245901638</v>
      </c>
      <c r="D18" s="75">
        <v>9.7131147540983606E-2</v>
      </c>
      <c r="E18" s="33">
        <v>0.47461583349542891</v>
      </c>
      <c r="F18" s="82">
        <v>1.0900000000000001</v>
      </c>
      <c r="G18" s="113">
        <v>11.776</v>
      </c>
      <c r="H18" s="88">
        <v>0.890625</v>
      </c>
      <c r="I18" s="88">
        <v>0.109375</v>
      </c>
      <c r="J18" s="79">
        <v>1.256</v>
      </c>
    </row>
    <row r="19" spans="1:10" x14ac:dyDescent="0.2">
      <c r="A19" s="63" t="s">
        <v>18</v>
      </c>
      <c r="B19" s="82">
        <v>1.458</v>
      </c>
      <c r="C19" s="69">
        <v>0.67146776406035658</v>
      </c>
      <c r="D19" s="75">
        <v>0.32853223593964337</v>
      </c>
      <c r="E19" s="33">
        <v>0.33158972026381622</v>
      </c>
      <c r="F19" s="82">
        <v>1.1240000000000001</v>
      </c>
      <c r="G19" s="113">
        <v>13.143000000000001</v>
      </c>
      <c r="H19" s="88">
        <v>0.70113368332952897</v>
      </c>
      <c r="I19" s="88">
        <v>0.29886631667047098</v>
      </c>
      <c r="J19" s="79">
        <v>2.2360000000000002</v>
      </c>
    </row>
    <row r="20" spans="1:10" x14ac:dyDescent="0.2">
      <c r="A20" s="63" t="s">
        <v>19</v>
      </c>
      <c r="B20" s="82">
        <v>0.38100000000000001</v>
      </c>
      <c r="C20" s="69">
        <v>0.55643044619422577</v>
      </c>
      <c r="D20" s="75">
        <v>0.44356955380577429</v>
      </c>
      <c r="E20" s="33">
        <v>0.12841253791708795</v>
      </c>
      <c r="F20" s="82">
        <v>0.121</v>
      </c>
      <c r="G20" s="113">
        <v>2.5459999999999998</v>
      </c>
      <c r="H20" s="88">
        <v>0.67674783974862529</v>
      </c>
      <c r="I20" s="88">
        <v>0.32325216025137471</v>
      </c>
      <c r="J20" s="79">
        <v>0.20499999999999999</v>
      </c>
    </row>
    <row r="21" spans="1:10" x14ac:dyDescent="0.2">
      <c r="A21" s="63" t="s">
        <v>15</v>
      </c>
      <c r="B21" s="82">
        <v>3.8202969562150639</v>
      </c>
      <c r="C21" s="69">
        <v>0.90939864711355178</v>
      </c>
      <c r="D21" s="75">
        <v>9.0601352886448161E-2</v>
      </c>
      <c r="E21" s="33">
        <v>0.13007037404974511</v>
      </c>
      <c r="F21" s="82">
        <v>2.3146819193367998</v>
      </c>
      <c r="G21" s="113">
        <v>25.940201203000001</v>
      </c>
      <c r="H21" s="88">
        <v>0.77557154609399426</v>
      </c>
      <c r="I21" s="88">
        <v>0.22442845390600574</v>
      </c>
      <c r="J21" s="79">
        <v>4.8166371999999997</v>
      </c>
    </row>
    <row r="22" spans="1:10" x14ac:dyDescent="0.2">
      <c r="A22" s="63" t="s">
        <v>21</v>
      </c>
      <c r="B22" s="82">
        <v>0</v>
      </c>
      <c r="C22" s="69">
        <v>0</v>
      </c>
      <c r="D22" s="75">
        <v>0</v>
      </c>
      <c r="E22" s="33">
        <v>0</v>
      </c>
      <c r="F22" s="82">
        <v>0</v>
      </c>
      <c r="G22" s="113">
        <v>2.1999999999999999E-2</v>
      </c>
      <c r="H22" s="88">
        <v>1</v>
      </c>
      <c r="I22" s="88">
        <v>0</v>
      </c>
      <c r="J22" s="79">
        <v>0</v>
      </c>
    </row>
    <row r="23" spans="1:10" x14ac:dyDescent="0.2">
      <c r="A23" s="63" t="s">
        <v>22</v>
      </c>
      <c r="B23" s="82">
        <v>29.964642222222224</v>
      </c>
      <c r="C23" s="69">
        <v>0.45880535848584214</v>
      </c>
      <c r="D23" s="75">
        <v>0.54119464151415786</v>
      </c>
      <c r="E23" s="33">
        <v>0.28974300626798261</v>
      </c>
      <c r="F23" s="82">
        <v>9.1837996249999989</v>
      </c>
      <c r="G23" s="113">
        <v>196.27932600000003</v>
      </c>
      <c r="H23" s="88">
        <v>0.41619368002109403</v>
      </c>
      <c r="I23" s="88">
        <v>0.58380631997890597</v>
      </c>
      <c r="J23" s="79">
        <v>18.26364083333333</v>
      </c>
    </row>
    <row r="24" spans="1:10" x14ac:dyDescent="0.2">
      <c r="A24" s="63" t="s">
        <v>2</v>
      </c>
      <c r="B24" s="82">
        <v>8.4890385958101398</v>
      </c>
      <c r="C24" s="69">
        <v>0.52644666348620728</v>
      </c>
      <c r="D24" s="75">
        <v>0.47355333651379278</v>
      </c>
      <c r="E24" s="33">
        <v>0.12976014728925175</v>
      </c>
      <c r="F24" s="82">
        <v>3.9912960488003684</v>
      </c>
      <c r="G24" s="113">
        <v>102.45123675772975</v>
      </c>
      <c r="H24" s="88">
        <v>0.33731890370169326</v>
      </c>
      <c r="I24" s="88">
        <v>0.66268109629830674</v>
      </c>
      <c r="J24" s="79">
        <v>8.9020890000000001</v>
      </c>
    </row>
    <row r="25" spans="1:10" x14ac:dyDescent="0.2">
      <c r="A25" s="63" t="s">
        <v>24</v>
      </c>
      <c r="B25" s="82">
        <v>24.087</v>
      </c>
      <c r="C25" s="69">
        <v>0.73898783576202931</v>
      </c>
      <c r="D25" s="75">
        <v>0.26101216423797069</v>
      </c>
      <c r="E25" s="33">
        <v>0.15143437340860938</v>
      </c>
      <c r="F25" s="82">
        <v>8.5530000000000008</v>
      </c>
      <c r="G25" s="113">
        <v>237.64599999999999</v>
      </c>
      <c r="H25" s="88">
        <v>0.57889465844154753</v>
      </c>
      <c r="I25" s="88">
        <v>0.42110534155845247</v>
      </c>
      <c r="J25" s="79">
        <v>25.236999999999998</v>
      </c>
    </row>
    <row r="26" spans="1:10" x14ac:dyDescent="0.2">
      <c r="A26" s="63" t="s">
        <v>25</v>
      </c>
      <c r="B26" s="82">
        <v>6.8031420861425325</v>
      </c>
      <c r="C26" s="69">
        <v>0.76196104454460578</v>
      </c>
      <c r="D26" s="75">
        <v>0.23803895545539422</v>
      </c>
      <c r="E26" s="33">
        <v>0.12884250759710866</v>
      </c>
      <c r="F26" s="82">
        <v>1.3838126215730253</v>
      </c>
      <c r="G26" s="113">
        <v>69.298680602134112</v>
      </c>
      <c r="H26" s="88">
        <v>0.60835174519874979</v>
      </c>
      <c r="I26" s="88">
        <v>0.39164825480125021</v>
      </c>
      <c r="J26" s="79">
        <v>4.5832160000000002</v>
      </c>
    </row>
    <row r="27" spans="1:10" x14ac:dyDescent="0.2">
      <c r="A27" s="63" t="s">
        <v>26</v>
      </c>
      <c r="B27" s="82">
        <v>6.1</v>
      </c>
      <c r="C27" s="69">
        <v>0.80622950819672135</v>
      </c>
      <c r="D27" s="75">
        <v>0.19377049180327868</v>
      </c>
      <c r="E27" s="33">
        <v>9.2880199768560809E-2</v>
      </c>
      <c r="F27" s="82">
        <v>1.8160000000000001</v>
      </c>
      <c r="G27" s="113">
        <v>55.363</v>
      </c>
      <c r="H27" s="88">
        <v>0.78140635442443507</v>
      </c>
      <c r="I27" s="88">
        <v>0.2185936455755649</v>
      </c>
      <c r="J27" s="79">
        <v>9.9619999999999997</v>
      </c>
    </row>
    <row r="28" spans="1:10" x14ac:dyDescent="0.2">
      <c r="A28" s="63" t="s">
        <v>28</v>
      </c>
      <c r="B28" s="82">
        <v>1.1745992083960277</v>
      </c>
      <c r="C28" s="69">
        <v>0.76441384841001181</v>
      </c>
      <c r="D28" s="75">
        <v>0.23558615158998816</v>
      </c>
      <c r="E28" s="33">
        <v>7.1447640413383681E-2</v>
      </c>
      <c r="F28" s="82">
        <v>0.36709570000000002</v>
      </c>
      <c r="G28" s="113">
        <v>10.153588561720401</v>
      </c>
      <c r="H28" s="88">
        <v>0.60349879104044968</v>
      </c>
      <c r="I28" s="88">
        <v>0.39650120895955027</v>
      </c>
      <c r="J28" s="79">
        <v>0.74029941666666677</v>
      </c>
    </row>
    <row r="29" spans="1:10" ht="13.5" x14ac:dyDescent="0.2">
      <c r="A29" s="63" t="s">
        <v>84</v>
      </c>
      <c r="B29" s="117" t="s">
        <v>1</v>
      </c>
      <c r="C29" s="118" t="s">
        <v>1</v>
      </c>
      <c r="D29" s="119" t="s">
        <v>1</v>
      </c>
      <c r="E29" s="120" t="s">
        <v>1</v>
      </c>
      <c r="F29" s="117" t="s">
        <v>1</v>
      </c>
      <c r="G29" s="121" t="s">
        <v>1</v>
      </c>
      <c r="H29" s="122" t="s">
        <v>1</v>
      </c>
      <c r="I29" s="122" t="s">
        <v>1</v>
      </c>
      <c r="J29" s="123" t="s">
        <v>1</v>
      </c>
    </row>
    <row r="30" spans="1:10" x14ac:dyDescent="0.2">
      <c r="A30" s="63" t="s">
        <v>12</v>
      </c>
      <c r="B30" s="82">
        <v>23.035</v>
      </c>
      <c r="C30" s="69">
        <v>0.62787063164749291</v>
      </c>
      <c r="D30" s="75">
        <v>0.37212936835250704</v>
      </c>
      <c r="E30" s="33">
        <v>0.33828734231125079</v>
      </c>
      <c r="F30" s="82">
        <v>6.0110000000000001</v>
      </c>
      <c r="G30" s="113">
        <v>247.583</v>
      </c>
      <c r="H30" s="88">
        <v>0.43925471458056486</v>
      </c>
      <c r="I30" s="88">
        <v>0.56074528541943514</v>
      </c>
      <c r="J30" s="79">
        <v>15.381</v>
      </c>
    </row>
    <row r="31" spans="1:10" ht="13.5" x14ac:dyDescent="0.2">
      <c r="A31" s="64" t="s">
        <v>85</v>
      </c>
      <c r="B31" s="90">
        <v>12.116</v>
      </c>
      <c r="C31" s="91">
        <v>0.54597226807527233</v>
      </c>
      <c r="D31" s="92">
        <v>0.45402773192472762</v>
      </c>
      <c r="E31" s="34">
        <v>7.8848381512670665E-2</v>
      </c>
      <c r="F31" s="90">
        <v>5.0129999999999999</v>
      </c>
      <c r="G31" s="114">
        <v>145.09700000000001</v>
      </c>
      <c r="H31" s="94">
        <v>0.45408244140126952</v>
      </c>
      <c r="I31" s="94">
        <v>0.54591755859873048</v>
      </c>
      <c r="J31" s="93">
        <v>10.683</v>
      </c>
    </row>
    <row r="32" spans="1:10" x14ac:dyDescent="0.2">
      <c r="A32" s="32" t="s">
        <v>29</v>
      </c>
      <c r="B32" s="83">
        <v>20.320854717781462</v>
      </c>
      <c r="C32" s="70">
        <v>1.5155464087492798E-2</v>
      </c>
      <c r="D32" s="76">
        <v>0.9848445359125072</v>
      </c>
      <c r="E32" s="65">
        <v>5.995661211527431E-2</v>
      </c>
      <c r="F32" s="83">
        <v>6.3227362839000021</v>
      </c>
      <c r="G32" s="115">
        <v>143.25031433599847</v>
      </c>
      <c r="H32" s="89">
        <v>1.783434861850719E-2</v>
      </c>
      <c r="I32" s="89">
        <v>0.98216565138149281</v>
      </c>
      <c r="J32" s="80">
        <v>8.1939732111890038</v>
      </c>
    </row>
    <row r="33" spans="1:14" x14ac:dyDescent="0.2">
      <c r="A33" s="95" t="s">
        <v>23</v>
      </c>
      <c r="B33" s="96">
        <v>0.39100000000000001</v>
      </c>
      <c r="C33" s="97">
        <v>1</v>
      </c>
      <c r="D33" s="98">
        <v>0</v>
      </c>
      <c r="E33" s="99">
        <v>2.7471948400514309E-3</v>
      </c>
      <c r="F33" s="96">
        <v>9.1999999999999998E-2</v>
      </c>
      <c r="G33" s="116">
        <v>9.0549999999999997</v>
      </c>
      <c r="H33" s="101">
        <v>1</v>
      </c>
      <c r="I33" s="101">
        <v>0</v>
      </c>
      <c r="J33" s="100">
        <v>0.53500000000000003</v>
      </c>
    </row>
    <row r="35" spans="1:14" ht="36" x14ac:dyDescent="0.2">
      <c r="A35" s="54">
        <v>2014</v>
      </c>
      <c r="B35" s="72" t="s">
        <v>57</v>
      </c>
      <c r="C35" s="66" t="s">
        <v>58</v>
      </c>
      <c r="D35" s="12" t="s">
        <v>59</v>
      </c>
      <c r="E35" s="12" t="s">
        <v>60</v>
      </c>
      <c r="F35" s="102" t="s">
        <v>61</v>
      </c>
      <c r="G35" s="102" t="s">
        <v>62</v>
      </c>
      <c r="H35" s="17"/>
      <c r="I35" s="17"/>
      <c r="J35" s="18"/>
      <c r="K35" s="19"/>
      <c r="L35" s="19"/>
    </row>
    <row r="36" spans="1:14" ht="13.5" x14ac:dyDescent="0.2">
      <c r="A36" s="59" t="s">
        <v>82</v>
      </c>
      <c r="B36" s="77">
        <v>5429.3157503333559</v>
      </c>
      <c r="C36" s="67">
        <v>0.15967440689037363</v>
      </c>
      <c r="D36" s="60">
        <v>6.6227254650060755E-2</v>
      </c>
      <c r="E36" s="60">
        <v>0.45428435072267803</v>
      </c>
      <c r="F36" s="60">
        <v>0.21170463420288413</v>
      </c>
      <c r="G36" s="60">
        <v>0.10810935353400355</v>
      </c>
    </row>
    <row r="37" spans="1:14" x14ac:dyDescent="0.2">
      <c r="A37" s="61" t="s">
        <v>3</v>
      </c>
      <c r="B37" s="81">
        <v>183.62400338002274</v>
      </c>
      <c r="C37" s="109">
        <v>1.1182825081045041E-2</v>
      </c>
      <c r="D37" s="105">
        <v>6.6477029639921406E-3</v>
      </c>
      <c r="E37" s="105">
        <v>0.56189049860310358</v>
      </c>
      <c r="F37" s="105">
        <v>0.16977055175108979</v>
      </c>
      <c r="G37" s="105">
        <v>0.25050842160076936</v>
      </c>
      <c r="K37" s="40"/>
      <c r="L37" s="40"/>
      <c r="M37" s="50"/>
      <c r="N37" s="51"/>
    </row>
    <row r="38" spans="1:14" x14ac:dyDescent="0.2">
      <c r="A38" s="63" t="s">
        <v>4</v>
      </c>
      <c r="B38" s="82">
        <v>55.085999999999999</v>
      </c>
      <c r="C38" s="69">
        <v>0.59879098137457798</v>
      </c>
      <c r="D38" s="33">
        <v>0.12916167447264279</v>
      </c>
      <c r="E38" s="33">
        <v>0.27055876266201939</v>
      </c>
      <c r="F38" s="33">
        <v>3.2676179065461281E-4</v>
      </c>
      <c r="G38" s="33">
        <v>1.1618197001052898E-3</v>
      </c>
      <c r="K38" s="40"/>
      <c r="L38" s="40"/>
      <c r="M38" s="50"/>
      <c r="N38" s="51"/>
    </row>
    <row r="39" spans="1:14" x14ac:dyDescent="0.2">
      <c r="A39" s="63" t="s">
        <v>63</v>
      </c>
      <c r="B39" s="82">
        <v>241.833</v>
      </c>
      <c r="C39" s="69">
        <v>0.70771979010308772</v>
      </c>
      <c r="D39" s="33">
        <v>1.1495536175790732E-3</v>
      </c>
      <c r="E39" s="33">
        <v>8.6580408794498687E-2</v>
      </c>
      <c r="F39" s="33">
        <v>0.12681065032481093</v>
      </c>
      <c r="G39" s="33">
        <v>7.7739597160023655E-2</v>
      </c>
      <c r="K39" s="40"/>
      <c r="L39" s="40"/>
      <c r="M39" s="50"/>
      <c r="N39" s="51"/>
    </row>
    <row r="40" spans="1:14" x14ac:dyDescent="0.2">
      <c r="A40" s="63" t="s">
        <v>8</v>
      </c>
      <c r="B40" s="82">
        <v>153.798</v>
      </c>
      <c r="C40" s="69">
        <v>0.312</v>
      </c>
      <c r="D40" s="33">
        <v>0.03</v>
      </c>
      <c r="E40" s="33">
        <v>0.14399999999999999</v>
      </c>
      <c r="F40" s="33">
        <v>0.41299999999999998</v>
      </c>
      <c r="G40" s="33">
        <v>0.10100000000000001</v>
      </c>
      <c r="K40" s="40"/>
      <c r="L40" s="40"/>
      <c r="M40" s="50"/>
      <c r="N40" s="51"/>
    </row>
    <row r="41" spans="1:14" ht="13.5" x14ac:dyDescent="0.2">
      <c r="A41" s="63" t="s">
        <v>89</v>
      </c>
      <c r="B41" s="82">
        <v>1207.8492084700163</v>
      </c>
      <c r="C41" s="69">
        <v>0.10415636105563442</v>
      </c>
      <c r="D41" s="33">
        <v>0.12897528186286034</v>
      </c>
      <c r="E41" s="33">
        <v>0.45986240490420255</v>
      </c>
      <c r="F41" s="33">
        <v>0.17218789188929035</v>
      </c>
      <c r="G41" s="33">
        <v>0.13481806028801227</v>
      </c>
      <c r="K41" s="40"/>
      <c r="L41" s="40"/>
      <c r="M41" s="50"/>
      <c r="N41" s="51"/>
    </row>
    <row r="42" spans="1:14" x14ac:dyDescent="0.2">
      <c r="A42" s="63" t="s">
        <v>9</v>
      </c>
      <c r="B42" s="82">
        <v>21.067460000000001</v>
      </c>
      <c r="C42" s="69">
        <v>0.27593990922493744</v>
      </c>
      <c r="D42" s="33">
        <v>1.826418562085795E-3</v>
      </c>
      <c r="E42" s="33">
        <v>0.13924198740617047</v>
      </c>
      <c r="F42" s="33">
        <v>0.51392052008168054</v>
      </c>
      <c r="G42" s="33">
        <v>6.9071069791992012E-2</v>
      </c>
      <c r="K42" s="40"/>
      <c r="L42" s="40"/>
      <c r="M42" s="50"/>
      <c r="N42" s="51"/>
    </row>
    <row r="43" spans="1:14" x14ac:dyDescent="0.2">
      <c r="A43" s="63" t="s">
        <v>16</v>
      </c>
      <c r="B43" s="82">
        <v>22.513999999999999</v>
      </c>
      <c r="C43" s="69">
        <v>3.380119037043617E-2</v>
      </c>
      <c r="D43" s="33">
        <v>8.8833614639779698E-4</v>
      </c>
      <c r="E43" s="33">
        <v>0.92000533001687834</v>
      </c>
      <c r="F43" s="33">
        <v>3.0336679399484767E-2</v>
      </c>
      <c r="G43" s="33">
        <v>1.4968464066802878E-2</v>
      </c>
      <c r="K43" s="40"/>
      <c r="L43" s="40"/>
      <c r="M43" s="50"/>
      <c r="N43" s="51"/>
    </row>
    <row r="44" spans="1:14" ht="13.5" x14ac:dyDescent="0.2">
      <c r="A44" s="63" t="s">
        <v>90</v>
      </c>
      <c r="B44" s="82">
        <v>20.974</v>
      </c>
      <c r="C44" s="69">
        <v>0.13554877467340518</v>
      </c>
      <c r="D44" s="33">
        <v>3.3565366644416894E-2</v>
      </c>
      <c r="E44" s="33">
        <v>0.65318966339277196</v>
      </c>
      <c r="F44" s="33">
        <v>9.7263278344617149E-3</v>
      </c>
      <c r="G44" s="33">
        <v>0.16796986745494422</v>
      </c>
      <c r="K44" s="40"/>
      <c r="L44" s="40"/>
      <c r="M44" s="50"/>
      <c r="N44" s="51"/>
    </row>
    <row r="45" spans="1:14" x14ac:dyDescent="0.2">
      <c r="A45" s="63" t="s">
        <v>11</v>
      </c>
      <c r="B45" s="82">
        <v>307.22899752104638</v>
      </c>
      <c r="C45" s="69">
        <v>2.3012758269233484E-2</v>
      </c>
      <c r="D45" s="33">
        <v>6.5291272438485953E-2</v>
      </c>
      <c r="E45" s="33">
        <v>0.78768070364430254</v>
      </c>
      <c r="F45" s="33">
        <v>0</v>
      </c>
      <c r="G45" s="33">
        <v>0.12401526564797813</v>
      </c>
      <c r="K45" s="40"/>
      <c r="L45" s="40"/>
      <c r="M45" s="50"/>
      <c r="N45" s="51"/>
    </row>
    <row r="46" spans="1:14" x14ac:dyDescent="0.2">
      <c r="A46" s="63" t="s">
        <v>13</v>
      </c>
      <c r="B46" s="82">
        <v>204.70300891200006</v>
      </c>
      <c r="C46" s="69">
        <v>7.1195237575941928E-2</v>
      </c>
      <c r="D46" s="33">
        <v>5.3264792784200356E-2</v>
      </c>
      <c r="E46" s="33">
        <v>0.55420377593360104</v>
      </c>
      <c r="F46" s="33">
        <v>0.19656021311976557</v>
      </c>
      <c r="G46" s="33">
        <v>0.12477598058649093</v>
      </c>
      <c r="K46" s="40"/>
      <c r="L46" s="40"/>
      <c r="M46" s="50"/>
      <c r="N46" s="51"/>
    </row>
    <row r="47" spans="1:14" x14ac:dyDescent="0.2">
      <c r="A47" s="63" t="s">
        <v>14</v>
      </c>
      <c r="B47" s="82">
        <v>26.963999999999999</v>
      </c>
      <c r="C47" s="69">
        <v>2.4365821094793058E-2</v>
      </c>
      <c r="D47" s="33">
        <v>6.8906690402017509E-2</v>
      </c>
      <c r="E47" s="33">
        <v>0.89574988874054295</v>
      </c>
      <c r="F47" s="33">
        <v>1.0977599762646492E-2</v>
      </c>
      <c r="G47" s="33">
        <v>0</v>
      </c>
      <c r="K47" s="40"/>
      <c r="L47" s="40"/>
      <c r="M47" s="50"/>
      <c r="N47" s="51"/>
    </row>
    <row r="48" spans="1:14" x14ac:dyDescent="0.2">
      <c r="A48" s="63" t="s">
        <v>17</v>
      </c>
      <c r="B48" s="82">
        <v>797.37300000000005</v>
      </c>
      <c r="C48" s="69">
        <v>3.2506744020677899E-3</v>
      </c>
      <c r="D48" s="33">
        <v>0.11196391149436964</v>
      </c>
      <c r="E48" s="33">
        <v>0.65773107441561229</v>
      </c>
      <c r="F48" s="33">
        <v>0.15011544158129256</v>
      </c>
      <c r="G48" s="33">
        <v>7.6938898106657744E-2</v>
      </c>
      <c r="K48" s="40"/>
      <c r="L48" s="40"/>
      <c r="M48" s="50"/>
      <c r="N48" s="51"/>
    </row>
    <row r="49" spans="1:14" x14ac:dyDescent="0.2">
      <c r="A49" s="63" t="s">
        <v>5</v>
      </c>
      <c r="B49" s="82">
        <v>0.70280000000000009</v>
      </c>
      <c r="C49" s="69">
        <v>0</v>
      </c>
      <c r="D49" s="33">
        <v>0.27931132612407505</v>
      </c>
      <c r="E49" s="33">
        <v>0</v>
      </c>
      <c r="F49" s="33">
        <v>0.72068867387592483</v>
      </c>
      <c r="G49" s="33">
        <v>0</v>
      </c>
      <c r="K49" s="40"/>
      <c r="L49" s="40"/>
      <c r="M49" s="50"/>
      <c r="N49" s="51"/>
    </row>
    <row r="50" spans="1:14" x14ac:dyDescent="0.2">
      <c r="A50" s="63" t="s">
        <v>20</v>
      </c>
      <c r="B50" s="82">
        <v>27.145</v>
      </c>
      <c r="C50" s="69">
        <v>5.5258795358261185E-4</v>
      </c>
      <c r="D50" s="33">
        <v>0</v>
      </c>
      <c r="E50" s="33">
        <v>0.66089519248480388</v>
      </c>
      <c r="F50" s="33">
        <v>0.33855221956161358</v>
      </c>
      <c r="G50" s="33">
        <v>0</v>
      </c>
      <c r="K50" s="40"/>
      <c r="L50" s="40"/>
      <c r="M50" s="50"/>
      <c r="N50" s="51"/>
    </row>
    <row r="51" spans="1:14" x14ac:dyDescent="0.2">
      <c r="A51" s="63" t="s">
        <v>18</v>
      </c>
      <c r="B51" s="82">
        <v>21.713999999999999</v>
      </c>
      <c r="C51" s="69">
        <v>0</v>
      </c>
      <c r="D51" s="33">
        <v>0.14737036013631757</v>
      </c>
      <c r="E51" s="33">
        <v>0.48240766325872708</v>
      </c>
      <c r="F51" s="33">
        <v>0.31320806852721744</v>
      </c>
      <c r="G51" s="33">
        <v>5.7013908077737867E-2</v>
      </c>
      <c r="K51" s="40"/>
      <c r="L51" s="40"/>
      <c r="M51" s="50"/>
      <c r="N51" s="51"/>
    </row>
    <row r="52" spans="1:14" x14ac:dyDescent="0.2">
      <c r="A52" s="63" t="s">
        <v>19</v>
      </c>
      <c r="B52" s="82">
        <v>4.7380000000000004</v>
      </c>
      <c r="C52" s="69">
        <v>0</v>
      </c>
      <c r="D52" s="33">
        <v>1.055297593921486E-3</v>
      </c>
      <c r="E52" s="33">
        <v>0.76382439848037142</v>
      </c>
      <c r="F52" s="33">
        <v>0.23512030392570704</v>
      </c>
      <c r="G52" s="33">
        <v>0</v>
      </c>
      <c r="K52" s="40"/>
      <c r="L52" s="40"/>
      <c r="M52" s="50"/>
      <c r="N52" s="51"/>
    </row>
    <row r="53" spans="1:14" x14ac:dyDescent="0.2">
      <c r="A53" s="63" t="s">
        <v>15</v>
      </c>
      <c r="B53" s="82">
        <v>51.148836385274571</v>
      </c>
      <c r="C53" s="69">
        <v>3.7650750200674495E-2</v>
      </c>
      <c r="D53" s="33">
        <v>2.8046242481783315E-3</v>
      </c>
      <c r="E53" s="33">
        <v>0.71172477792827593</v>
      </c>
      <c r="F53" s="33">
        <v>0.12445754417629293</v>
      </c>
      <c r="G53" s="33">
        <v>0.12336230344657842</v>
      </c>
      <c r="K53" s="40"/>
      <c r="L53" s="40"/>
      <c r="M53" s="50"/>
      <c r="N53" s="51"/>
    </row>
    <row r="54" spans="1:14" x14ac:dyDescent="0.2">
      <c r="A54" s="63" t="s">
        <v>21</v>
      </c>
      <c r="B54" s="82">
        <v>3.5999999999999997E-2</v>
      </c>
      <c r="C54" s="69">
        <v>0</v>
      </c>
      <c r="D54" s="33">
        <v>0</v>
      </c>
      <c r="E54" s="33">
        <v>0</v>
      </c>
      <c r="F54" s="33">
        <v>1</v>
      </c>
      <c r="G54" s="33">
        <v>0</v>
      </c>
      <c r="K54" s="40"/>
      <c r="L54" s="40"/>
      <c r="M54" s="50"/>
      <c r="N54" s="51"/>
    </row>
    <row r="55" spans="1:14" x14ac:dyDescent="0.2">
      <c r="A55" s="63" t="s">
        <v>22</v>
      </c>
      <c r="B55" s="82">
        <v>378.54194831745747</v>
      </c>
      <c r="C55" s="69">
        <v>1.5683592445361664E-2</v>
      </c>
      <c r="D55" s="33">
        <v>9.5048911117840001E-3</v>
      </c>
      <c r="E55" s="33">
        <v>0.75396882946568511</v>
      </c>
      <c r="F55" s="33">
        <v>2.878941171101224E-2</v>
      </c>
      <c r="G55" s="33">
        <v>0.1920532752661569</v>
      </c>
      <c r="K55" s="40"/>
      <c r="L55" s="40"/>
      <c r="M55" s="50"/>
      <c r="N55" s="51"/>
    </row>
    <row r="56" spans="1:14" x14ac:dyDescent="0.2">
      <c r="A56" s="63" t="s">
        <v>2</v>
      </c>
      <c r="B56" s="82">
        <v>159.26427513281024</v>
      </c>
      <c r="C56" s="69">
        <v>6.3648530955213153E-2</v>
      </c>
      <c r="D56" s="33">
        <v>7.5120964104296709E-2</v>
      </c>
      <c r="E56" s="33">
        <v>0.37428882419110432</v>
      </c>
      <c r="F56" s="33">
        <v>0.38854621560316593</v>
      </c>
      <c r="G56" s="33">
        <v>9.8395465146219802E-2</v>
      </c>
      <c r="K56" s="40"/>
      <c r="L56" s="40"/>
      <c r="M56" s="50"/>
      <c r="N56" s="51"/>
    </row>
    <row r="57" spans="1:14" x14ac:dyDescent="0.2">
      <c r="A57" s="63" t="s">
        <v>24</v>
      </c>
      <c r="B57" s="82">
        <v>390.89</v>
      </c>
      <c r="C57" s="69">
        <v>0.71202895955383871</v>
      </c>
      <c r="D57" s="33">
        <v>7.786333751183197E-2</v>
      </c>
      <c r="E57" s="33">
        <v>6.9656425081224896E-2</v>
      </c>
      <c r="F57" s="33">
        <v>0.11318273683133362</v>
      </c>
      <c r="G57" s="33">
        <v>2.7268541021770832E-2</v>
      </c>
      <c r="K57" s="40"/>
      <c r="L57" s="40"/>
      <c r="M57" s="50"/>
      <c r="N57" s="51"/>
    </row>
    <row r="58" spans="1:14" x14ac:dyDescent="0.2">
      <c r="A58" s="63" t="s">
        <v>25</v>
      </c>
      <c r="B58" s="82">
        <v>122.434</v>
      </c>
      <c r="C58" s="69">
        <v>0</v>
      </c>
      <c r="D58" s="33">
        <v>3.3732459937599032E-2</v>
      </c>
      <c r="E58" s="33">
        <v>0.53204175310779689</v>
      </c>
      <c r="F58" s="33">
        <v>0.39993792573958215</v>
      </c>
      <c r="G58" s="33">
        <v>3.4287861215021968E-2</v>
      </c>
      <c r="K58" s="40"/>
      <c r="L58" s="40"/>
      <c r="M58" s="50"/>
      <c r="N58" s="51"/>
    </row>
    <row r="59" spans="1:14" x14ac:dyDescent="0.2">
      <c r="A59" s="63" t="s">
        <v>26</v>
      </c>
      <c r="B59" s="82">
        <v>97.67</v>
      </c>
      <c r="C59" s="69">
        <v>0.36034606327429097</v>
      </c>
      <c r="D59" s="33">
        <v>5.3240503737073822E-3</v>
      </c>
      <c r="E59" s="33">
        <v>0.54353435036346887</v>
      </c>
      <c r="F59" s="33">
        <v>5.3783147332855531E-2</v>
      </c>
      <c r="G59" s="33">
        <v>3.7012388655677284E-2</v>
      </c>
      <c r="K59" s="40"/>
      <c r="L59" s="40"/>
      <c r="M59" s="50"/>
      <c r="N59" s="51"/>
    </row>
    <row r="60" spans="1:14" x14ac:dyDescent="0.2">
      <c r="A60" s="63" t="s">
        <v>28</v>
      </c>
      <c r="B60" s="82">
        <v>18.87664341589371</v>
      </c>
      <c r="C60" s="69">
        <v>0.51915379207695134</v>
      </c>
      <c r="D60" s="33">
        <v>8.4583257988316821E-4</v>
      </c>
      <c r="E60" s="33">
        <v>0.25883467204503935</v>
      </c>
      <c r="F60" s="33">
        <v>0.20212194313039425</v>
      </c>
      <c r="G60" s="33">
        <v>1.9043760167732151E-2</v>
      </c>
      <c r="K60" s="40"/>
      <c r="L60" s="40"/>
      <c r="M60" s="50"/>
      <c r="N60" s="51"/>
    </row>
    <row r="61" spans="1:14" ht="13.5" x14ac:dyDescent="0.2">
      <c r="A61" s="63" t="s">
        <v>84</v>
      </c>
      <c r="B61" s="117" t="s">
        <v>1</v>
      </c>
      <c r="C61" s="118" t="s">
        <v>1</v>
      </c>
      <c r="D61" s="120" t="s">
        <v>1</v>
      </c>
      <c r="E61" s="120" t="s">
        <v>1</v>
      </c>
      <c r="F61" s="120" t="s">
        <v>1</v>
      </c>
      <c r="G61" s="120" t="s">
        <v>1</v>
      </c>
      <c r="K61" s="40"/>
      <c r="L61" s="40"/>
      <c r="M61" s="50"/>
      <c r="N61" s="51"/>
    </row>
    <row r="62" spans="1:14" x14ac:dyDescent="0.2">
      <c r="A62" s="63" t="s">
        <v>12</v>
      </c>
      <c r="B62" s="82">
        <v>397.41399999999999</v>
      </c>
      <c r="C62" s="69">
        <v>0.22430764895046476</v>
      </c>
      <c r="D62" s="33">
        <v>1.2576305817107601E-2</v>
      </c>
      <c r="E62" s="33">
        <v>0.13541042841973358</v>
      </c>
      <c r="F62" s="33">
        <v>0.58312993502996879</v>
      </c>
      <c r="G62" s="33">
        <v>4.4575681782725321E-2</v>
      </c>
      <c r="K62" s="40"/>
      <c r="L62" s="40"/>
      <c r="M62" s="50"/>
      <c r="N62" s="51"/>
    </row>
    <row r="63" spans="1:14" ht="13.5" x14ac:dyDescent="0.2">
      <c r="A63" s="64" t="s">
        <v>85</v>
      </c>
      <c r="B63" s="90">
        <v>249.58799999999999</v>
      </c>
      <c r="C63" s="91">
        <v>4.4485311793836239E-2</v>
      </c>
      <c r="D63" s="34">
        <v>1.894722502684424E-2</v>
      </c>
      <c r="E63" s="34">
        <v>3.0073561228905237E-2</v>
      </c>
      <c r="F63" s="34">
        <v>0.80063144061413205</v>
      </c>
      <c r="G63" s="34">
        <v>0.10586246133628219</v>
      </c>
      <c r="K63" s="40"/>
      <c r="L63" s="40"/>
      <c r="M63" s="50"/>
      <c r="N63" s="51"/>
    </row>
    <row r="64" spans="1:14" x14ac:dyDescent="0.2">
      <c r="A64" s="64" t="s">
        <v>29</v>
      </c>
      <c r="B64" s="90">
        <v>266.13756879883539</v>
      </c>
      <c r="C64" s="91">
        <v>4.1532113455861594E-2</v>
      </c>
      <c r="D64" s="34">
        <v>1.4136476647643663E-2</v>
      </c>
      <c r="E64" s="34">
        <v>0.68882699814088544</v>
      </c>
      <c r="F64" s="34">
        <v>5.0616800874369636E-2</v>
      </c>
      <c r="G64" s="34">
        <v>0.20488761088123972</v>
      </c>
      <c r="K64" s="40"/>
      <c r="L64" s="40"/>
      <c r="M64" s="50"/>
      <c r="N64" s="51"/>
    </row>
    <row r="65" spans="1:14" x14ac:dyDescent="0.2">
      <c r="A65" s="106" t="s">
        <v>23</v>
      </c>
      <c r="B65" s="107">
        <v>13.41</v>
      </c>
      <c r="C65" s="110">
        <v>5.2945563012677103E-2</v>
      </c>
      <c r="D65" s="108">
        <v>0</v>
      </c>
      <c r="E65" s="108">
        <v>0</v>
      </c>
      <c r="F65" s="108">
        <v>0.47352721849366147</v>
      </c>
      <c r="G65" s="108">
        <v>0.47352721849366147</v>
      </c>
      <c r="K65" s="40"/>
      <c r="L65" s="40"/>
      <c r="M65" s="40"/>
      <c r="N65" s="51"/>
    </row>
    <row r="67" spans="1:14" ht="13.5" x14ac:dyDescent="0.2">
      <c r="A67" s="21" t="s">
        <v>86</v>
      </c>
    </row>
    <row r="68" spans="1:14" x14ac:dyDescent="0.2">
      <c r="A68" s="21" t="s">
        <v>77</v>
      </c>
    </row>
    <row r="69" spans="1:14" ht="13.5" x14ac:dyDescent="0.2">
      <c r="A69" s="38" t="s">
        <v>87</v>
      </c>
    </row>
    <row r="70" spans="1:14" ht="13.5" x14ac:dyDescent="0.2">
      <c r="A70" s="38" t="s">
        <v>91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67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230" width="9.140625" style="38"/>
    <col min="231" max="231" width="21.7109375" style="38" customWidth="1"/>
    <col min="232" max="232" width="9.7109375" style="38" customWidth="1"/>
    <col min="233" max="235" width="9.140625" style="38"/>
    <col min="236" max="236" width="10.7109375" style="38" customWidth="1"/>
    <col min="237" max="237" width="9.5703125" style="38" customWidth="1"/>
    <col min="238" max="486" width="9.140625" style="38"/>
    <col min="487" max="487" width="21.7109375" style="38" customWidth="1"/>
    <col min="488" max="488" width="9.7109375" style="38" customWidth="1"/>
    <col min="489" max="491" width="9.140625" style="38"/>
    <col min="492" max="492" width="10.7109375" style="38" customWidth="1"/>
    <col min="493" max="493" width="9.5703125" style="38" customWidth="1"/>
    <col min="494" max="742" width="9.140625" style="38"/>
    <col min="743" max="743" width="21.7109375" style="38" customWidth="1"/>
    <col min="744" max="744" width="9.7109375" style="38" customWidth="1"/>
    <col min="745" max="747" width="9.140625" style="38"/>
    <col min="748" max="748" width="10.7109375" style="38" customWidth="1"/>
    <col min="749" max="749" width="9.5703125" style="38" customWidth="1"/>
    <col min="750" max="998" width="9.140625" style="38"/>
    <col min="999" max="999" width="21.7109375" style="38" customWidth="1"/>
    <col min="1000" max="1000" width="9.7109375" style="38" customWidth="1"/>
    <col min="1001" max="1003" width="9.140625" style="38"/>
    <col min="1004" max="1004" width="10.7109375" style="38" customWidth="1"/>
    <col min="1005" max="1005" width="9.5703125" style="38" customWidth="1"/>
    <col min="1006" max="1254" width="9.140625" style="38"/>
    <col min="1255" max="1255" width="21.7109375" style="38" customWidth="1"/>
    <col min="1256" max="1256" width="9.7109375" style="38" customWidth="1"/>
    <col min="1257" max="1259" width="9.140625" style="38"/>
    <col min="1260" max="1260" width="10.7109375" style="38" customWidth="1"/>
    <col min="1261" max="1261" width="9.5703125" style="38" customWidth="1"/>
    <col min="1262" max="1510" width="9.140625" style="38"/>
    <col min="1511" max="1511" width="21.7109375" style="38" customWidth="1"/>
    <col min="1512" max="1512" width="9.7109375" style="38" customWidth="1"/>
    <col min="1513" max="1515" width="9.140625" style="38"/>
    <col min="1516" max="1516" width="10.7109375" style="38" customWidth="1"/>
    <col min="1517" max="1517" width="9.5703125" style="38" customWidth="1"/>
    <col min="1518" max="1766" width="9.140625" style="38"/>
    <col min="1767" max="1767" width="21.7109375" style="38" customWidth="1"/>
    <col min="1768" max="1768" width="9.7109375" style="38" customWidth="1"/>
    <col min="1769" max="1771" width="9.140625" style="38"/>
    <col min="1772" max="1772" width="10.7109375" style="38" customWidth="1"/>
    <col min="1773" max="1773" width="9.5703125" style="38" customWidth="1"/>
    <col min="1774" max="2022" width="9.140625" style="38"/>
    <col min="2023" max="2023" width="21.7109375" style="38" customWidth="1"/>
    <col min="2024" max="2024" width="9.7109375" style="38" customWidth="1"/>
    <col min="2025" max="2027" width="9.140625" style="38"/>
    <col min="2028" max="2028" width="10.7109375" style="38" customWidth="1"/>
    <col min="2029" max="2029" width="9.5703125" style="38" customWidth="1"/>
    <col min="2030" max="2278" width="9.140625" style="38"/>
    <col min="2279" max="2279" width="21.7109375" style="38" customWidth="1"/>
    <col min="2280" max="2280" width="9.7109375" style="38" customWidth="1"/>
    <col min="2281" max="2283" width="9.140625" style="38"/>
    <col min="2284" max="2284" width="10.7109375" style="38" customWidth="1"/>
    <col min="2285" max="2285" width="9.5703125" style="38" customWidth="1"/>
    <col min="2286" max="2534" width="9.140625" style="38"/>
    <col min="2535" max="2535" width="21.7109375" style="38" customWidth="1"/>
    <col min="2536" max="2536" width="9.7109375" style="38" customWidth="1"/>
    <col min="2537" max="2539" width="9.140625" style="38"/>
    <col min="2540" max="2540" width="10.7109375" style="38" customWidth="1"/>
    <col min="2541" max="2541" width="9.5703125" style="38" customWidth="1"/>
    <col min="2542" max="2790" width="9.140625" style="38"/>
    <col min="2791" max="2791" width="21.7109375" style="38" customWidth="1"/>
    <col min="2792" max="2792" width="9.7109375" style="38" customWidth="1"/>
    <col min="2793" max="2795" width="9.140625" style="38"/>
    <col min="2796" max="2796" width="10.7109375" style="38" customWidth="1"/>
    <col min="2797" max="2797" width="9.5703125" style="38" customWidth="1"/>
    <col min="2798" max="3046" width="9.140625" style="38"/>
    <col min="3047" max="3047" width="21.7109375" style="38" customWidth="1"/>
    <col min="3048" max="3048" width="9.7109375" style="38" customWidth="1"/>
    <col min="3049" max="3051" width="9.140625" style="38"/>
    <col min="3052" max="3052" width="10.7109375" style="38" customWidth="1"/>
    <col min="3053" max="3053" width="9.5703125" style="38" customWidth="1"/>
    <col min="3054" max="3302" width="9.140625" style="38"/>
    <col min="3303" max="3303" width="21.7109375" style="38" customWidth="1"/>
    <col min="3304" max="3304" width="9.7109375" style="38" customWidth="1"/>
    <col min="3305" max="3307" width="9.140625" style="38"/>
    <col min="3308" max="3308" width="10.7109375" style="38" customWidth="1"/>
    <col min="3309" max="3309" width="9.5703125" style="38" customWidth="1"/>
    <col min="3310" max="3558" width="9.140625" style="38"/>
    <col min="3559" max="3559" width="21.7109375" style="38" customWidth="1"/>
    <col min="3560" max="3560" width="9.7109375" style="38" customWidth="1"/>
    <col min="3561" max="3563" width="9.140625" style="38"/>
    <col min="3564" max="3564" width="10.7109375" style="38" customWidth="1"/>
    <col min="3565" max="3565" width="9.5703125" style="38" customWidth="1"/>
    <col min="3566" max="3814" width="9.140625" style="38"/>
    <col min="3815" max="3815" width="21.7109375" style="38" customWidth="1"/>
    <col min="3816" max="3816" width="9.7109375" style="38" customWidth="1"/>
    <col min="3817" max="3819" width="9.140625" style="38"/>
    <col min="3820" max="3820" width="10.7109375" style="38" customWidth="1"/>
    <col min="3821" max="3821" width="9.5703125" style="38" customWidth="1"/>
    <col min="3822" max="4070" width="9.140625" style="38"/>
    <col min="4071" max="4071" width="21.7109375" style="38" customWidth="1"/>
    <col min="4072" max="4072" width="9.7109375" style="38" customWidth="1"/>
    <col min="4073" max="4075" width="9.140625" style="38"/>
    <col min="4076" max="4076" width="10.7109375" style="38" customWidth="1"/>
    <col min="4077" max="4077" width="9.5703125" style="38" customWidth="1"/>
    <col min="4078" max="4326" width="9.140625" style="38"/>
    <col min="4327" max="4327" width="21.7109375" style="38" customWidth="1"/>
    <col min="4328" max="4328" width="9.7109375" style="38" customWidth="1"/>
    <col min="4329" max="4331" width="9.140625" style="38"/>
    <col min="4332" max="4332" width="10.7109375" style="38" customWidth="1"/>
    <col min="4333" max="4333" width="9.5703125" style="38" customWidth="1"/>
    <col min="4334" max="4582" width="9.140625" style="38"/>
    <col min="4583" max="4583" width="21.7109375" style="38" customWidth="1"/>
    <col min="4584" max="4584" width="9.7109375" style="38" customWidth="1"/>
    <col min="4585" max="4587" width="9.140625" style="38"/>
    <col min="4588" max="4588" width="10.7109375" style="38" customWidth="1"/>
    <col min="4589" max="4589" width="9.5703125" style="38" customWidth="1"/>
    <col min="4590" max="4838" width="9.140625" style="38"/>
    <col min="4839" max="4839" width="21.7109375" style="38" customWidth="1"/>
    <col min="4840" max="4840" width="9.7109375" style="38" customWidth="1"/>
    <col min="4841" max="4843" width="9.140625" style="38"/>
    <col min="4844" max="4844" width="10.7109375" style="38" customWidth="1"/>
    <col min="4845" max="4845" width="9.5703125" style="38" customWidth="1"/>
    <col min="4846" max="5094" width="9.140625" style="38"/>
    <col min="5095" max="5095" width="21.7109375" style="38" customWidth="1"/>
    <col min="5096" max="5096" width="9.7109375" style="38" customWidth="1"/>
    <col min="5097" max="5099" width="9.140625" style="38"/>
    <col min="5100" max="5100" width="10.7109375" style="38" customWidth="1"/>
    <col min="5101" max="5101" width="9.5703125" style="38" customWidth="1"/>
    <col min="5102" max="5350" width="9.140625" style="38"/>
    <col min="5351" max="5351" width="21.7109375" style="38" customWidth="1"/>
    <col min="5352" max="5352" width="9.7109375" style="38" customWidth="1"/>
    <col min="5353" max="5355" width="9.140625" style="38"/>
    <col min="5356" max="5356" width="10.7109375" style="38" customWidth="1"/>
    <col min="5357" max="5357" width="9.5703125" style="38" customWidth="1"/>
    <col min="5358" max="5606" width="9.140625" style="38"/>
    <col min="5607" max="5607" width="21.7109375" style="38" customWidth="1"/>
    <col min="5608" max="5608" width="9.7109375" style="38" customWidth="1"/>
    <col min="5609" max="5611" width="9.140625" style="38"/>
    <col min="5612" max="5612" width="10.7109375" style="38" customWidth="1"/>
    <col min="5613" max="5613" width="9.5703125" style="38" customWidth="1"/>
    <col min="5614" max="5862" width="9.140625" style="38"/>
    <col min="5863" max="5863" width="21.7109375" style="38" customWidth="1"/>
    <col min="5864" max="5864" width="9.7109375" style="38" customWidth="1"/>
    <col min="5865" max="5867" width="9.140625" style="38"/>
    <col min="5868" max="5868" width="10.7109375" style="38" customWidth="1"/>
    <col min="5869" max="5869" width="9.5703125" style="38" customWidth="1"/>
    <col min="5870" max="6118" width="9.140625" style="38"/>
    <col min="6119" max="6119" width="21.7109375" style="38" customWidth="1"/>
    <col min="6120" max="6120" width="9.7109375" style="38" customWidth="1"/>
    <col min="6121" max="6123" width="9.140625" style="38"/>
    <col min="6124" max="6124" width="10.7109375" style="38" customWidth="1"/>
    <col min="6125" max="6125" width="9.5703125" style="38" customWidth="1"/>
    <col min="6126" max="6374" width="9.140625" style="38"/>
    <col min="6375" max="6375" width="21.7109375" style="38" customWidth="1"/>
    <col min="6376" max="6376" width="9.7109375" style="38" customWidth="1"/>
    <col min="6377" max="6379" width="9.140625" style="38"/>
    <col min="6380" max="6380" width="10.7109375" style="38" customWidth="1"/>
    <col min="6381" max="6381" width="9.5703125" style="38" customWidth="1"/>
    <col min="6382" max="6630" width="9.140625" style="38"/>
    <col min="6631" max="6631" width="21.7109375" style="38" customWidth="1"/>
    <col min="6632" max="6632" width="9.7109375" style="38" customWidth="1"/>
    <col min="6633" max="6635" width="9.140625" style="38"/>
    <col min="6636" max="6636" width="10.7109375" style="38" customWidth="1"/>
    <col min="6637" max="6637" width="9.5703125" style="38" customWidth="1"/>
    <col min="6638" max="6886" width="9.140625" style="38"/>
    <col min="6887" max="6887" width="21.7109375" style="38" customWidth="1"/>
    <col min="6888" max="6888" width="9.7109375" style="38" customWidth="1"/>
    <col min="6889" max="6891" width="9.140625" style="38"/>
    <col min="6892" max="6892" width="10.7109375" style="38" customWidth="1"/>
    <col min="6893" max="6893" width="9.5703125" style="38" customWidth="1"/>
    <col min="6894" max="7142" width="9.140625" style="38"/>
    <col min="7143" max="7143" width="21.7109375" style="38" customWidth="1"/>
    <col min="7144" max="7144" width="9.7109375" style="38" customWidth="1"/>
    <col min="7145" max="7147" width="9.140625" style="38"/>
    <col min="7148" max="7148" width="10.7109375" style="38" customWidth="1"/>
    <col min="7149" max="7149" width="9.5703125" style="38" customWidth="1"/>
    <col min="7150" max="7398" width="9.140625" style="38"/>
    <col min="7399" max="7399" width="21.7109375" style="38" customWidth="1"/>
    <col min="7400" max="7400" width="9.7109375" style="38" customWidth="1"/>
    <col min="7401" max="7403" width="9.140625" style="38"/>
    <col min="7404" max="7404" width="10.7109375" style="38" customWidth="1"/>
    <col min="7405" max="7405" width="9.5703125" style="38" customWidth="1"/>
    <col min="7406" max="7654" width="9.140625" style="38"/>
    <col min="7655" max="7655" width="21.7109375" style="38" customWidth="1"/>
    <col min="7656" max="7656" width="9.7109375" style="38" customWidth="1"/>
    <col min="7657" max="7659" width="9.140625" style="38"/>
    <col min="7660" max="7660" width="10.7109375" style="38" customWidth="1"/>
    <col min="7661" max="7661" width="9.5703125" style="38" customWidth="1"/>
    <col min="7662" max="7910" width="9.140625" style="38"/>
    <col min="7911" max="7911" width="21.7109375" style="38" customWidth="1"/>
    <col min="7912" max="7912" width="9.7109375" style="38" customWidth="1"/>
    <col min="7913" max="7915" width="9.140625" style="38"/>
    <col min="7916" max="7916" width="10.7109375" style="38" customWidth="1"/>
    <col min="7917" max="7917" width="9.5703125" style="38" customWidth="1"/>
    <col min="7918" max="8166" width="9.140625" style="38"/>
    <col min="8167" max="8167" width="21.7109375" style="38" customWidth="1"/>
    <col min="8168" max="8168" width="9.7109375" style="38" customWidth="1"/>
    <col min="8169" max="8171" width="9.140625" style="38"/>
    <col min="8172" max="8172" width="10.7109375" style="38" customWidth="1"/>
    <col min="8173" max="8173" width="9.5703125" style="38" customWidth="1"/>
    <col min="8174" max="8422" width="9.140625" style="38"/>
    <col min="8423" max="8423" width="21.7109375" style="38" customWidth="1"/>
    <col min="8424" max="8424" width="9.7109375" style="38" customWidth="1"/>
    <col min="8425" max="8427" width="9.140625" style="38"/>
    <col min="8428" max="8428" width="10.7109375" style="38" customWidth="1"/>
    <col min="8429" max="8429" width="9.5703125" style="38" customWidth="1"/>
    <col min="8430" max="8678" width="9.140625" style="38"/>
    <col min="8679" max="8679" width="21.7109375" style="38" customWidth="1"/>
    <col min="8680" max="8680" width="9.7109375" style="38" customWidth="1"/>
    <col min="8681" max="8683" width="9.140625" style="38"/>
    <col min="8684" max="8684" width="10.7109375" style="38" customWidth="1"/>
    <col min="8685" max="8685" width="9.5703125" style="38" customWidth="1"/>
    <col min="8686" max="8934" width="9.140625" style="38"/>
    <col min="8935" max="8935" width="21.7109375" style="38" customWidth="1"/>
    <col min="8936" max="8936" width="9.7109375" style="38" customWidth="1"/>
    <col min="8937" max="8939" width="9.140625" style="38"/>
    <col min="8940" max="8940" width="10.7109375" style="38" customWidth="1"/>
    <col min="8941" max="8941" width="9.5703125" style="38" customWidth="1"/>
    <col min="8942" max="9190" width="9.140625" style="38"/>
    <col min="9191" max="9191" width="21.7109375" style="38" customWidth="1"/>
    <col min="9192" max="9192" width="9.7109375" style="38" customWidth="1"/>
    <col min="9193" max="9195" width="9.140625" style="38"/>
    <col min="9196" max="9196" width="10.7109375" style="38" customWidth="1"/>
    <col min="9197" max="9197" width="9.5703125" style="38" customWidth="1"/>
    <col min="9198" max="9446" width="9.140625" style="38"/>
    <col min="9447" max="9447" width="21.7109375" style="38" customWidth="1"/>
    <col min="9448" max="9448" width="9.7109375" style="38" customWidth="1"/>
    <col min="9449" max="9451" width="9.140625" style="38"/>
    <col min="9452" max="9452" width="10.7109375" style="38" customWidth="1"/>
    <col min="9453" max="9453" width="9.5703125" style="38" customWidth="1"/>
    <col min="9454" max="9702" width="9.140625" style="38"/>
    <col min="9703" max="9703" width="21.7109375" style="38" customWidth="1"/>
    <col min="9704" max="9704" width="9.7109375" style="38" customWidth="1"/>
    <col min="9705" max="9707" width="9.140625" style="38"/>
    <col min="9708" max="9708" width="10.7109375" style="38" customWidth="1"/>
    <col min="9709" max="9709" width="9.5703125" style="38" customWidth="1"/>
    <col min="9710" max="9958" width="9.140625" style="38"/>
    <col min="9959" max="9959" width="21.7109375" style="38" customWidth="1"/>
    <col min="9960" max="9960" width="9.7109375" style="38" customWidth="1"/>
    <col min="9961" max="9963" width="9.140625" style="38"/>
    <col min="9964" max="9964" width="10.7109375" style="38" customWidth="1"/>
    <col min="9965" max="9965" width="9.5703125" style="38" customWidth="1"/>
    <col min="9966" max="10214" width="9.140625" style="38"/>
    <col min="10215" max="10215" width="21.7109375" style="38" customWidth="1"/>
    <col min="10216" max="10216" width="9.7109375" style="38" customWidth="1"/>
    <col min="10217" max="10219" width="9.140625" style="38"/>
    <col min="10220" max="10220" width="10.7109375" style="38" customWidth="1"/>
    <col min="10221" max="10221" width="9.5703125" style="38" customWidth="1"/>
    <col min="10222" max="10470" width="9.140625" style="38"/>
    <col min="10471" max="10471" width="21.7109375" style="38" customWidth="1"/>
    <col min="10472" max="10472" width="9.7109375" style="38" customWidth="1"/>
    <col min="10473" max="10475" width="9.140625" style="38"/>
    <col min="10476" max="10476" width="10.7109375" style="38" customWidth="1"/>
    <col min="10477" max="10477" width="9.5703125" style="38" customWidth="1"/>
    <col min="10478" max="10726" width="9.140625" style="38"/>
    <col min="10727" max="10727" width="21.7109375" style="38" customWidth="1"/>
    <col min="10728" max="10728" width="9.7109375" style="38" customWidth="1"/>
    <col min="10729" max="10731" width="9.140625" style="38"/>
    <col min="10732" max="10732" width="10.7109375" style="38" customWidth="1"/>
    <col min="10733" max="10733" width="9.5703125" style="38" customWidth="1"/>
    <col min="10734" max="10982" width="9.140625" style="38"/>
    <col min="10983" max="10983" width="21.7109375" style="38" customWidth="1"/>
    <col min="10984" max="10984" width="9.7109375" style="38" customWidth="1"/>
    <col min="10985" max="10987" width="9.140625" style="38"/>
    <col min="10988" max="10988" width="10.7109375" style="38" customWidth="1"/>
    <col min="10989" max="10989" width="9.5703125" style="38" customWidth="1"/>
    <col min="10990" max="11238" width="9.140625" style="38"/>
    <col min="11239" max="11239" width="21.7109375" style="38" customWidth="1"/>
    <col min="11240" max="11240" width="9.7109375" style="38" customWidth="1"/>
    <col min="11241" max="11243" width="9.140625" style="38"/>
    <col min="11244" max="11244" width="10.7109375" style="38" customWidth="1"/>
    <col min="11245" max="11245" width="9.5703125" style="38" customWidth="1"/>
    <col min="11246" max="11494" width="9.140625" style="38"/>
    <col min="11495" max="11495" width="21.7109375" style="38" customWidth="1"/>
    <col min="11496" max="11496" width="9.7109375" style="38" customWidth="1"/>
    <col min="11497" max="11499" width="9.140625" style="38"/>
    <col min="11500" max="11500" width="10.7109375" style="38" customWidth="1"/>
    <col min="11501" max="11501" width="9.5703125" style="38" customWidth="1"/>
    <col min="11502" max="11750" width="9.140625" style="38"/>
    <col min="11751" max="11751" width="21.7109375" style="38" customWidth="1"/>
    <col min="11752" max="11752" width="9.7109375" style="38" customWidth="1"/>
    <col min="11753" max="11755" width="9.140625" style="38"/>
    <col min="11756" max="11756" width="10.7109375" style="38" customWidth="1"/>
    <col min="11757" max="11757" width="9.5703125" style="38" customWidth="1"/>
    <col min="11758" max="12006" width="9.140625" style="38"/>
    <col min="12007" max="12007" width="21.7109375" style="38" customWidth="1"/>
    <col min="12008" max="12008" width="9.7109375" style="38" customWidth="1"/>
    <col min="12009" max="12011" width="9.140625" style="38"/>
    <col min="12012" max="12012" width="10.7109375" style="38" customWidth="1"/>
    <col min="12013" max="12013" width="9.5703125" style="38" customWidth="1"/>
    <col min="12014" max="12262" width="9.140625" style="38"/>
    <col min="12263" max="12263" width="21.7109375" style="38" customWidth="1"/>
    <col min="12264" max="12264" width="9.7109375" style="38" customWidth="1"/>
    <col min="12265" max="12267" width="9.140625" style="38"/>
    <col min="12268" max="12268" width="10.7109375" style="38" customWidth="1"/>
    <col min="12269" max="12269" width="9.5703125" style="38" customWidth="1"/>
    <col min="12270" max="12518" width="9.140625" style="38"/>
    <col min="12519" max="12519" width="21.7109375" style="38" customWidth="1"/>
    <col min="12520" max="12520" width="9.7109375" style="38" customWidth="1"/>
    <col min="12521" max="12523" width="9.140625" style="38"/>
    <col min="12524" max="12524" width="10.7109375" style="38" customWidth="1"/>
    <col min="12525" max="12525" width="9.5703125" style="38" customWidth="1"/>
    <col min="12526" max="12774" width="9.140625" style="38"/>
    <col min="12775" max="12775" width="21.7109375" style="38" customWidth="1"/>
    <col min="12776" max="12776" width="9.7109375" style="38" customWidth="1"/>
    <col min="12777" max="12779" width="9.140625" style="38"/>
    <col min="12780" max="12780" width="10.7109375" style="38" customWidth="1"/>
    <col min="12781" max="12781" width="9.5703125" style="38" customWidth="1"/>
    <col min="12782" max="13030" width="9.140625" style="38"/>
    <col min="13031" max="13031" width="21.7109375" style="38" customWidth="1"/>
    <col min="13032" max="13032" width="9.7109375" style="38" customWidth="1"/>
    <col min="13033" max="13035" width="9.140625" style="38"/>
    <col min="13036" max="13036" width="10.7109375" style="38" customWidth="1"/>
    <col min="13037" max="13037" width="9.5703125" style="38" customWidth="1"/>
    <col min="13038" max="13286" width="9.140625" style="38"/>
    <col min="13287" max="13287" width="21.7109375" style="38" customWidth="1"/>
    <col min="13288" max="13288" width="9.7109375" style="38" customWidth="1"/>
    <col min="13289" max="13291" width="9.140625" style="38"/>
    <col min="13292" max="13292" width="10.7109375" style="38" customWidth="1"/>
    <col min="13293" max="13293" width="9.5703125" style="38" customWidth="1"/>
    <col min="13294" max="13542" width="9.140625" style="38"/>
    <col min="13543" max="13543" width="21.7109375" style="38" customWidth="1"/>
    <col min="13544" max="13544" width="9.7109375" style="38" customWidth="1"/>
    <col min="13545" max="13547" width="9.140625" style="38"/>
    <col min="13548" max="13548" width="10.7109375" style="38" customWidth="1"/>
    <col min="13549" max="13549" width="9.5703125" style="38" customWidth="1"/>
    <col min="13550" max="13798" width="9.140625" style="38"/>
    <col min="13799" max="13799" width="21.7109375" style="38" customWidth="1"/>
    <col min="13800" max="13800" width="9.7109375" style="38" customWidth="1"/>
    <col min="13801" max="13803" width="9.140625" style="38"/>
    <col min="13804" max="13804" width="10.7109375" style="38" customWidth="1"/>
    <col min="13805" max="13805" width="9.5703125" style="38" customWidth="1"/>
    <col min="13806" max="14054" width="9.140625" style="38"/>
    <col min="14055" max="14055" width="21.7109375" style="38" customWidth="1"/>
    <col min="14056" max="14056" width="9.7109375" style="38" customWidth="1"/>
    <col min="14057" max="14059" width="9.140625" style="38"/>
    <col min="14060" max="14060" width="10.7109375" style="38" customWidth="1"/>
    <col min="14061" max="14061" width="9.5703125" style="38" customWidth="1"/>
    <col min="14062" max="14310" width="9.140625" style="38"/>
    <col min="14311" max="14311" width="21.7109375" style="38" customWidth="1"/>
    <col min="14312" max="14312" width="9.7109375" style="38" customWidth="1"/>
    <col min="14313" max="14315" width="9.140625" style="38"/>
    <col min="14316" max="14316" width="10.7109375" style="38" customWidth="1"/>
    <col min="14317" max="14317" width="9.5703125" style="38" customWidth="1"/>
    <col min="14318" max="14566" width="9.140625" style="38"/>
    <col min="14567" max="14567" width="21.7109375" style="38" customWidth="1"/>
    <col min="14568" max="14568" width="9.7109375" style="38" customWidth="1"/>
    <col min="14569" max="14571" width="9.140625" style="38"/>
    <col min="14572" max="14572" width="10.7109375" style="38" customWidth="1"/>
    <col min="14573" max="14573" width="9.5703125" style="38" customWidth="1"/>
    <col min="14574" max="14822" width="9.140625" style="38"/>
    <col min="14823" max="14823" width="21.7109375" style="38" customWidth="1"/>
    <col min="14824" max="14824" width="9.7109375" style="38" customWidth="1"/>
    <col min="14825" max="14827" width="9.140625" style="38"/>
    <col min="14828" max="14828" width="10.7109375" style="38" customWidth="1"/>
    <col min="14829" max="14829" width="9.5703125" style="38" customWidth="1"/>
    <col min="14830" max="15078" width="9.140625" style="38"/>
    <col min="15079" max="15079" width="21.7109375" style="38" customWidth="1"/>
    <col min="15080" max="15080" width="9.7109375" style="38" customWidth="1"/>
    <col min="15081" max="15083" width="9.140625" style="38"/>
    <col min="15084" max="15084" width="10.7109375" style="38" customWidth="1"/>
    <col min="15085" max="15085" width="9.5703125" style="38" customWidth="1"/>
    <col min="15086" max="15334" width="9.140625" style="38"/>
    <col min="15335" max="15335" width="21.7109375" style="38" customWidth="1"/>
    <col min="15336" max="15336" width="9.7109375" style="38" customWidth="1"/>
    <col min="15337" max="15339" width="9.140625" style="38"/>
    <col min="15340" max="15340" width="10.7109375" style="38" customWidth="1"/>
    <col min="15341" max="15341" width="9.5703125" style="38" customWidth="1"/>
    <col min="15342" max="15590" width="9.140625" style="38"/>
    <col min="15591" max="15591" width="21.7109375" style="38" customWidth="1"/>
    <col min="15592" max="15592" width="9.7109375" style="38" customWidth="1"/>
    <col min="15593" max="15595" width="9.140625" style="38"/>
    <col min="15596" max="15596" width="10.7109375" style="38" customWidth="1"/>
    <col min="15597" max="15597" width="9.5703125" style="38" customWidth="1"/>
    <col min="15598" max="15846" width="9.140625" style="38"/>
    <col min="15847" max="15847" width="21.7109375" style="38" customWidth="1"/>
    <col min="15848" max="15848" width="9.7109375" style="38" customWidth="1"/>
    <col min="15849" max="15851" width="9.140625" style="38"/>
    <col min="15852" max="15852" width="10.7109375" style="38" customWidth="1"/>
    <col min="15853" max="15853" width="9.5703125" style="38" customWidth="1"/>
    <col min="15854" max="16102" width="9.140625" style="38"/>
    <col min="16103" max="16103" width="21.7109375" style="38" customWidth="1"/>
    <col min="16104" max="16104" width="9.7109375" style="38" customWidth="1"/>
    <col min="16105" max="16107" width="9.140625" style="38"/>
    <col min="16108" max="16108" width="10.7109375" style="38" customWidth="1"/>
    <col min="16109" max="16109" width="9.5703125" style="38" customWidth="1"/>
    <col min="16110" max="16384" width="9.140625" style="38"/>
  </cols>
  <sheetData>
    <row r="1" spans="1:14" ht="15.75" x14ac:dyDescent="0.25">
      <c r="A1" s="52" t="s">
        <v>75</v>
      </c>
      <c r="F1" s="37"/>
      <c r="G1" s="37"/>
    </row>
    <row r="2" spans="1:14" x14ac:dyDescent="0.2">
      <c r="F2" s="37"/>
      <c r="G2" s="37"/>
    </row>
    <row r="3" spans="1:14" ht="48" x14ac:dyDescent="0.2">
      <c r="A3" s="54">
        <v>2013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71" t="s">
        <v>49</v>
      </c>
    </row>
    <row r="4" spans="1:14" x14ac:dyDescent="0.2">
      <c r="A4" s="59" t="s">
        <v>74</v>
      </c>
      <c r="B4" s="77">
        <f>SUM(B5:B32)</f>
        <v>378.54052619938847</v>
      </c>
      <c r="C4" s="67"/>
      <c r="D4" s="73"/>
      <c r="E4" s="60">
        <v>0.11606182</v>
      </c>
      <c r="F4" s="77">
        <f>SUM(F5:F32)</f>
        <v>113.42276786914707</v>
      </c>
      <c r="G4" s="111">
        <f>SUM(G5:G32)</f>
        <v>2901.0577871992627</v>
      </c>
      <c r="H4" s="86"/>
      <c r="I4" s="86"/>
      <c r="J4" s="84">
        <v>279.39999999999998</v>
      </c>
      <c r="L4" s="48"/>
      <c r="N4" s="40"/>
    </row>
    <row r="5" spans="1:14" x14ac:dyDescent="0.2">
      <c r="A5" s="61" t="s">
        <v>3</v>
      </c>
      <c r="B5" s="81">
        <v>12.669694837120236</v>
      </c>
      <c r="C5" s="68">
        <v>0.463178211126553</v>
      </c>
      <c r="D5" s="74">
        <v>0.536821788873447</v>
      </c>
      <c r="E5" s="62">
        <v>0.15181286950153658</v>
      </c>
      <c r="F5" s="81">
        <v>2.3417783989999998</v>
      </c>
      <c r="G5" s="112">
        <v>27.139221429303383</v>
      </c>
      <c r="H5" s="87">
        <v>0.99304121916349142</v>
      </c>
      <c r="I5" s="87">
        <v>6.9587808365086023E-3</v>
      </c>
      <c r="J5" s="78">
        <v>5.3069557199600004</v>
      </c>
    </row>
    <row r="6" spans="1:14" x14ac:dyDescent="0.2">
      <c r="A6" s="63" t="s">
        <v>4</v>
      </c>
      <c r="B6" s="82">
        <v>3.7269999999999999</v>
      </c>
      <c r="C6" s="69">
        <v>0.96002146498524288</v>
      </c>
      <c r="D6" s="75">
        <v>3.9978535014757177E-2</v>
      </c>
      <c r="E6" s="33">
        <v>8.5122419148547401E-2</v>
      </c>
      <c r="F6" s="82">
        <v>1.196</v>
      </c>
      <c r="G6" s="113">
        <v>40.357999999999997</v>
      </c>
      <c r="H6" s="88">
        <v>0.98468705089449426</v>
      </c>
      <c r="I6" s="88">
        <v>1.5312949105505725E-2</v>
      </c>
      <c r="J6" s="79">
        <v>4.0919999999999996</v>
      </c>
    </row>
    <row r="7" spans="1:14" x14ac:dyDescent="0.2">
      <c r="A7" s="63" t="s">
        <v>6</v>
      </c>
      <c r="B7" s="82">
        <v>11.965</v>
      </c>
      <c r="C7" s="69">
        <v>0.70781445883827832</v>
      </c>
      <c r="D7" s="75">
        <v>0.29218554116172168</v>
      </c>
      <c r="E7" s="33">
        <v>0.13742606098891633</v>
      </c>
      <c r="F7" s="82">
        <v>4.6449999999999996</v>
      </c>
      <c r="G7" s="113">
        <v>120.917</v>
      </c>
      <c r="H7" s="88">
        <v>0.65951851269879347</v>
      </c>
      <c r="I7" s="88">
        <v>0.34048148730120659</v>
      </c>
      <c r="J7" s="79">
        <v>20.978000000000002</v>
      </c>
    </row>
    <row r="8" spans="1:14" x14ac:dyDescent="0.2">
      <c r="A8" s="63" t="s">
        <v>8</v>
      </c>
      <c r="B8" s="82">
        <v>14.1</v>
      </c>
      <c r="C8" s="69">
        <v>0.86667910000000004</v>
      </c>
      <c r="D8" s="75">
        <v>0.13332089999999999</v>
      </c>
      <c r="E8" s="33">
        <v>0.40576707243373905</v>
      </c>
      <c r="F8" s="82">
        <v>6.33</v>
      </c>
      <c r="G8" s="113">
        <v>104.575</v>
      </c>
      <c r="H8" s="88">
        <v>0.76776009999999995</v>
      </c>
      <c r="I8" s="88">
        <v>0.2322399</v>
      </c>
      <c r="J8" s="79">
        <v>9.7490000000000006</v>
      </c>
      <c r="L8" s="48"/>
      <c r="M8" s="49"/>
    </row>
    <row r="9" spans="1:14" x14ac:dyDescent="0.2">
      <c r="A9" s="63" t="s">
        <v>7</v>
      </c>
      <c r="B9" s="82">
        <v>78.665999999999997</v>
      </c>
      <c r="C9" s="69">
        <v>0.63200111865354791</v>
      </c>
      <c r="D9" s="75">
        <v>0.36799888134645209</v>
      </c>
      <c r="E9" s="33">
        <v>0.12424386961864178</v>
      </c>
      <c r="F9" s="82">
        <v>27.265000000000001</v>
      </c>
      <c r="G9" s="113">
        <v>654.00900000000001</v>
      </c>
      <c r="H9" s="88">
        <v>0.53345290355331498</v>
      </c>
      <c r="I9" s="88">
        <v>0.46654709644668491</v>
      </c>
      <c r="J9" s="79">
        <v>73.090999999999994</v>
      </c>
    </row>
    <row r="10" spans="1:14" x14ac:dyDescent="0.2">
      <c r="A10" s="63" t="s">
        <v>9</v>
      </c>
      <c r="B10" s="82">
        <v>1.2330000000000001</v>
      </c>
      <c r="C10" s="69">
        <v>0.96512570965125699</v>
      </c>
      <c r="D10" s="75">
        <v>3.4874290348742905E-2</v>
      </c>
      <c r="E10" s="33">
        <v>9.2881355932203397E-2</v>
      </c>
      <c r="F10" s="82">
        <v>0.46600000000000003</v>
      </c>
      <c r="G10" s="113">
        <v>12.573</v>
      </c>
      <c r="H10" s="88">
        <v>0.90089875129245212</v>
      </c>
      <c r="I10" s="88">
        <v>9.9101248707547926E-2</v>
      </c>
      <c r="J10" s="79">
        <v>1.4319999999999999</v>
      </c>
    </row>
    <row r="11" spans="1:14" x14ac:dyDescent="0.2">
      <c r="A11" s="63" t="s">
        <v>16</v>
      </c>
      <c r="B11" s="82">
        <v>2.0270000000000001</v>
      </c>
      <c r="C11" s="69">
        <v>1</v>
      </c>
      <c r="D11" s="75">
        <v>0</v>
      </c>
      <c r="E11" s="33">
        <v>7.7597427455784407E-2</v>
      </c>
      <c r="F11" s="82">
        <v>0.30599999999999999</v>
      </c>
      <c r="G11" s="113">
        <v>12.393000000000001</v>
      </c>
      <c r="H11" s="88">
        <v>1</v>
      </c>
      <c r="I11" s="88">
        <v>0</v>
      </c>
      <c r="J11" s="79">
        <v>0.68600000000000005</v>
      </c>
    </row>
    <row r="12" spans="1:14" x14ac:dyDescent="0.2">
      <c r="A12" s="63" t="s">
        <v>10</v>
      </c>
      <c r="B12" s="82">
        <v>1.9450000000000001</v>
      </c>
      <c r="C12" s="69">
        <v>6.5809768637532129E-2</v>
      </c>
      <c r="D12" s="75">
        <v>0.93419023136246782</v>
      </c>
      <c r="E12" s="33">
        <v>3.4032054871220602E-2</v>
      </c>
      <c r="F12" s="82">
        <v>0.55900000000000005</v>
      </c>
      <c r="G12" s="113">
        <v>10.484999999999999</v>
      </c>
      <c r="H12" s="88">
        <v>0.14945159752026704</v>
      </c>
      <c r="I12" s="88">
        <v>0.85054840247973285</v>
      </c>
      <c r="J12" s="79">
        <v>0.80400000000000005</v>
      </c>
    </row>
    <row r="13" spans="1:14" x14ac:dyDescent="0.2">
      <c r="A13" s="63" t="s">
        <v>11</v>
      </c>
      <c r="B13" s="82">
        <v>24.104708375158225</v>
      </c>
      <c r="C13" s="69">
        <v>1</v>
      </c>
      <c r="D13" s="75">
        <v>0</v>
      </c>
      <c r="E13" s="33">
        <v>8.5005636695366246E-2</v>
      </c>
      <c r="F13" s="82">
        <v>3.3589578487235427</v>
      </c>
      <c r="G13" s="113">
        <v>174.88414583146493</v>
      </c>
      <c r="H13" s="88">
        <v>1</v>
      </c>
      <c r="I13" s="88">
        <v>0</v>
      </c>
      <c r="J13" s="79">
        <v>5.6307382493734606</v>
      </c>
    </row>
    <row r="14" spans="1:14" x14ac:dyDescent="0.2">
      <c r="A14" s="63" t="s">
        <v>13</v>
      </c>
      <c r="B14" s="82">
        <v>13.902809999999999</v>
      </c>
      <c r="C14" s="69">
        <v>0.49667872897637239</v>
      </c>
      <c r="D14" s="75">
        <v>0.50332127102362756</v>
      </c>
      <c r="E14" s="33">
        <v>2.428366319253402E-2</v>
      </c>
      <c r="F14" s="82">
        <v>4.7963899999999997</v>
      </c>
      <c r="G14" s="113">
        <v>150.65486999999999</v>
      </c>
      <c r="H14" s="88">
        <v>0.2967051778677981</v>
      </c>
      <c r="I14" s="88">
        <v>0.70329482213220185</v>
      </c>
      <c r="J14" s="79">
        <v>12.099510000000002</v>
      </c>
    </row>
    <row r="15" spans="1:14" x14ac:dyDescent="0.2">
      <c r="A15" s="63" t="s">
        <v>14</v>
      </c>
      <c r="B15" s="82">
        <v>1.696</v>
      </c>
      <c r="C15" s="69">
        <v>0.870872641509434</v>
      </c>
      <c r="D15" s="75">
        <v>0.12912735849056603</v>
      </c>
      <c r="E15" s="33">
        <v>0.12627503536594445</v>
      </c>
      <c r="F15" s="82">
        <v>0.69099999999999995</v>
      </c>
      <c r="G15" s="113">
        <v>13.263999999999999</v>
      </c>
      <c r="H15" s="88">
        <v>0.56400784077201449</v>
      </c>
      <c r="I15" s="88">
        <v>0.43599215922798551</v>
      </c>
      <c r="J15" s="79">
        <v>1.722</v>
      </c>
    </row>
    <row r="16" spans="1:14" x14ac:dyDescent="0.2">
      <c r="A16" s="63" t="s">
        <v>17</v>
      </c>
      <c r="B16" s="82">
        <v>36.661999999999999</v>
      </c>
      <c r="C16" s="69">
        <v>0.68866946702307563</v>
      </c>
      <c r="D16" s="75">
        <v>0.31133053297692431</v>
      </c>
      <c r="E16" s="33">
        <v>0.12650488083448638</v>
      </c>
      <c r="F16" s="82">
        <v>8.2919999999999998</v>
      </c>
      <c r="G16" s="113">
        <v>212.76499999999999</v>
      </c>
      <c r="H16" s="88">
        <v>0.60611942753742387</v>
      </c>
      <c r="I16" s="88">
        <v>0.39388057246257607</v>
      </c>
      <c r="J16" s="79">
        <v>16.324999999999999</v>
      </c>
    </row>
    <row r="17" spans="1:10" x14ac:dyDescent="0.2">
      <c r="A17" s="63" t="s">
        <v>5</v>
      </c>
      <c r="B17" s="82">
        <v>5.9800000000000006E-2</v>
      </c>
      <c r="C17" s="69">
        <v>1</v>
      </c>
      <c r="D17" s="75">
        <v>0</v>
      </c>
      <c r="E17" s="33">
        <v>1.3939393939393941E-2</v>
      </c>
      <c r="F17" s="82">
        <v>1.3295E-2</v>
      </c>
      <c r="G17" s="113">
        <v>0.15</v>
      </c>
      <c r="H17" s="88">
        <v>1</v>
      </c>
      <c r="I17" s="88">
        <v>0</v>
      </c>
      <c r="J17" s="79">
        <v>1.2950000000000001E-2</v>
      </c>
    </row>
    <row r="18" spans="1:10" x14ac:dyDescent="0.2">
      <c r="A18" s="63" t="s">
        <v>20</v>
      </c>
      <c r="B18" s="82">
        <v>2.3794200000000001</v>
      </c>
      <c r="C18" s="69">
        <v>0.90985198073480089</v>
      </c>
      <c r="D18" s="75">
        <v>9.0148019265199081E-2</v>
      </c>
      <c r="E18" s="33">
        <v>0.38322113061684654</v>
      </c>
      <c r="F18" s="82">
        <v>1.23827</v>
      </c>
      <c r="G18" s="113">
        <v>11.314300000000001</v>
      </c>
      <c r="H18" s="88">
        <v>0.88594080057979729</v>
      </c>
      <c r="I18" s="88">
        <v>0.11405919942020275</v>
      </c>
      <c r="J18" s="79">
        <v>3.27746</v>
      </c>
    </row>
    <row r="19" spans="1:10" x14ac:dyDescent="0.2">
      <c r="A19" s="63" t="s">
        <v>18</v>
      </c>
      <c r="B19" s="82">
        <v>1.665</v>
      </c>
      <c r="C19" s="69">
        <v>0.77177177177177181</v>
      </c>
      <c r="D19" s="75">
        <v>0.22822822822822822</v>
      </c>
      <c r="E19" s="33">
        <v>0.34964300713985724</v>
      </c>
      <c r="F19" s="82">
        <v>1.1819999999999999</v>
      </c>
      <c r="G19" s="113">
        <v>15.345000000000001</v>
      </c>
      <c r="H19" s="88">
        <v>0.73926360377973277</v>
      </c>
      <c r="I19" s="88">
        <v>0.26073639622026717</v>
      </c>
      <c r="J19" s="79">
        <v>2.4489999999999998</v>
      </c>
    </row>
    <row r="20" spans="1:10" x14ac:dyDescent="0.2">
      <c r="A20" s="63" t="s">
        <v>19</v>
      </c>
      <c r="B20" s="82">
        <v>0.42399999999999999</v>
      </c>
      <c r="C20" s="69">
        <v>0.56132075471698117</v>
      </c>
      <c r="D20" s="75">
        <v>0.43867924528301894</v>
      </c>
      <c r="E20" s="33">
        <v>0.14681440443213295</v>
      </c>
      <c r="F20" s="82">
        <v>0.50700000000000001</v>
      </c>
      <c r="G20" s="113">
        <v>3.3769999999999998</v>
      </c>
      <c r="H20" s="88">
        <v>0.73201066034942253</v>
      </c>
      <c r="I20" s="88">
        <v>0.26798933965057742</v>
      </c>
      <c r="J20" s="79">
        <v>0.91200000000000003</v>
      </c>
    </row>
    <row r="21" spans="1:10" x14ac:dyDescent="0.2">
      <c r="A21" s="63" t="s">
        <v>15</v>
      </c>
      <c r="B21" s="82">
        <v>3.8798756103242824</v>
      </c>
      <c r="C21" s="69">
        <v>0.89121224159033074</v>
      </c>
      <c r="D21" s="75">
        <v>0.10878775840966927</v>
      </c>
      <c r="E21" s="33">
        <v>0.12816290457913923</v>
      </c>
      <c r="F21" s="82">
        <v>1.6720062944548186</v>
      </c>
      <c r="G21" s="113">
        <v>26.997174691987595</v>
      </c>
      <c r="H21" s="88">
        <v>0.82548579974549086</v>
      </c>
      <c r="I21" s="88">
        <v>0.17451420025450917</v>
      </c>
      <c r="J21" s="79">
        <v>3.1555697525252526</v>
      </c>
    </row>
    <row r="22" spans="1:10" x14ac:dyDescent="0.2">
      <c r="A22" s="63" t="s">
        <v>21</v>
      </c>
      <c r="B22" s="82">
        <v>0</v>
      </c>
      <c r="C22" s="69">
        <v>0</v>
      </c>
      <c r="D22" s="75">
        <v>0</v>
      </c>
      <c r="E22" s="33">
        <v>0</v>
      </c>
      <c r="F22" s="82">
        <v>0</v>
      </c>
      <c r="G22" s="113">
        <v>2.1000000000000001E-2</v>
      </c>
      <c r="H22" s="88">
        <v>1</v>
      </c>
      <c r="I22" s="88">
        <v>0</v>
      </c>
      <c r="J22" s="79">
        <v>0</v>
      </c>
    </row>
    <row r="23" spans="1:10" x14ac:dyDescent="0.2">
      <c r="A23" s="63" t="s">
        <v>22</v>
      </c>
      <c r="B23" s="82">
        <v>34.767000000000003</v>
      </c>
      <c r="C23" s="69">
        <v>0.49092530272959989</v>
      </c>
      <c r="D23" s="75">
        <v>0.50907469727040011</v>
      </c>
      <c r="E23" s="33">
        <v>0.34465427509293683</v>
      </c>
      <c r="F23" s="82">
        <v>9.3919999999999995</v>
      </c>
      <c r="G23" s="113">
        <v>217.92</v>
      </c>
      <c r="H23" s="88">
        <v>0.4105635095447871</v>
      </c>
      <c r="I23" s="88">
        <v>0.58943649045521296</v>
      </c>
      <c r="J23" s="79">
        <v>18.309000000000001</v>
      </c>
    </row>
    <row r="24" spans="1:10" x14ac:dyDescent="0.2">
      <c r="A24" s="63" t="s">
        <v>2</v>
      </c>
      <c r="B24" s="82">
        <v>9.8660997134130497</v>
      </c>
      <c r="C24" s="69">
        <v>1</v>
      </c>
      <c r="D24" s="75">
        <v>0</v>
      </c>
      <c r="E24" s="33">
        <v>0.14445029667813136</v>
      </c>
      <c r="F24" s="82">
        <v>5.5673719302165443</v>
      </c>
      <c r="G24" s="113">
        <v>110.82823584414699</v>
      </c>
      <c r="H24" s="88">
        <v>1</v>
      </c>
      <c r="I24" s="88">
        <v>0</v>
      </c>
      <c r="J24" s="79">
        <v>9.1536100000000005</v>
      </c>
    </row>
    <row r="25" spans="1:10" x14ac:dyDescent="0.2">
      <c r="A25" s="63" t="s">
        <v>24</v>
      </c>
      <c r="B25" s="82">
        <v>26.123999999999999</v>
      </c>
      <c r="C25" s="69">
        <v>0.74644005512172706</v>
      </c>
      <c r="D25" s="75">
        <v>0.25355994487827282</v>
      </c>
      <c r="E25" s="33">
        <v>0.15875350182611497</v>
      </c>
      <c r="F25" s="82">
        <v>8.2850000000000001</v>
      </c>
      <c r="G25" s="113">
        <v>257.42399999999998</v>
      </c>
      <c r="H25" s="88">
        <v>0.59655665361427057</v>
      </c>
      <c r="I25" s="88">
        <v>0.40344334638572937</v>
      </c>
      <c r="J25" s="79">
        <v>24.562000000000001</v>
      </c>
    </row>
    <row r="26" spans="1:10" x14ac:dyDescent="0.2">
      <c r="A26" s="63" t="s">
        <v>25</v>
      </c>
      <c r="B26" s="82">
        <v>7.15</v>
      </c>
      <c r="C26" s="69">
        <v>0.76800000000000002</v>
      </c>
      <c r="D26" s="75">
        <v>0.23199999999999998</v>
      </c>
      <c r="E26" s="33">
        <v>0.13837281312896732</v>
      </c>
      <c r="F26" s="82">
        <v>1.4</v>
      </c>
      <c r="G26" s="113">
        <v>68.37</v>
      </c>
      <c r="H26" s="88">
        <v>0.65049999999999997</v>
      </c>
      <c r="I26" s="88">
        <v>0.34950000000000003</v>
      </c>
      <c r="J26" s="79">
        <v>4.78</v>
      </c>
    </row>
    <row r="27" spans="1:10" x14ac:dyDescent="0.2">
      <c r="A27" s="63" t="s">
        <v>26</v>
      </c>
      <c r="B27" s="82">
        <v>6.61</v>
      </c>
      <c r="C27" s="69">
        <v>0.81220000000000003</v>
      </c>
      <c r="D27" s="75">
        <v>0.18780000000000002</v>
      </c>
      <c r="E27" s="33">
        <v>0.11224697731286509</v>
      </c>
      <c r="F27" s="82">
        <v>2.0699999999999998</v>
      </c>
      <c r="G27" s="113">
        <v>57.93</v>
      </c>
      <c r="H27" s="88">
        <v>0.78010000000000002</v>
      </c>
      <c r="I27" s="88">
        <v>0.21989999999999998</v>
      </c>
      <c r="J27" s="79">
        <v>10.050000000000001</v>
      </c>
    </row>
    <row r="28" spans="1:10" x14ac:dyDescent="0.2">
      <c r="A28" s="63" t="s">
        <v>28</v>
      </c>
      <c r="B28" s="82">
        <v>1.1499999999999999</v>
      </c>
      <c r="C28" s="69">
        <v>0.79430000000000012</v>
      </c>
      <c r="D28" s="75">
        <v>0.20569999999999999</v>
      </c>
      <c r="E28" s="33">
        <v>7.1486293280288424E-2</v>
      </c>
      <c r="F28" s="82">
        <v>0.35</v>
      </c>
      <c r="G28" s="113">
        <v>10.83</v>
      </c>
      <c r="H28" s="88">
        <v>0.64529999999999998</v>
      </c>
      <c r="I28" s="88">
        <v>0.35470000000000002</v>
      </c>
      <c r="J28" s="79">
        <v>0.72</v>
      </c>
    </row>
    <row r="29" spans="1:10" x14ac:dyDescent="0.2">
      <c r="A29" s="63" t="s">
        <v>55</v>
      </c>
      <c r="B29" s="117">
        <v>22.199000000000002</v>
      </c>
      <c r="C29" s="118">
        <v>0.93022208207576929</v>
      </c>
      <c r="D29" s="119">
        <v>6.9777917924230826E-2</v>
      </c>
      <c r="E29" s="120">
        <v>0.76994311875693666</v>
      </c>
      <c r="F29" s="117">
        <v>4.3819999999999997</v>
      </c>
      <c r="G29" s="121">
        <v>27.763000000000002</v>
      </c>
      <c r="H29" s="122">
        <v>0.82934120952346646</v>
      </c>
      <c r="I29" s="122">
        <v>0.17065879047653351</v>
      </c>
      <c r="J29" s="123">
        <v>15.545</v>
      </c>
    </row>
    <row r="30" spans="1:10" x14ac:dyDescent="0.2">
      <c r="A30" s="63" t="s">
        <v>12</v>
      </c>
      <c r="B30" s="82">
        <v>24.323</v>
      </c>
      <c r="C30" s="69">
        <v>0.66171936027628175</v>
      </c>
      <c r="D30" s="75">
        <v>0.3382806397237183</v>
      </c>
      <c r="E30" s="33">
        <v>0.34137064742950973</v>
      </c>
      <c r="F30" s="82">
        <v>6.0960000000000001</v>
      </c>
      <c r="G30" s="113">
        <v>251.20500000000001</v>
      </c>
      <c r="H30" s="88">
        <v>0.48086224398399713</v>
      </c>
      <c r="I30" s="88">
        <v>0.51913775601600287</v>
      </c>
      <c r="J30" s="79">
        <v>15.766999999999999</v>
      </c>
    </row>
    <row r="31" spans="1:10" x14ac:dyDescent="0.2">
      <c r="A31" s="64" t="s">
        <v>27</v>
      </c>
      <c r="B31" s="90">
        <v>15.59</v>
      </c>
      <c r="C31" s="91">
        <v>0.64849999999999997</v>
      </c>
      <c r="D31" s="92">
        <v>0.35149999999999998</v>
      </c>
      <c r="E31" s="34">
        <v>0.10178499144718803</v>
      </c>
      <c r="F31" s="90">
        <v>4.8</v>
      </c>
      <c r="G31" s="114">
        <v>165.07</v>
      </c>
      <c r="H31" s="94">
        <v>0.52190000000000003</v>
      </c>
      <c r="I31" s="94">
        <v>0.47810000000000002</v>
      </c>
      <c r="J31" s="93">
        <v>11.41</v>
      </c>
    </row>
    <row r="32" spans="1:10" x14ac:dyDescent="0.2">
      <c r="A32" s="32" t="s">
        <v>29</v>
      </c>
      <c r="B32" s="83">
        <v>19.655117663372714</v>
      </c>
      <c r="C32" s="70">
        <v>1.5320640075490648E-2</v>
      </c>
      <c r="D32" s="76">
        <v>0.98467935992450928</v>
      </c>
      <c r="E32" s="65">
        <v>5.4726765037930433E-2</v>
      </c>
      <c r="F32" s="83">
        <v>6.2206983967521756</v>
      </c>
      <c r="G32" s="115">
        <v>142.49583940236045</v>
      </c>
      <c r="H32" s="89">
        <v>1.7980688220100422E-2</v>
      </c>
      <c r="I32" s="89">
        <v>0.98201931177989943</v>
      </c>
      <c r="J32" s="80">
        <v>7.6917481416395965</v>
      </c>
    </row>
    <row r="33" spans="1:11" x14ac:dyDescent="0.2">
      <c r="A33" s="95" t="s">
        <v>23</v>
      </c>
      <c r="B33" s="96">
        <v>0.37</v>
      </c>
      <c r="C33" s="97">
        <v>1</v>
      </c>
      <c r="D33" s="98">
        <v>0</v>
      </c>
      <c r="E33" s="99">
        <v>2.7562574493444573E-3</v>
      </c>
      <c r="F33" s="96">
        <v>0.08</v>
      </c>
      <c r="G33" s="116">
        <v>9.5299999999999994</v>
      </c>
      <c r="H33" s="101">
        <v>1</v>
      </c>
      <c r="I33" s="101">
        <v>0</v>
      </c>
      <c r="J33" s="100">
        <v>0.54</v>
      </c>
    </row>
    <row r="35" spans="1:11" ht="36" x14ac:dyDescent="0.2">
      <c r="A35" s="54">
        <v>2013</v>
      </c>
      <c r="B35" s="72" t="s">
        <v>57</v>
      </c>
      <c r="C35" s="66" t="s">
        <v>58</v>
      </c>
      <c r="D35" s="12" t="s">
        <v>59</v>
      </c>
      <c r="E35" s="12" t="s">
        <v>60</v>
      </c>
      <c r="F35" s="102" t="s">
        <v>61</v>
      </c>
      <c r="G35" s="102" t="s">
        <v>62</v>
      </c>
      <c r="H35" s="17"/>
      <c r="I35" s="17"/>
      <c r="J35" s="18"/>
      <c r="K35" s="19"/>
    </row>
    <row r="36" spans="1:11" x14ac:dyDescent="0.2">
      <c r="A36" s="59" t="s">
        <v>74</v>
      </c>
      <c r="B36" s="77">
        <v>6082.0156265795513</v>
      </c>
      <c r="C36" s="67">
        <v>0.19779847833980838</v>
      </c>
      <c r="D36" s="60">
        <v>4.3648388766699256E-2</v>
      </c>
      <c r="E36" s="60">
        <v>0.45441788288694729</v>
      </c>
      <c r="F36" s="60">
        <v>0.18230277253463484</v>
      </c>
      <c r="G36" s="60">
        <v>0.12183247747191016</v>
      </c>
    </row>
    <row r="37" spans="1:11" x14ac:dyDescent="0.2">
      <c r="A37" s="61" t="s">
        <v>3</v>
      </c>
      <c r="B37" s="81">
        <v>167.34676026848359</v>
      </c>
      <c r="C37" s="109">
        <v>1.2871940901840028E-2</v>
      </c>
      <c r="D37" s="105">
        <v>1.3011894412628601E-3</v>
      </c>
      <c r="E37" s="105">
        <v>0.659701319748354</v>
      </c>
      <c r="F37" s="105">
        <v>0.10245103431878827</v>
      </c>
      <c r="G37" s="105">
        <v>0.22367707008677212</v>
      </c>
      <c r="K37" s="40"/>
    </row>
    <row r="38" spans="1:11" x14ac:dyDescent="0.2">
      <c r="A38" s="63" t="s">
        <v>4</v>
      </c>
      <c r="B38" s="82">
        <v>72.162000000000006</v>
      </c>
      <c r="C38" s="69">
        <v>0.43995454671433715</v>
      </c>
      <c r="D38" s="33">
        <v>8.4587456001773781E-2</v>
      </c>
      <c r="E38" s="33">
        <v>0.47469582328649429</v>
      </c>
      <c r="F38" s="33">
        <v>4.1573127130622764E-5</v>
      </c>
      <c r="G38" s="33">
        <v>7.2060087026412786E-4</v>
      </c>
      <c r="K38" s="40"/>
    </row>
    <row r="39" spans="1:11" x14ac:dyDescent="0.2">
      <c r="A39" s="63" t="s">
        <v>63</v>
      </c>
      <c r="B39" s="82">
        <v>251.40799999999999</v>
      </c>
      <c r="C39" s="69">
        <v>0.71153479434067779</v>
      </c>
      <c r="D39" s="33">
        <v>2.4347009741525981E-3</v>
      </c>
      <c r="E39" s="33">
        <v>9.0267201198953068E-2</v>
      </c>
      <c r="F39" s="33">
        <v>0.110532744781728</v>
      </c>
      <c r="G39" s="33">
        <v>8.5231633182450195E-2</v>
      </c>
      <c r="K39" s="40"/>
    </row>
    <row r="40" spans="1:11" x14ac:dyDescent="0.2">
      <c r="A40" s="63" t="s">
        <v>8</v>
      </c>
      <c r="B40" s="82">
        <v>179.262</v>
      </c>
      <c r="C40" s="69">
        <v>0.33600000000000002</v>
      </c>
      <c r="D40" s="33">
        <v>2.5000000000000001E-2</v>
      </c>
      <c r="E40" s="33">
        <v>0.20499999999999999</v>
      </c>
      <c r="F40" s="33">
        <v>0.34899999999999998</v>
      </c>
      <c r="G40" s="33">
        <v>8.4000000000000005E-2</v>
      </c>
      <c r="K40" s="40"/>
    </row>
    <row r="41" spans="1:11" x14ac:dyDescent="0.2">
      <c r="A41" s="63" t="s">
        <v>7</v>
      </c>
      <c r="B41" s="82">
        <v>1220.6659999999999</v>
      </c>
      <c r="C41" s="69">
        <v>0.28455777419867517</v>
      </c>
      <c r="D41" s="33">
        <v>3.5903351121436985E-2</v>
      </c>
      <c r="E41" s="33">
        <v>0.45677933193846643</v>
      </c>
      <c r="F41" s="33">
        <v>0.13045419467733191</v>
      </c>
      <c r="G41" s="33">
        <v>9.2305348064089618E-2</v>
      </c>
      <c r="K41" s="40"/>
    </row>
    <row r="42" spans="1:11" x14ac:dyDescent="0.2">
      <c r="A42" s="63" t="s">
        <v>9</v>
      </c>
      <c r="B42" s="82">
        <v>20.936</v>
      </c>
      <c r="C42" s="69">
        <v>0.27211501719526177</v>
      </c>
      <c r="D42" s="33">
        <v>1.8628200229270156E-3</v>
      </c>
      <c r="E42" s="33">
        <v>0.14009361864730607</v>
      </c>
      <c r="F42" s="33">
        <v>0.51652655712648066</v>
      </c>
      <c r="G42" s="33">
        <v>6.9401987008024454E-2</v>
      </c>
      <c r="K42" s="40"/>
    </row>
    <row r="43" spans="1:11" x14ac:dyDescent="0.2">
      <c r="A43" s="63" t="s">
        <v>16</v>
      </c>
      <c r="B43" s="82">
        <v>23.454999999999998</v>
      </c>
      <c r="C43" s="69">
        <v>4.0972074184608825E-2</v>
      </c>
      <c r="D43" s="33">
        <v>1.0232359837987638E-3</v>
      </c>
      <c r="E43" s="33">
        <v>0.91652099765508421</v>
      </c>
      <c r="F43" s="33">
        <v>2.5964613088893626E-2</v>
      </c>
      <c r="G43" s="33">
        <v>1.5050095928373482E-2</v>
      </c>
      <c r="K43" s="40"/>
    </row>
    <row r="44" spans="1:11" x14ac:dyDescent="0.2">
      <c r="A44" s="63" t="s">
        <v>10</v>
      </c>
      <c r="B44" s="82">
        <v>22.16</v>
      </c>
      <c r="C44" s="69">
        <v>0.11114620938628159</v>
      </c>
      <c r="D44" s="33">
        <v>3.1768953068592058E-2</v>
      </c>
      <c r="E44" s="33">
        <v>0.29571299638989168</v>
      </c>
      <c r="F44" s="33">
        <v>0.11529783393501805</v>
      </c>
      <c r="G44" s="33">
        <v>0.44607400722021656</v>
      </c>
      <c r="K44" s="40"/>
    </row>
    <row r="45" spans="1:11" x14ac:dyDescent="0.2">
      <c r="A45" s="63" t="s">
        <v>11</v>
      </c>
      <c r="B45" s="82">
        <v>398.53674466284235</v>
      </c>
      <c r="C45" s="69">
        <v>1.7296959898219177E-2</v>
      </c>
      <c r="D45" s="33">
        <v>4.3664018382650396E-2</v>
      </c>
      <c r="E45" s="33">
        <v>0.806055602373553</v>
      </c>
      <c r="F45" s="33">
        <v>0</v>
      </c>
      <c r="G45" s="33">
        <v>0.13298341934557723</v>
      </c>
      <c r="K45" s="40"/>
    </row>
    <row r="46" spans="1:11" x14ac:dyDescent="0.2">
      <c r="A46" s="63" t="s">
        <v>13</v>
      </c>
      <c r="B46" s="82">
        <v>238.35230999999999</v>
      </c>
      <c r="C46" s="69">
        <v>5.9481975517669622E-2</v>
      </c>
      <c r="D46" s="33">
        <v>3.6321938679763577E-2</v>
      </c>
      <c r="E46" s="33">
        <v>0.59878159539548825</v>
      </c>
      <c r="F46" s="33">
        <v>0.19878255040196591</v>
      </c>
      <c r="G46" s="33">
        <v>0.10675842799257959</v>
      </c>
      <c r="K46" s="40"/>
    </row>
    <row r="47" spans="1:11" x14ac:dyDescent="0.2">
      <c r="A47" s="63" t="s">
        <v>14</v>
      </c>
      <c r="B47" s="82">
        <v>23.956</v>
      </c>
      <c r="C47" s="69">
        <v>2.7592252462848559E-2</v>
      </c>
      <c r="D47" s="33">
        <v>3.4438136583736852E-2</v>
      </c>
      <c r="E47" s="33">
        <v>0.9284939054934046</v>
      </c>
      <c r="F47" s="33">
        <v>9.4757054600100189E-3</v>
      </c>
      <c r="G47" s="33">
        <v>0</v>
      </c>
      <c r="K47" s="40"/>
    </row>
    <row r="48" spans="1:11" x14ac:dyDescent="0.2">
      <c r="A48" s="63" t="s">
        <v>17</v>
      </c>
      <c r="B48" s="82">
        <v>839.62400000000002</v>
      </c>
      <c r="C48" s="69">
        <v>2.9608491419968941E-3</v>
      </c>
      <c r="D48" s="33">
        <v>0.1183398759444704</v>
      </c>
      <c r="E48" s="33">
        <v>0.67178165464541262</v>
      </c>
      <c r="F48" s="33">
        <v>0.12729150191037891</v>
      </c>
      <c r="G48" s="33">
        <v>7.9539174678189287E-2</v>
      </c>
      <c r="K48" s="40"/>
    </row>
    <row r="49" spans="1:11" x14ac:dyDescent="0.2">
      <c r="A49" s="63" t="s">
        <v>5</v>
      </c>
      <c r="B49" s="82">
        <v>0.63639999999999997</v>
      </c>
      <c r="C49" s="69">
        <v>0</v>
      </c>
      <c r="D49" s="33">
        <v>0.23208673790069137</v>
      </c>
      <c r="E49" s="33">
        <v>0</v>
      </c>
      <c r="F49" s="33">
        <v>0.76791326209930855</v>
      </c>
      <c r="G49" s="33">
        <v>0</v>
      </c>
      <c r="K49" s="40"/>
    </row>
    <row r="50" spans="1:11" x14ac:dyDescent="0.2">
      <c r="A50" s="63" t="s">
        <v>20</v>
      </c>
      <c r="B50" s="82">
        <v>24.926489999999998</v>
      </c>
      <c r="C50" s="69">
        <v>1.1773819739562213E-2</v>
      </c>
      <c r="D50" s="33">
        <v>4.4073593995785209E-3</v>
      </c>
      <c r="E50" s="33">
        <v>0.69528882726769792</v>
      </c>
      <c r="F50" s="33">
        <v>0.28830212356412799</v>
      </c>
      <c r="G50" s="33">
        <v>2.2787002903336967E-4</v>
      </c>
      <c r="K50" s="40"/>
    </row>
    <row r="51" spans="1:11" x14ac:dyDescent="0.2">
      <c r="A51" s="63" t="s">
        <v>18</v>
      </c>
      <c r="B51" s="82">
        <v>25.347999999999999</v>
      </c>
      <c r="C51" s="69">
        <v>0</v>
      </c>
      <c r="D51" s="33">
        <v>0.13831465993372258</v>
      </c>
      <c r="E51" s="33">
        <v>0.54872179264636267</v>
      </c>
      <c r="F51" s="33">
        <v>0.25003945084424806</v>
      </c>
      <c r="G51" s="33">
        <v>6.2924096575666721E-2</v>
      </c>
      <c r="K51" s="40"/>
    </row>
    <row r="52" spans="1:11" x14ac:dyDescent="0.2">
      <c r="A52" s="63" t="s">
        <v>19</v>
      </c>
      <c r="B52" s="82">
        <v>5.835</v>
      </c>
      <c r="C52" s="69">
        <v>0</v>
      </c>
      <c r="D52" s="33">
        <v>6.8551842330762645E-4</v>
      </c>
      <c r="E52" s="33">
        <v>0.89682947729220219</v>
      </c>
      <c r="F52" s="33">
        <v>0.10248500428449014</v>
      </c>
      <c r="G52" s="33">
        <v>0</v>
      </c>
      <c r="K52" s="40"/>
    </row>
    <row r="53" spans="1:11" x14ac:dyDescent="0.2">
      <c r="A53" s="63" t="s">
        <v>15</v>
      </c>
      <c r="B53" s="82">
        <v>50.519629108074362</v>
      </c>
      <c r="C53" s="69">
        <v>4.2953516959945863E-2</v>
      </c>
      <c r="D53" s="33">
        <v>4.6670477565277195E-3</v>
      </c>
      <c r="E53" s="33">
        <v>0.75060254556322459</v>
      </c>
      <c r="F53" s="33">
        <v>0.12756468859416831</v>
      </c>
      <c r="G53" s="33">
        <v>7.421220112613347E-2</v>
      </c>
      <c r="K53" s="40"/>
    </row>
    <row r="54" spans="1:11" x14ac:dyDescent="0.2">
      <c r="A54" s="63" t="s">
        <v>21</v>
      </c>
      <c r="B54" s="82">
        <v>6.5000000000000002E-2</v>
      </c>
      <c r="C54" s="69">
        <v>0</v>
      </c>
      <c r="D54" s="33">
        <v>0</v>
      </c>
      <c r="E54" s="33">
        <v>0</v>
      </c>
      <c r="F54" s="33">
        <v>1</v>
      </c>
      <c r="G54" s="33">
        <v>0</v>
      </c>
      <c r="K54" s="40"/>
    </row>
    <row r="55" spans="1:11" x14ac:dyDescent="0.2">
      <c r="A55" s="63" t="s">
        <v>22</v>
      </c>
      <c r="B55" s="82">
        <v>426.40699999999998</v>
      </c>
      <c r="C55" s="69">
        <v>1.2211337993982276E-2</v>
      </c>
      <c r="D55" s="33">
        <v>6.2780395256175452E-3</v>
      </c>
      <c r="E55" s="33">
        <v>0.79337581231077348</v>
      </c>
      <c r="F55" s="33">
        <v>2.667170098051861E-2</v>
      </c>
      <c r="G55" s="33">
        <v>0.16146310918910806</v>
      </c>
      <c r="K55" s="40"/>
    </row>
    <row r="56" spans="1:11" x14ac:dyDescent="0.2">
      <c r="A56" s="63" t="s">
        <v>2</v>
      </c>
      <c r="B56" s="82">
        <v>175.65429454108335</v>
      </c>
      <c r="C56" s="69">
        <v>5.174320137819003E-2</v>
      </c>
      <c r="D56" s="33">
        <v>7.897478774681356E-2</v>
      </c>
      <c r="E56" s="33">
        <v>0.3965792283132748</v>
      </c>
      <c r="F56" s="33">
        <v>0.37723124800769786</v>
      </c>
      <c r="G56" s="33">
        <v>9.5471534554023657E-2</v>
      </c>
      <c r="K56" s="40"/>
    </row>
    <row r="57" spans="1:11" x14ac:dyDescent="0.2">
      <c r="A57" s="63" t="s">
        <v>24</v>
      </c>
      <c r="B57" s="82">
        <v>424.19400000000002</v>
      </c>
      <c r="C57" s="69">
        <v>0.72279428751938968</v>
      </c>
      <c r="D57" s="33">
        <v>7.7903034932130105E-2</v>
      </c>
      <c r="E57" s="33">
        <v>6.7865174896391739E-2</v>
      </c>
      <c r="F57" s="33">
        <v>0.10452764536980721</v>
      </c>
      <c r="G57" s="33">
        <v>2.6909857282281218E-2</v>
      </c>
      <c r="K57" s="40"/>
    </row>
    <row r="58" spans="1:11" x14ac:dyDescent="0.2">
      <c r="A58" s="63" t="s">
        <v>25</v>
      </c>
      <c r="B58" s="82">
        <v>119.41</v>
      </c>
      <c r="C58" s="69">
        <v>0</v>
      </c>
      <c r="D58" s="33">
        <v>4.5400000000000003E-2</v>
      </c>
      <c r="E58" s="33">
        <v>0.51880000000000004</v>
      </c>
      <c r="F58" s="33">
        <v>0.4</v>
      </c>
      <c r="G58" s="33">
        <v>3.5799999999999998E-2</v>
      </c>
      <c r="K58" s="40"/>
    </row>
    <row r="59" spans="1:11" x14ac:dyDescent="0.2">
      <c r="A59" s="63" t="s">
        <v>26</v>
      </c>
      <c r="B59" s="82">
        <v>103.6</v>
      </c>
      <c r="C59" s="69">
        <v>0.37390000000000001</v>
      </c>
      <c r="D59" s="33">
        <v>9.1999999999999998E-3</v>
      </c>
      <c r="E59" s="33">
        <v>0.54630000000000001</v>
      </c>
      <c r="F59" s="33">
        <v>3.5799999999999998E-2</v>
      </c>
      <c r="G59" s="33">
        <v>3.4700000000000002E-2</v>
      </c>
      <c r="K59" s="40"/>
    </row>
    <row r="60" spans="1:11" x14ac:dyDescent="0.2">
      <c r="A60" s="63" t="s">
        <v>28</v>
      </c>
      <c r="B60" s="82">
        <v>19.38</v>
      </c>
      <c r="C60" s="69">
        <v>0.55770000000000008</v>
      </c>
      <c r="D60" s="33">
        <v>1.2999999999999999E-3</v>
      </c>
      <c r="E60" s="33">
        <v>0.24719999999999998</v>
      </c>
      <c r="F60" s="33">
        <v>0.17730000000000001</v>
      </c>
      <c r="G60" s="33">
        <v>1.6500000000000001E-2</v>
      </c>
      <c r="K60" s="40"/>
    </row>
    <row r="61" spans="1:11" x14ac:dyDescent="0.2">
      <c r="A61" s="63" t="s">
        <v>55</v>
      </c>
      <c r="B61" s="117">
        <v>292.27100000000002</v>
      </c>
      <c r="C61" s="118">
        <v>0.18100666846864721</v>
      </c>
      <c r="D61" s="120">
        <v>3.0499091596497763E-2</v>
      </c>
      <c r="E61" s="120">
        <v>7.1769008899274983E-2</v>
      </c>
      <c r="F61" s="120">
        <v>8.7589942211167032E-2</v>
      </c>
      <c r="G61" s="120">
        <v>0.62913528882441283</v>
      </c>
      <c r="K61" s="40"/>
    </row>
    <row r="62" spans="1:11" x14ac:dyDescent="0.2">
      <c r="A62" s="63" t="s">
        <v>12</v>
      </c>
      <c r="B62" s="82">
        <v>411.21899999999999</v>
      </c>
      <c r="C62" s="69">
        <v>0.22307578200423619</v>
      </c>
      <c r="D62" s="33">
        <v>1.0070059992364166E-2</v>
      </c>
      <c r="E62" s="33">
        <v>0.15997072119722094</v>
      </c>
      <c r="F62" s="33">
        <v>0.56352697710952071</v>
      </c>
      <c r="G62" s="33">
        <v>4.3356459696657988E-2</v>
      </c>
      <c r="K62" s="40"/>
    </row>
    <row r="63" spans="1:11" x14ac:dyDescent="0.2">
      <c r="A63" s="64" t="s">
        <v>27</v>
      </c>
      <c r="B63" s="90">
        <v>267.29000000000002</v>
      </c>
      <c r="C63" s="91">
        <v>6.6600000000000006E-2</v>
      </c>
      <c r="D63" s="34">
        <v>2.3399999999999997E-2</v>
      </c>
      <c r="E63" s="34">
        <v>5.4600000000000003E-2</v>
      </c>
      <c r="F63" s="34">
        <v>0.74769999999999992</v>
      </c>
      <c r="G63" s="34">
        <v>0.10769999999999999</v>
      </c>
      <c r="K63" s="40"/>
    </row>
    <row r="64" spans="1:11" x14ac:dyDescent="0.2">
      <c r="A64" s="64" t="s">
        <v>29</v>
      </c>
      <c r="B64" s="90">
        <v>277.39499799906713</v>
      </c>
      <c r="C64" s="91">
        <v>5.0146739464933796E-2</v>
      </c>
      <c r="D64" s="34">
        <v>1.4053378006343436E-2</v>
      </c>
      <c r="E64" s="34">
        <v>0.66665813115973516</v>
      </c>
      <c r="F64" s="34">
        <v>6.6083070060611371E-2</v>
      </c>
      <c r="G64" s="34">
        <v>0.20305868130837379</v>
      </c>
      <c r="K64" s="40"/>
    </row>
    <row r="65" spans="1:11" x14ac:dyDescent="0.2">
      <c r="A65" s="106" t="s">
        <v>23</v>
      </c>
      <c r="B65" s="107">
        <v>12.37</v>
      </c>
      <c r="C65" s="110">
        <v>5.7000000000000002E-2</v>
      </c>
      <c r="D65" s="108">
        <v>0</v>
      </c>
      <c r="E65" s="108">
        <v>0</v>
      </c>
      <c r="F65" s="108">
        <v>0.47100000000000003</v>
      </c>
      <c r="G65" s="108">
        <v>0.47100000000000003</v>
      </c>
      <c r="K65" s="40"/>
    </row>
    <row r="67" spans="1:11" x14ac:dyDescent="0.2">
      <c r="A67" s="21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7"/>
  <sheetViews>
    <sheetView workbookViewId="0"/>
  </sheetViews>
  <sheetFormatPr defaultColWidth="9.140625" defaultRowHeight="12" x14ac:dyDescent="0.2"/>
  <cols>
    <col min="1" max="1" width="21.7109375" style="38" customWidth="1"/>
    <col min="2" max="2" width="10.7109375" style="35" customWidth="1"/>
    <col min="3" max="5" width="10.7109375" style="36" customWidth="1"/>
    <col min="6" max="7" width="10.7109375" style="38" customWidth="1"/>
    <col min="8" max="9" width="10.7109375" style="36" customWidth="1"/>
    <col min="10" max="10" width="10.7109375" style="35" customWidth="1"/>
    <col min="11" max="256" width="9.140625" style="38"/>
    <col min="257" max="257" width="21.7109375" style="38" customWidth="1"/>
    <col min="258" max="258" width="9.7109375" style="38" customWidth="1"/>
    <col min="259" max="261" width="9.140625" style="38"/>
    <col min="262" max="262" width="10.7109375" style="38" customWidth="1"/>
    <col min="263" max="263" width="9.5703125" style="38" customWidth="1"/>
    <col min="264" max="512" width="9.140625" style="38"/>
    <col min="513" max="513" width="21.7109375" style="38" customWidth="1"/>
    <col min="514" max="514" width="9.7109375" style="38" customWidth="1"/>
    <col min="515" max="517" width="9.140625" style="38"/>
    <col min="518" max="518" width="10.7109375" style="38" customWidth="1"/>
    <col min="519" max="519" width="9.5703125" style="38" customWidth="1"/>
    <col min="520" max="768" width="9.140625" style="38"/>
    <col min="769" max="769" width="21.7109375" style="38" customWidth="1"/>
    <col min="770" max="770" width="9.7109375" style="38" customWidth="1"/>
    <col min="771" max="773" width="9.140625" style="38"/>
    <col min="774" max="774" width="10.7109375" style="38" customWidth="1"/>
    <col min="775" max="775" width="9.5703125" style="38" customWidth="1"/>
    <col min="776" max="1024" width="9.140625" style="38"/>
    <col min="1025" max="1025" width="21.7109375" style="38" customWidth="1"/>
    <col min="1026" max="1026" width="9.7109375" style="38" customWidth="1"/>
    <col min="1027" max="1029" width="9.140625" style="38"/>
    <col min="1030" max="1030" width="10.7109375" style="38" customWidth="1"/>
    <col min="1031" max="1031" width="9.5703125" style="38" customWidth="1"/>
    <col min="1032" max="1280" width="9.140625" style="38"/>
    <col min="1281" max="1281" width="21.7109375" style="38" customWidth="1"/>
    <col min="1282" max="1282" width="9.7109375" style="38" customWidth="1"/>
    <col min="1283" max="1285" width="9.140625" style="38"/>
    <col min="1286" max="1286" width="10.7109375" style="38" customWidth="1"/>
    <col min="1287" max="1287" width="9.5703125" style="38" customWidth="1"/>
    <col min="1288" max="1536" width="9.140625" style="38"/>
    <col min="1537" max="1537" width="21.7109375" style="38" customWidth="1"/>
    <col min="1538" max="1538" width="9.7109375" style="38" customWidth="1"/>
    <col min="1539" max="1541" width="9.140625" style="38"/>
    <col min="1542" max="1542" width="10.7109375" style="38" customWidth="1"/>
    <col min="1543" max="1543" width="9.5703125" style="38" customWidth="1"/>
    <col min="1544" max="1792" width="9.140625" style="38"/>
    <col min="1793" max="1793" width="21.7109375" style="38" customWidth="1"/>
    <col min="1794" max="1794" width="9.7109375" style="38" customWidth="1"/>
    <col min="1795" max="1797" width="9.140625" style="38"/>
    <col min="1798" max="1798" width="10.7109375" style="38" customWidth="1"/>
    <col min="1799" max="1799" width="9.5703125" style="38" customWidth="1"/>
    <col min="1800" max="2048" width="9.140625" style="38"/>
    <col min="2049" max="2049" width="21.7109375" style="38" customWidth="1"/>
    <col min="2050" max="2050" width="9.7109375" style="38" customWidth="1"/>
    <col min="2051" max="2053" width="9.140625" style="38"/>
    <col min="2054" max="2054" width="10.7109375" style="38" customWidth="1"/>
    <col min="2055" max="2055" width="9.5703125" style="38" customWidth="1"/>
    <col min="2056" max="2304" width="9.140625" style="38"/>
    <col min="2305" max="2305" width="21.7109375" style="38" customWidth="1"/>
    <col min="2306" max="2306" width="9.7109375" style="38" customWidth="1"/>
    <col min="2307" max="2309" width="9.140625" style="38"/>
    <col min="2310" max="2310" width="10.7109375" style="38" customWidth="1"/>
    <col min="2311" max="2311" width="9.5703125" style="38" customWidth="1"/>
    <col min="2312" max="2560" width="9.140625" style="38"/>
    <col min="2561" max="2561" width="21.7109375" style="38" customWidth="1"/>
    <col min="2562" max="2562" width="9.7109375" style="38" customWidth="1"/>
    <col min="2563" max="2565" width="9.140625" style="38"/>
    <col min="2566" max="2566" width="10.7109375" style="38" customWidth="1"/>
    <col min="2567" max="2567" width="9.5703125" style="38" customWidth="1"/>
    <col min="2568" max="2816" width="9.140625" style="38"/>
    <col min="2817" max="2817" width="21.7109375" style="38" customWidth="1"/>
    <col min="2818" max="2818" width="9.7109375" style="38" customWidth="1"/>
    <col min="2819" max="2821" width="9.140625" style="38"/>
    <col min="2822" max="2822" width="10.7109375" style="38" customWidth="1"/>
    <col min="2823" max="2823" width="9.5703125" style="38" customWidth="1"/>
    <col min="2824" max="3072" width="9.140625" style="38"/>
    <col min="3073" max="3073" width="21.7109375" style="38" customWidth="1"/>
    <col min="3074" max="3074" width="9.7109375" style="38" customWidth="1"/>
    <col min="3075" max="3077" width="9.140625" style="38"/>
    <col min="3078" max="3078" width="10.7109375" style="38" customWidth="1"/>
    <col min="3079" max="3079" width="9.5703125" style="38" customWidth="1"/>
    <col min="3080" max="3328" width="9.140625" style="38"/>
    <col min="3329" max="3329" width="21.7109375" style="38" customWidth="1"/>
    <col min="3330" max="3330" width="9.7109375" style="38" customWidth="1"/>
    <col min="3331" max="3333" width="9.140625" style="38"/>
    <col min="3334" max="3334" width="10.7109375" style="38" customWidth="1"/>
    <col min="3335" max="3335" width="9.5703125" style="38" customWidth="1"/>
    <col min="3336" max="3584" width="9.140625" style="38"/>
    <col min="3585" max="3585" width="21.7109375" style="38" customWidth="1"/>
    <col min="3586" max="3586" width="9.7109375" style="38" customWidth="1"/>
    <col min="3587" max="3589" width="9.140625" style="38"/>
    <col min="3590" max="3590" width="10.7109375" style="38" customWidth="1"/>
    <col min="3591" max="3591" width="9.5703125" style="38" customWidth="1"/>
    <col min="3592" max="3840" width="9.140625" style="38"/>
    <col min="3841" max="3841" width="21.7109375" style="38" customWidth="1"/>
    <col min="3842" max="3842" width="9.7109375" style="38" customWidth="1"/>
    <col min="3843" max="3845" width="9.140625" style="38"/>
    <col min="3846" max="3846" width="10.7109375" style="38" customWidth="1"/>
    <col min="3847" max="3847" width="9.5703125" style="38" customWidth="1"/>
    <col min="3848" max="4096" width="9.140625" style="38"/>
    <col min="4097" max="4097" width="21.7109375" style="38" customWidth="1"/>
    <col min="4098" max="4098" width="9.7109375" style="38" customWidth="1"/>
    <col min="4099" max="4101" width="9.140625" style="38"/>
    <col min="4102" max="4102" width="10.7109375" style="38" customWidth="1"/>
    <col min="4103" max="4103" width="9.5703125" style="38" customWidth="1"/>
    <col min="4104" max="4352" width="9.140625" style="38"/>
    <col min="4353" max="4353" width="21.7109375" style="38" customWidth="1"/>
    <col min="4354" max="4354" width="9.7109375" style="38" customWidth="1"/>
    <col min="4355" max="4357" width="9.140625" style="38"/>
    <col min="4358" max="4358" width="10.7109375" style="38" customWidth="1"/>
    <col min="4359" max="4359" width="9.5703125" style="38" customWidth="1"/>
    <col min="4360" max="4608" width="9.140625" style="38"/>
    <col min="4609" max="4609" width="21.7109375" style="38" customWidth="1"/>
    <col min="4610" max="4610" width="9.7109375" style="38" customWidth="1"/>
    <col min="4611" max="4613" width="9.140625" style="38"/>
    <col min="4614" max="4614" width="10.7109375" style="38" customWidth="1"/>
    <col min="4615" max="4615" width="9.5703125" style="38" customWidth="1"/>
    <col min="4616" max="4864" width="9.140625" style="38"/>
    <col min="4865" max="4865" width="21.7109375" style="38" customWidth="1"/>
    <col min="4866" max="4866" width="9.7109375" style="38" customWidth="1"/>
    <col min="4867" max="4869" width="9.140625" style="38"/>
    <col min="4870" max="4870" width="10.7109375" style="38" customWidth="1"/>
    <col min="4871" max="4871" width="9.5703125" style="38" customWidth="1"/>
    <col min="4872" max="5120" width="9.140625" style="38"/>
    <col min="5121" max="5121" width="21.7109375" style="38" customWidth="1"/>
    <col min="5122" max="5122" width="9.7109375" style="38" customWidth="1"/>
    <col min="5123" max="5125" width="9.140625" style="38"/>
    <col min="5126" max="5126" width="10.7109375" style="38" customWidth="1"/>
    <col min="5127" max="5127" width="9.5703125" style="38" customWidth="1"/>
    <col min="5128" max="5376" width="9.140625" style="38"/>
    <col min="5377" max="5377" width="21.7109375" style="38" customWidth="1"/>
    <col min="5378" max="5378" width="9.7109375" style="38" customWidth="1"/>
    <col min="5379" max="5381" width="9.140625" style="38"/>
    <col min="5382" max="5382" width="10.7109375" style="38" customWidth="1"/>
    <col min="5383" max="5383" width="9.5703125" style="38" customWidth="1"/>
    <col min="5384" max="5632" width="9.140625" style="38"/>
    <col min="5633" max="5633" width="21.7109375" style="38" customWidth="1"/>
    <col min="5634" max="5634" width="9.7109375" style="38" customWidth="1"/>
    <col min="5635" max="5637" width="9.140625" style="38"/>
    <col min="5638" max="5638" width="10.7109375" style="38" customWidth="1"/>
    <col min="5639" max="5639" width="9.5703125" style="38" customWidth="1"/>
    <col min="5640" max="5888" width="9.140625" style="38"/>
    <col min="5889" max="5889" width="21.7109375" style="38" customWidth="1"/>
    <col min="5890" max="5890" width="9.7109375" style="38" customWidth="1"/>
    <col min="5891" max="5893" width="9.140625" style="38"/>
    <col min="5894" max="5894" width="10.7109375" style="38" customWidth="1"/>
    <col min="5895" max="5895" width="9.5703125" style="38" customWidth="1"/>
    <col min="5896" max="6144" width="9.140625" style="38"/>
    <col min="6145" max="6145" width="21.7109375" style="38" customWidth="1"/>
    <col min="6146" max="6146" width="9.7109375" style="38" customWidth="1"/>
    <col min="6147" max="6149" width="9.140625" style="38"/>
    <col min="6150" max="6150" width="10.7109375" style="38" customWidth="1"/>
    <col min="6151" max="6151" width="9.5703125" style="38" customWidth="1"/>
    <col min="6152" max="6400" width="9.140625" style="38"/>
    <col min="6401" max="6401" width="21.7109375" style="38" customWidth="1"/>
    <col min="6402" max="6402" width="9.7109375" style="38" customWidth="1"/>
    <col min="6403" max="6405" width="9.140625" style="38"/>
    <col min="6406" max="6406" width="10.7109375" style="38" customWidth="1"/>
    <col min="6407" max="6407" width="9.5703125" style="38" customWidth="1"/>
    <col min="6408" max="6656" width="9.140625" style="38"/>
    <col min="6657" max="6657" width="21.7109375" style="38" customWidth="1"/>
    <col min="6658" max="6658" width="9.7109375" style="38" customWidth="1"/>
    <col min="6659" max="6661" width="9.140625" style="38"/>
    <col min="6662" max="6662" width="10.7109375" style="38" customWidth="1"/>
    <col min="6663" max="6663" width="9.5703125" style="38" customWidth="1"/>
    <col min="6664" max="6912" width="9.140625" style="38"/>
    <col min="6913" max="6913" width="21.7109375" style="38" customWidth="1"/>
    <col min="6914" max="6914" width="9.7109375" style="38" customWidth="1"/>
    <col min="6915" max="6917" width="9.140625" style="38"/>
    <col min="6918" max="6918" width="10.7109375" style="38" customWidth="1"/>
    <col min="6919" max="6919" width="9.5703125" style="38" customWidth="1"/>
    <col min="6920" max="7168" width="9.140625" style="38"/>
    <col min="7169" max="7169" width="21.7109375" style="38" customWidth="1"/>
    <col min="7170" max="7170" width="9.7109375" style="38" customWidth="1"/>
    <col min="7171" max="7173" width="9.140625" style="38"/>
    <col min="7174" max="7174" width="10.7109375" style="38" customWidth="1"/>
    <col min="7175" max="7175" width="9.5703125" style="38" customWidth="1"/>
    <col min="7176" max="7424" width="9.140625" style="38"/>
    <col min="7425" max="7425" width="21.7109375" style="38" customWidth="1"/>
    <col min="7426" max="7426" width="9.7109375" style="38" customWidth="1"/>
    <col min="7427" max="7429" width="9.140625" style="38"/>
    <col min="7430" max="7430" width="10.7109375" style="38" customWidth="1"/>
    <col min="7431" max="7431" width="9.5703125" style="38" customWidth="1"/>
    <col min="7432" max="7680" width="9.140625" style="38"/>
    <col min="7681" max="7681" width="21.7109375" style="38" customWidth="1"/>
    <col min="7682" max="7682" width="9.7109375" style="38" customWidth="1"/>
    <col min="7683" max="7685" width="9.140625" style="38"/>
    <col min="7686" max="7686" width="10.7109375" style="38" customWidth="1"/>
    <col min="7687" max="7687" width="9.5703125" style="38" customWidth="1"/>
    <col min="7688" max="7936" width="9.140625" style="38"/>
    <col min="7937" max="7937" width="21.7109375" style="38" customWidth="1"/>
    <col min="7938" max="7938" width="9.7109375" style="38" customWidth="1"/>
    <col min="7939" max="7941" width="9.140625" style="38"/>
    <col min="7942" max="7942" width="10.7109375" style="38" customWidth="1"/>
    <col min="7943" max="7943" width="9.5703125" style="38" customWidth="1"/>
    <col min="7944" max="8192" width="9.140625" style="38"/>
    <col min="8193" max="8193" width="21.7109375" style="38" customWidth="1"/>
    <col min="8194" max="8194" width="9.7109375" style="38" customWidth="1"/>
    <col min="8195" max="8197" width="9.140625" style="38"/>
    <col min="8198" max="8198" width="10.7109375" style="38" customWidth="1"/>
    <col min="8199" max="8199" width="9.5703125" style="38" customWidth="1"/>
    <col min="8200" max="8448" width="9.140625" style="38"/>
    <col min="8449" max="8449" width="21.7109375" style="38" customWidth="1"/>
    <col min="8450" max="8450" width="9.7109375" style="38" customWidth="1"/>
    <col min="8451" max="8453" width="9.140625" style="38"/>
    <col min="8454" max="8454" width="10.7109375" style="38" customWidth="1"/>
    <col min="8455" max="8455" width="9.5703125" style="38" customWidth="1"/>
    <col min="8456" max="8704" width="9.140625" style="38"/>
    <col min="8705" max="8705" width="21.7109375" style="38" customWidth="1"/>
    <col min="8706" max="8706" width="9.7109375" style="38" customWidth="1"/>
    <col min="8707" max="8709" width="9.140625" style="38"/>
    <col min="8710" max="8710" width="10.7109375" style="38" customWidth="1"/>
    <col min="8711" max="8711" width="9.5703125" style="38" customWidth="1"/>
    <col min="8712" max="8960" width="9.140625" style="38"/>
    <col min="8961" max="8961" width="21.7109375" style="38" customWidth="1"/>
    <col min="8962" max="8962" width="9.7109375" style="38" customWidth="1"/>
    <col min="8963" max="8965" width="9.140625" style="38"/>
    <col min="8966" max="8966" width="10.7109375" style="38" customWidth="1"/>
    <col min="8967" max="8967" width="9.5703125" style="38" customWidth="1"/>
    <col min="8968" max="9216" width="9.140625" style="38"/>
    <col min="9217" max="9217" width="21.7109375" style="38" customWidth="1"/>
    <col min="9218" max="9218" width="9.7109375" style="38" customWidth="1"/>
    <col min="9219" max="9221" width="9.140625" style="38"/>
    <col min="9222" max="9222" width="10.7109375" style="38" customWidth="1"/>
    <col min="9223" max="9223" width="9.5703125" style="38" customWidth="1"/>
    <col min="9224" max="9472" width="9.140625" style="38"/>
    <col min="9473" max="9473" width="21.7109375" style="38" customWidth="1"/>
    <col min="9474" max="9474" width="9.7109375" style="38" customWidth="1"/>
    <col min="9475" max="9477" width="9.140625" style="38"/>
    <col min="9478" max="9478" width="10.7109375" style="38" customWidth="1"/>
    <col min="9479" max="9479" width="9.5703125" style="38" customWidth="1"/>
    <col min="9480" max="9728" width="9.140625" style="38"/>
    <col min="9729" max="9729" width="21.7109375" style="38" customWidth="1"/>
    <col min="9730" max="9730" width="9.7109375" style="38" customWidth="1"/>
    <col min="9731" max="9733" width="9.140625" style="38"/>
    <col min="9734" max="9734" width="10.7109375" style="38" customWidth="1"/>
    <col min="9735" max="9735" width="9.5703125" style="38" customWidth="1"/>
    <col min="9736" max="9984" width="9.140625" style="38"/>
    <col min="9985" max="9985" width="21.7109375" style="38" customWidth="1"/>
    <col min="9986" max="9986" width="9.7109375" style="38" customWidth="1"/>
    <col min="9987" max="9989" width="9.140625" style="38"/>
    <col min="9990" max="9990" width="10.7109375" style="38" customWidth="1"/>
    <col min="9991" max="9991" width="9.5703125" style="38" customWidth="1"/>
    <col min="9992" max="10240" width="9.140625" style="38"/>
    <col min="10241" max="10241" width="21.7109375" style="38" customWidth="1"/>
    <col min="10242" max="10242" width="9.7109375" style="38" customWidth="1"/>
    <col min="10243" max="10245" width="9.140625" style="38"/>
    <col min="10246" max="10246" width="10.7109375" style="38" customWidth="1"/>
    <col min="10247" max="10247" width="9.5703125" style="38" customWidth="1"/>
    <col min="10248" max="10496" width="9.140625" style="38"/>
    <col min="10497" max="10497" width="21.7109375" style="38" customWidth="1"/>
    <col min="10498" max="10498" width="9.7109375" style="38" customWidth="1"/>
    <col min="10499" max="10501" width="9.140625" style="38"/>
    <col min="10502" max="10502" width="10.7109375" style="38" customWidth="1"/>
    <col min="10503" max="10503" width="9.5703125" style="38" customWidth="1"/>
    <col min="10504" max="10752" width="9.140625" style="38"/>
    <col min="10753" max="10753" width="21.7109375" style="38" customWidth="1"/>
    <col min="10754" max="10754" width="9.7109375" style="38" customWidth="1"/>
    <col min="10755" max="10757" width="9.140625" style="38"/>
    <col min="10758" max="10758" width="10.7109375" style="38" customWidth="1"/>
    <col min="10759" max="10759" width="9.5703125" style="38" customWidth="1"/>
    <col min="10760" max="11008" width="9.140625" style="38"/>
    <col min="11009" max="11009" width="21.7109375" style="38" customWidth="1"/>
    <col min="11010" max="11010" width="9.7109375" style="38" customWidth="1"/>
    <col min="11011" max="11013" width="9.140625" style="38"/>
    <col min="11014" max="11014" width="10.7109375" style="38" customWidth="1"/>
    <col min="11015" max="11015" width="9.5703125" style="38" customWidth="1"/>
    <col min="11016" max="11264" width="9.140625" style="38"/>
    <col min="11265" max="11265" width="21.7109375" style="38" customWidth="1"/>
    <col min="11266" max="11266" width="9.7109375" style="38" customWidth="1"/>
    <col min="11267" max="11269" width="9.140625" style="38"/>
    <col min="11270" max="11270" width="10.7109375" style="38" customWidth="1"/>
    <col min="11271" max="11271" width="9.5703125" style="38" customWidth="1"/>
    <col min="11272" max="11520" width="9.140625" style="38"/>
    <col min="11521" max="11521" width="21.7109375" style="38" customWidth="1"/>
    <col min="11522" max="11522" width="9.7109375" style="38" customWidth="1"/>
    <col min="11523" max="11525" width="9.140625" style="38"/>
    <col min="11526" max="11526" width="10.7109375" style="38" customWidth="1"/>
    <col min="11527" max="11527" width="9.5703125" style="38" customWidth="1"/>
    <col min="11528" max="11776" width="9.140625" style="38"/>
    <col min="11777" max="11777" width="21.7109375" style="38" customWidth="1"/>
    <col min="11778" max="11778" width="9.7109375" style="38" customWidth="1"/>
    <col min="11779" max="11781" width="9.140625" style="38"/>
    <col min="11782" max="11782" width="10.7109375" style="38" customWidth="1"/>
    <col min="11783" max="11783" width="9.5703125" style="38" customWidth="1"/>
    <col min="11784" max="12032" width="9.140625" style="38"/>
    <col min="12033" max="12033" width="21.7109375" style="38" customWidth="1"/>
    <col min="12034" max="12034" width="9.7109375" style="38" customWidth="1"/>
    <col min="12035" max="12037" width="9.140625" style="38"/>
    <col min="12038" max="12038" width="10.7109375" style="38" customWidth="1"/>
    <col min="12039" max="12039" width="9.5703125" style="38" customWidth="1"/>
    <col min="12040" max="12288" width="9.140625" style="38"/>
    <col min="12289" max="12289" width="21.7109375" style="38" customWidth="1"/>
    <col min="12290" max="12290" width="9.7109375" style="38" customWidth="1"/>
    <col min="12291" max="12293" width="9.140625" style="38"/>
    <col min="12294" max="12294" width="10.7109375" style="38" customWidth="1"/>
    <col min="12295" max="12295" width="9.5703125" style="38" customWidth="1"/>
    <col min="12296" max="12544" width="9.140625" style="38"/>
    <col min="12545" max="12545" width="21.7109375" style="38" customWidth="1"/>
    <col min="12546" max="12546" width="9.7109375" style="38" customWidth="1"/>
    <col min="12547" max="12549" width="9.140625" style="38"/>
    <col min="12550" max="12550" width="10.7109375" style="38" customWidth="1"/>
    <col min="12551" max="12551" width="9.5703125" style="38" customWidth="1"/>
    <col min="12552" max="12800" width="9.140625" style="38"/>
    <col min="12801" max="12801" width="21.7109375" style="38" customWidth="1"/>
    <col min="12802" max="12802" width="9.7109375" style="38" customWidth="1"/>
    <col min="12803" max="12805" width="9.140625" style="38"/>
    <col min="12806" max="12806" width="10.7109375" style="38" customWidth="1"/>
    <col min="12807" max="12807" width="9.5703125" style="38" customWidth="1"/>
    <col min="12808" max="13056" width="9.140625" style="38"/>
    <col min="13057" max="13057" width="21.7109375" style="38" customWidth="1"/>
    <col min="13058" max="13058" width="9.7109375" style="38" customWidth="1"/>
    <col min="13059" max="13061" width="9.140625" style="38"/>
    <col min="13062" max="13062" width="10.7109375" style="38" customWidth="1"/>
    <col min="13063" max="13063" width="9.5703125" style="38" customWidth="1"/>
    <col min="13064" max="13312" width="9.140625" style="38"/>
    <col min="13313" max="13313" width="21.7109375" style="38" customWidth="1"/>
    <col min="13314" max="13314" width="9.7109375" style="38" customWidth="1"/>
    <col min="13315" max="13317" width="9.140625" style="38"/>
    <col min="13318" max="13318" width="10.7109375" style="38" customWidth="1"/>
    <col min="13319" max="13319" width="9.5703125" style="38" customWidth="1"/>
    <col min="13320" max="13568" width="9.140625" style="38"/>
    <col min="13569" max="13569" width="21.7109375" style="38" customWidth="1"/>
    <col min="13570" max="13570" width="9.7109375" style="38" customWidth="1"/>
    <col min="13571" max="13573" width="9.140625" style="38"/>
    <col min="13574" max="13574" width="10.7109375" style="38" customWidth="1"/>
    <col min="13575" max="13575" width="9.5703125" style="38" customWidth="1"/>
    <col min="13576" max="13824" width="9.140625" style="38"/>
    <col min="13825" max="13825" width="21.7109375" style="38" customWidth="1"/>
    <col min="13826" max="13826" width="9.7109375" style="38" customWidth="1"/>
    <col min="13827" max="13829" width="9.140625" style="38"/>
    <col min="13830" max="13830" width="10.7109375" style="38" customWidth="1"/>
    <col min="13831" max="13831" width="9.5703125" style="38" customWidth="1"/>
    <col min="13832" max="14080" width="9.140625" style="38"/>
    <col min="14081" max="14081" width="21.7109375" style="38" customWidth="1"/>
    <col min="14082" max="14082" width="9.7109375" style="38" customWidth="1"/>
    <col min="14083" max="14085" width="9.140625" style="38"/>
    <col min="14086" max="14086" width="10.7109375" style="38" customWidth="1"/>
    <col min="14087" max="14087" width="9.5703125" style="38" customWidth="1"/>
    <col min="14088" max="14336" width="9.140625" style="38"/>
    <col min="14337" max="14337" width="21.7109375" style="38" customWidth="1"/>
    <col min="14338" max="14338" width="9.7109375" style="38" customWidth="1"/>
    <col min="14339" max="14341" width="9.140625" style="38"/>
    <col min="14342" max="14342" width="10.7109375" style="38" customWidth="1"/>
    <col min="14343" max="14343" width="9.5703125" style="38" customWidth="1"/>
    <col min="14344" max="14592" width="9.140625" style="38"/>
    <col min="14593" max="14593" width="21.7109375" style="38" customWidth="1"/>
    <col min="14594" max="14594" width="9.7109375" style="38" customWidth="1"/>
    <col min="14595" max="14597" width="9.140625" style="38"/>
    <col min="14598" max="14598" width="10.7109375" style="38" customWidth="1"/>
    <col min="14599" max="14599" width="9.5703125" style="38" customWidth="1"/>
    <col min="14600" max="14848" width="9.140625" style="38"/>
    <col min="14849" max="14849" width="21.7109375" style="38" customWidth="1"/>
    <col min="14850" max="14850" width="9.7109375" style="38" customWidth="1"/>
    <col min="14851" max="14853" width="9.140625" style="38"/>
    <col min="14854" max="14854" width="10.7109375" style="38" customWidth="1"/>
    <col min="14855" max="14855" width="9.5703125" style="38" customWidth="1"/>
    <col min="14856" max="15104" width="9.140625" style="38"/>
    <col min="15105" max="15105" width="21.7109375" style="38" customWidth="1"/>
    <col min="15106" max="15106" width="9.7109375" style="38" customWidth="1"/>
    <col min="15107" max="15109" width="9.140625" style="38"/>
    <col min="15110" max="15110" width="10.7109375" style="38" customWidth="1"/>
    <col min="15111" max="15111" width="9.5703125" style="38" customWidth="1"/>
    <col min="15112" max="15360" width="9.140625" style="38"/>
    <col min="15361" max="15361" width="21.7109375" style="38" customWidth="1"/>
    <col min="15362" max="15362" width="9.7109375" style="38" customWidth="1"/>
    <col min="15363" max="15365" width="9.140625" style="38"/>
    <col min="15366" max="15366" width="10.7109375" style="38" customWidth="1"/>
    <col min="15367" max="15367" width="9.5703125" style="38" customWidth="1"/>
    <col min="15368" max="15616" width="9.140625" style="38"/>
    <col min="15617" max="15617" width="21.7109375" style="38" customWidth="1"/>
    <col min="15618" max="15618" width="9.7109375" style="38" customWidth="1"/>
    <col min="15619" max="15621" width="9.140625" style="38"/>
    <col min="15622" max="15622" width="10.7109375" style="38" customWidth="1"/>
    <col min="15623" max="15623" width="9.5703125" style="38" customWidth="1"/>
    <col min="15624" max="15872" width="9.140625" style="38"/>
    <col min="15873" max="15873" width="21.7109375" style="38" customWidth="1"/>
    <col min="15874" max="15874" width="9.7109375" style="38" customWidth="1"/>
    <col min="15875" max="15877" width="9.140625" style="38"/>
    <col min="15878" max="15878" width="10.7109375" style="38" customWidth="1"/>
    <col min="15879" max="15879" width="9.5703125" style="38" customWidth="1"/>
    <col min="15880" max="16128" width="9.140625" style="38"/>
    <col min="16129" max="16129" width="21.7109375" style="38" customWidth="1"/>
    <col min="16130" max="16130" width="9.7109375" style="38" customWidth="1"/>
    <col min="16131" max="16133" width="9.140625" style="38"/>
    <col min="16134" max="16134" width="10.7109375" style="38" customWidth="1"/>
    <col min="16135" max="16135" width="9.5703125" style="38" customWidth="1"/>
    <col min="16136" max="16384" width="9.140625" style="38"/>
  </cols>
  <sheetData>
    <row r="1" spans="1:13" ht="15.75" x14ac:dyDescent="0.25">
      <c r="A1" s="52" t="s">
        <v>73</v>
      </c>
      <c r="F1" s="37"/>
      <c r="G1" s="37"/>
    </row>
    <row r="2" spans="1:13" x14ac:dyDescent="0.2">
      <c r="F2" s="37"/>
      <c r="G2" s="37"/>
    </row>
    <row r="3" spans="1:13" ht="48" x14ac:dyDescent="0.2">
      <c r="A3" s="54">
        <v>2012</v>
      </c>
      <c r="B3" s="72" t="s">
        <v>43</v>
      </c>
      <c r="C3" s="12" t="s">
        <v>44</v>
      </c>
      <c r="D3" s="12" t="s">
        <v>45</v>
      </c>
      <c r="E3" s="66" t="s">
        <v>46</v>
      </c>
      <c r="F3" s="85" t="s">
        <v>47</v>
      </c>
      <c r="G3" s="55" t="s">
        <v>48</v>
      </c>
      <c r="H3" s="12" t="s">
        <v>44</v>
      </c>
      <c r="I3" s="12" t="s">
        <v>45</v>
      </c>
      <c r="J3" s="71" t="s">
        <v>49</v>
      </c>
    </row>
    <row r="4" spans="1:13" x14ac:dyDescent="0.2">
      <c r="A4" s="59" t="s">
        <v>74</v>
      </c>
      <c r="B4" s="77">
        <f>SUM(B5:B32)</f>
        <v>386.72715557833061</v>
      </c>
      <c r="C4" s="67"/>
      <c r="D4" s="73"/>
      <c r="E4" s="60">
        <v>0.11700000000000001</v>
      </c>
      <c r="F4" s="77">
        <f>SUM(F5:F32)</f>
        <v>111.42915049837652</v>
      </c>
      <c r="G4" s="111">
        <f>SUM(G5:G32)</f>
        <v>3041.0855061857551</v>
      </c>
      <c r="H4" s="86"/>
      <c r="I4" s="86"/>
      <c r="J4" s="84">
        <f>SUM(J5:J32)</f>
        <v>284.71787756230685</v>
      </c>
    </row>
    <row r="5" spans="1:13" x14ac:dyDescent="0.2">
      <c r="A5" s="61" t="s">
        <v>3</v>
      </c>
      <c r="B5" s="81">
        <v>12.892058361216915</v>
      </c>
      <c r="C5" s="68">
        <v>0.53652760964532964</v>
      </c>
      <c r="D5" s="74">
        <v>0.46347239035467036</v>
      </c>
      <c r="E5" s="62">
        <v>0.15556215895476161</v>
      </c>
      <c r="F5" s="81">
        <v>2.3030660499998095</v>
      </c>
      <c r="G5" s="112">
        <v>88.36</v>
      </c>
      <c r="H5" s="87">
        <v>0.34799999999999998</v>
      </c>
      <c r="I5" s="87">
        <v>0.65200000000000002</v>
      </c>
      <c r="J5" s="78">
        <v>5.2886183069600001</v>
      </c>
    </row>
    <row r="6" spans="1:13" x14ac:dyDescent="0.2">
      <c r="A6" s="63" t="s">
        <v>4</v>
      </c>
      <c r="B6" s="82">
        <v>2.774</v>
      </c>
      <c r="C6" s="69">
        <v>0.93150684931506844</v>
      </c>
      <c r="D6" s="75">
        <v>6.8493150684931503E-2</v>
      </c>
      <c r="E6" s="33">
        <v>5.86109995985548E-2</v>
      </c>
      <c r="F6" s="82">
        <v>1.165</v>
      </c>
      <c r="G6" s="113">
        <v>41.581000000000003</v>
      </c>
      <c r="H6" s="88">
        <v>0.97881243837329546</v>
      </c>
      <c r="I6" s="88">
        <v>2.1187561626704505E-2</v>
      </c>
      <c r="J6" s="79">
        <v>4.093</v>
      </c>
    </row>
    <row r="7" spans="1:13" x14ac:dyDescent="0.2">
      <c r="A7" s="63" t="s">
        <v>6</v>
      </c>
      <c r="B7" s="82">
        <v>11.515000000000001</v>
      </c>
      <c r="C7" s="69">
        <v>0.75397307859313933</v>
      </c>
      <c r="D7" s="75">
        <v>0.24602692140686061</v>
      </c>
      <c r="E7" s="33">
        <v>0.13149029952154204</v>
      </c>
      <c r="F7" s="82">
        <v>4.6369999999999996</v>
      </c>
      <c r="G7" s="113">
        <v>126.643</v>
      </c>
      <c r="H7" s="88">
        <v>0.66676405328363986</v>
      </c>
      <c r="I7" s="88">
        <v>0.33323594671636014</v>
      </c>
      <c r="J7" s="79">
        <v>20.847000000000001</v>
      </c>
    </row>
    <row r="8" spans="1:13" x14ac:dyDescent="0.2">
      <c r="A8" s="63" t="s">
        <v>8</v>
      </c>
      <c r="B8" s="82">
        <v>14.999894775353031</v>
      </c>
      <c r="C8" s="69">
        <v>0.87222632223455498</v>
      </c>
      <c r="D8" s="75">
        <v>0.12777367776544499</v>
      </c>
      <c r="E8" s="33">
        <v>0.48816658884215935</v>
      </c>
      <c r="F8" s="82">
        <v>5.696587404495105</v>
      </c>
      <c r="G8" s="113">
        <v>104.24030632886937</v>
      </c>
      <c r="H8" s="88">
        <v>0.75841251219274552</v>
      </c>
      <c r="I8" s="88">
        <v>0.2415874878072545</v>
      </c>
      <c r="J8" s="79">
        <v>9.7156385049894407</v>
      </c>
    </row>
    <row r="9" spans="1:13" x14ac:dyDescent="0.2">
      <c r="A9" s="63" t="s">
        <v>7</v>
      </c>
      <c r="B9" s="82">
        <v>79.34</v>
      </c>
      <c r="C9" s="69">
        <v>0.64400000000000002</v>
      </c>
      <c r="D9" s="75">
        <v>0.35599999999999998</v>
      </c>
      <c r="E9" s="33">
        <v>0.126</v>
      </c>
      <c r="F9" s="82">
        <v>26.92</v>
      </c>
      <c r="G9" s="113">
        <v>648.29999999999995</v>
      </c>
      <c r="H9" s="88">
        <v>0.53300000000000003</v>
      </c>
      <c r="I9" s="88">
        <v>0.46700000000000003</v>
      </c>
      <c r="J9" s="79">
        <v>66.099999999999994</v>
      </c>
    </row>
    <row r="10" spans="1:13" x14ac:dyDescent="0.2">
      <c r="A10" s="63" t="s">
        <v>9</v>
      </c>
      <c r="B10" s="82">
        <v>1.165</v>
      </c>
      <c r="C10" s="69">
        <v>0.93047210300429184</v>
      </c>
      <c r="D10" s="75">
        <v>6.9527896995708161E-2</v>
      </c>
      <c r="E10" s="33">
        <v>9.7351048717305919E-2</v>
      </c>
      <c r="F10" s="82">
        <v>0.497</v>
      </c>
      <c r="G10" s="113">
        <v>11.07</v>
      </c>
      <c r="H10" s="88">
        <v>0.86269196025293593</v>
      </c>
      <c r="I10" s="88">
        <v>0.13730803974706413</v>
      </c>
      <c r="J10" s="79">
        <v>1.5529999999999999</v>
      </c>
    </row>
    <row r="11" spans="1:13" x14ac:dyDescent="0.2">
      <c r="A11" s="63" t="s">
        <v>16</v>
      </c>
      <c r="B11" s="82">
        <v>2.089</v>
      </c>
      <c r="C11" s="69">
        <v>0</v>
      </c>
      <c r="D11" s="75">
        <v>1</v>
      </c>
      <c r="E11" s="33">
        <v>7.5710350826326475E-2</v>
      </c>
      <c r="F11" s="82">
        <v>0.30499999999999999</v>
      </c>
      <c r="G11" s="113">
        <v>12.545999999999999</v>
      </c>
      <c r="H11" s="88">
        <v>0</v>
      </c>
      <c r="I11" s="88">
        <v>1</v>
      </c>
      <c r="J11" s="79">
        <v>0.68600000000000005</v>
      </c>
    </row>
    <row r="12" spans="1:13" x14ac:dyDescent="0.2">
      <c r="A12" s="63" t="s">
        <v>10</v>
      </c>
      <c r="B12" s="82">
        <v>2.3969999999999998</v>
      </c>
      <c r="C12" s="69">
        <v>6.925323320817689E-2</v>
      </c>
      <c r="D12" s="75">
        <v>0.93074676679182311</v>
      </c>
      <c r="E12" s="33">
        <v>3.9321511179645337E-2</v>
      </c>
      <c r="F12" s="82">
        <v>0.57399999999999995</v>
      </c>
      <c r="G12" s="113">
        <v>13.032</v>
      </c>
      <c r="H12" s="88">
        <v>0.45526396562308169</v>
      </c>
      <c r="I12" s="88">
        <v>0.54473603437691831</v>
      </c>
      <c r="J12" s="79">
        <v>0.93</v>
      </c>
    </row>
    <row r="13" spans="1:13" x14ac:dyDescent="0.2">
      <c r="A13" s="63" t="s">
        <v>11</v>
      </c>
      <c r="B13" s="82">
        <v>26.386552999999999</v>
      </c>
      <c r="C13" s="69">
        <v>0</v>
      </c>
      <c r="D13" s="75">
        <v>1</v>
      </c>
      <c r="E13" s="33">
        <v>8.8676709492907291E-2</v>
      </c>
      <c r="F13" s="82">
        <v>3.9568110000000005</v>
      </c>
      <c r="G13" s="113">
        <v>219.05955132039998</v>
      </c>
      <c r="H13" s="88">
        <v>0</v>
      </c>
      <c r="I13" s="88">
        <v>1</v>
      </c>
      <c r="J13" s="79">
        <v>17.174209855216219</v>
      </c>
    </row>
    <row r="14" spans="1:13" x14ac:dyDescent="0.2">
      <c r="A14" s="63" t="s">
        <v>13</v>
      </c>
      <c r="B14" s="82">
        <v>15.158859999999999</v>
      </c>
      <c r="C14" s="69">
        <v>0.56726693168219766</v>
      </c>
      <c r="D14" s="75">
        <v>0.43273306831780228</v>
      </c>
      <c r="E14" s="33">
        <v>2.6864312613530634E-2</v>
      </c>
      <c r="F14" s="82">
        <v>5.4574999999999996</v>
      </c>
      <c r="G14" s="113">
        <v>150.93</v>
      </c>
      <c r="H14" s="88">
        <v>0.32400000000000001</v>
      </c>
      <c r="I14" s="88">
        <v>0.67600000000000005</v>
      </c>
      <c r="J14" s="79">
        <v>15.294460000000001</v>
      </c>
    </row>
    <row r="15" spans="1:13" x14ac:dyDescent="0.2">
      <c r="A15" s="63" t="s">
        <v>14</v>
      </c>
      <c r="B15" s="82">
        <v>2.101</v>
      </c>
      <c r="C15" s="69">
        <v>0.88957639219419327</v>
      </c>
      <c r="D15" s="75">
        <v>0.11042360780580676</v>
      </c>
      <c r="E15" s="33">
        <v>0.19901487164914275</v>
      </c>
      <c r="F15" s="82">
        <v>0.69</v>
      </c>
      <c r="G15" s="113">
        <v>14.035</v>
      </c>
      <c r="H15" s="88">
        <v>0.53801211257570358</v>
      </c>
      <c r="I15" s="88">
        <v>0.46198788742429642</v>
      </c>
      <c r="J15" s="79">
        <v>1.72</v>
      </c>
      <c r="L15" s="41"/>
      <c r="M15" s="42"/>
    </row>
    <row r="16" spans="1:13" x14ac:dyDescent="0.2">
      <c r="A16" s="63" t="s">
        <v>17</v>
      </c>
      <c r="B16" s="82">
        <v>35.817</v>
      </c>
      <c r="C16" s="69">
        <v>0.67596392774380876</v>
      </c>
      <c r="D16" s="75">
        <v>0.32403607225619119</v>
      </c>
      <c r="E16" s="33">
        <v>0.11967842500426026</v>
      </c>
      <c r="F16" s="82">
        <v>7.609</v>
      </c>
      <c r="G16" s="113">
        <v>203.249</v>
      </c>
      <c r="H16" s="88">
        <v>0.55233728087223066</v>
      </c>
      <c r="I16" s="88">
        <v>0.44766271912776939</v>
      </c>
      <c r="J16" s="79">
        <v>13.849</v>
      </c>
      <c r="L16" s="41"/>
      <c r="M16" s="43"/>
    </row>
    <row r="17" spans="1:10" x14ac:dyDescent="0.2">
      <c r="A17" s="63" t="s">
        <v>5</v>
      </c>
      <c r="B17" s="82">
        <v>2.9506000000000001E-2</v>
      </c>
      <c r="C17" s="69">
        <v>1</v>
      </c>
      <c r="D17" s="75">
        <v>0</v>
      </c>
      <c r="E17" s="33">
        <v>6.255246979012084E-3</v>
      </c>
      <c r="F17" s="82">
        <v>1.2466999999999999E-2</v>
      </c>
      <c r="G17" s="113">
        <v>3.4106999999999998E-2</v>
      </c>
      <c r="H17" s="88">
        <v>1</v>
      </c>
      <c r="I17" s="88">
        <v>0</v>
      </c>
      <c r="J17" s="79">
        <v>1.2147999999999999E-2</v>
      </c>
    </row>
    <row r="18" spans="1:10" x14ac:dyDescent="0.2">
      <c r="A18" s="63" t="s">
        <v>20</v>
      </c>
      <c r="B18" s="82">
        <v>2.105</v>
      </c>
      <c r="C18" s="69">
        <v>0.95011876484560576</v>
      </c>
      <c r="D18" s="75">
        <v>4.9881235154394299E-2</v>
      </c>
      <c r="E18" s="33">
        <v>0.34100000000000003</v>
      </c>
      <c r="F18" s="82">
        <v>0.996</v>
      </c>
      <c r="G18" s="113">
        <v>8.7789999999999999</v>
      </c>
      <c r="H18" s="88">
        <v>0.92994646315070051</v>
      </c>
      <c r="I18" s="88">
        <v>7.0053536849299464E-2</v>
      </c>
      <c r="J18" s="79">
        <v>0.95299999999999996</v>
      </c>
    </row>
    <row r="19" spans="1:10" x14ac:dyDescent="0.2">
      <c r="A19" s="63" t="s">
        <v>18</v>
      </c>
      <c r="B19" s="82">
        <v>1.823</v>
      </c>
      <c r="C19" s="69">
        <v>0.69829950630828308</v>
      </c>
      <c r="D19" s="75">
        <v>0.30170049369171698</v>
      </c>
      <c r="E19" s="33">
        <v>0.36149117588736862</v>
      </c>
      <c r="F19" s="82">
        <v>1.171</v>
      </c>
      <c r="G19" s="113">
        <v>15.397</v>
      </c>
      <c r="H19" s="88">
        <v>0.70734558680262394</v>
      </c>
      <c r="I19" s="88">
        <v>0.29265441319737612</v>
      </c>
      <c r="J19" s="79">
        <v>2.4260000000000002</v>
      </c>
    </row>
    <row r="20" spans="1:10" x14ac:dyDescent="0.2">
      <c r="A20" s="63" t="s">
        <v>19</v>
      </c>
      <c r="B20" s="82">
        <v>0.44500000000000001</v>
      </c>
      <c r="C20" s="69">
        <v>0.59325799999999995</v>
      </c>
      <c r="D20" s="75">
        <v>0.40674199999999999</v>
      </c>
      <c r="E20" s="33">
        <v>0.116675</v>
      </c>
      <c r="F20" s="82">
        <v>0.503</v>
      </c>
      <c r="G20" s="113">
        <v>3.2349999999999999</v>
      </c>
      <c r="H20" s="88">
        <v>0.72704800000000003</v>
      </c>
      <c r="I20" s="88">
        <v>0.27295199999999997</v>
      </c>
      <c r="J20" s="79">
        <v>0.89500000000000002</v>
      </c>
    </row>
    <row r="21" spans="1:10" x14ac:dyDescent="0.2">
      <c r="A21" s="63" t="s">
        <v>15</v>
      </c>
      <c r="B21" s="82">
        <v>4.6189999999999998</v>
      </c>
      <c r="C21" s="69">
        <v>0.78306992855596447</v>
      </c>
      <c r="D21" s="75">
        <v>0.2169300714440355</v>
      </c>
      <c r="E21" s="33">
        <v>0.13353570396068229</v>
      </c>
      <c r="F21" s="82">
        <v>1.599</v>
      </c>
      <c r="G21" s="113">
        <v>26.006</v>
      </c>
      <c r="H21" s="88">
        <v>0.80931323540721367</v>
      </c>
      <c r="I21" s="88">
        <v>0.19068676459278627</v>
      </c>
      <c r="J21" s="79">
        <v>2.9740000000000002</v>
      </c>
    </row>
    <row r="22" spans="1:10" x14ac:dyDescent="0.2">
      <c r="A22" s="63" t="s">
        <v>21</v>
      </c>
      <c r="B22" s="82">
        <v>0</v>
      </c>
      <c r="C22" s="69">
        <v>0</v>
      </c>
      <c r="D22" s="75">
        <v>0</v>
      </c>
      <c r="E22" s="33">
        <v>0</v>
      </c>
      <c r="F22" s="82">
        <v>4.9299999999999995E-4</v>
      </c>
      <c r="G22" s="113">
        <v>0</v>
      </c>
      <c r="H22" s="88">
        <v>0</v>
      </c>
      <c r="I22" s="88">
        <v>0</v>
      </c>
      <c r="J22" s="79">
        <v>2.2499999999999999E-4</v>
      </c>
    </row>
    <row r="23" spans="1:10" x14ac:dyDescent="0.2">
      <c r="A23" s="63" t="s">
        <v>22</v>
      </c>
      <c r="B23" s="82">
        <v>34.527703416666654</v>
      </c>
      <c r="C23" s="69">
        <v>0.46577385187176279</v>
      </c>
      <c r="D23" s="75">
        <v>0.53422614812823721</v>
      </c>
      <c r="E23" s="33">
        <v>0.33683921190836208</v>
      </c>
      <c r="F23" s="82">
        <v>9.2165447638888889</v>
      </c>
      <c r="G23" s="113">
        <v>224.62942699999996</v>
      </c>
      <c r="H23" s="88">
        <v>0.43934225055918441</v>
      </c>
      <c r="I23" s="88">
        <v>0.56065774944081559</v>
      </c>
      <c r="J23" s="79">
        <v>18.931228611111113</v>
      </c>
    </row>
    <row r="24" spans="1:10" x14ac:dyDescent="0.2">
      <c r="A24" s="63" t="s">
        <v>2</v>
      </c>
      <c r="B24" s="82">
        <v>10.428588863775275</v>
      </c>
      <c r="C24" s="69">
        <v>0.57089974263306709</v>
      </c>
      <c r="D24" s="75">
        <v>0.42910025736693297</v>
      </c>
      <c r="E24" s="33">
        <v>0.14361282449839255</v>
      </c>
      <c r="F24" s="82">
        <v>4.4274547420602808</v>
      </c>
      <c r="G24" s="113">
        <v>111.77558825004135</v>
      </c>
      <c r="H24" s="88">
        <v>0.36087228327211263</v>
      </c>
      <c r="I24" s="88">
        <v>0.63912771672788737</v>
      </c>
      <c r="J24" s="79">
        <v>11.300415000000001</v>
      </c>
    </row>
    <row r="25" spans="1:10" x14ac:dyDescent="0.2">
      <c r="A25" s="63" t="s">
        <v>24</v>
      </c>
      <c r="B25" s="82">
        <v>27.044</v>
      </c>
      <c r="C25" s="69">
        <v>0.76002070699600655</v>
      </c>
      <c r="D25" s="75">
        <v>0.23997929300399348</v>
      </c>
      <c r="E25" s="33">
        <v>0.16679515724162602</v>
      </c>
      <c r="F25" s="82">
        <v>8.3320000000000007</v>
      </c>
      <c r="G25" s="113">
        <v>260.58600000000001</v>
      </c>
      <c r="H25" s="88">
        <v>0.60132931162840675</v>
      </c>
      <c r="I25" s="88">
        <v>0.39867068837159325</v>
      </c>
      <c r="J25" s="79">
        <v>24.641999999999999</v>
      </c>
    </row>
    <row r="26" spans="1:10" x14ac:dyDescent="0.2">
      <c r="A26" s="63" t="s">
        <v>25</v>
      </c>
      <c r="B26" s="82">
        <v>6.4988716436303333</v>
      </c>
      <c r="C26" s="69">
        <v>0.75536754562746899</v>
      </c>
      <c r="D26" s="75">
        <v>0.24463245437253103</v>
      </c>
      <c r="E26" s="33">
        <v>0.13941887938452682</v>
      </c>
      <c r="F26" s="82">
        <v>1.4529275001212358</v>
      </c>
      <c r="G26" s="113">
        <v>66.854751812558945</v>
      </c>
      <c r="H26" s="88">
        <v>0.59845272666232552</v>
      </c>
      <c r="I26" s="88">
        <v>0.40154727333767448</v>
      </c>
      <c r="J26" s="79">
        <v>4.9117879999999996</v>
      </c>
    </row>
    <row r="27" spans="1:10" x14ac:dyDescent="0.2">
      <c r="A27" s="63" t="s">
        <v>26</v>
      </c>
      <c r="B27" s="82">
        <v>6.7214999999999998</v>
      </c>
      <c r="C27" s="69">
        <v>0.83921743658409587</v>
      </c>
      <c r="D27" s="75">
        <v>0.16078256341590419</v>
      </c>
      <c r="E27" s="33">
        <v>0.1138369040562283</v>
      </c>
      <c r="F27" s="82">
        <v>2.1840259999999998</v>
      </c>
      <c r="G27" s="113">
        <v>66.105829999999997</v>
      </c>
      <c r="H27" s="88">
        <v>0.7763406041494374</v>
      </c>
      <c r="I27" s="88">
        <v>0.22365939585056266</v>
      </c>
      <c r="J27" s="79">
        <v>10.48019276</v>
      </c>
    </row>
    <row r="28" spans="1:10" x14ac:dyDescent="0.2">
      <c r="A28" s="63" t="s">
        <v>28</v>
      </c>
      <c r="B28" s="82">
        <v>1.184844027277532</v>
      </c>
      <c r="C28" s="69">
        <v>0.80066105082537553</v>
      </c>
      <c r="D28" s="75">
        <v>0.1993389491746245</v>
      </c>
      <c r="E28" s="33">
        <v>7.5328630381939848E-2</v>
      </c>
      <c r="F28" s="82">
        <v>0.34585620000000006</v>
      </c>
      <c r="G28" s="113">
        <v>10.74735869829629</v>
      </c>
      <c r="H28" s="88">
        <v>0.64707294091732748</v>
      </c>
      <c r="I28" s="88">
        <v>0.35292705908267252</v>
      </c>
      <c r="J28" s="79">
        <v>0.80681441666666665</v>
      </c>
    </row>
    <row r="29" spans="1:10" x14ac:dyDescent="0.2">
      <c r="A29" s="63" t="s">
        <v>55</v>
      </c>
      <c r="B29" s="117">
        <v>22.53</v>
      </c>
      <c r="C29" s="118">
        <v>0.92200000000000004</v>
      </c>
      <c r="D29" s="119">
        <v>7.8E-2</v>
      </c>
      <c r="E29" s="120">
        <v>0.78600000000000003</v>
      </c>
      <c r="F29" s="117">
        <v>4.3899999999999997</v>
      </c>
      <c r="G29" s="121">
        <v>28.77</v>
      </c>
      <c r="H29" s="122">
        <v>0.79500000000000004</v>
      </c>
      <c r="I29" s="122">
        <v>0.20499999999999999</v>
      </c>
      <c r="J29" s="123">
        <v>15.66</v>
      </c>
    </row>
    <row r="30" spans="1:10" x14ac:dyDescent="0.2">
      <c r="A30" s="63" t="s">
        <v>12</v>
      </c>
      <c r="B30" s="82">
        <v>24.300999999999998</v>
      </c>
      <c r="C30" s="69">
        <v>0.6677914489115675</v>
      </c>
      <c r="D30" s="75">
        <v>0.33220855108843256</v>
      </c>
      <c r="E30" s="33">
        <v>0.34518956235173798</v>
      </c>
      <c r="F30" s="82">
        <v>6.2670000000000003</v>
      </c>
      <c r="G30" s="113">
        <v>256.834</v>
      </c>
      <c r="H30" s="88">
        <v>0.48681638723844978</v>
      </c>
      <c r="I30" s="88">
        <v>0.51318361276155022</v>
      </c>
      <c r="J30" s="79">
        <v>16.09</v>
      </c>
    </row>
    <row r="31" spans="1:10" x14ac:dyDescent="0.2">
      <c r="A31" s="64" t="s">
        <v>27</v>
      </c>
      <c r="B31" s="90">
        <v>15.94</v>
      </c>
      <c r="C31" s="91">
        <v>0.624</v>
      </c>
      <c r="D31" s="92">
        <v>0.376</v>
      </c>
      <c r="E31" s="34">
        <v>9.6000000000000002E-2</v>
      </c>
      <c r="F31" s="90">
        <v>4.5460000000000003</v>
      </c>
      <c r="G31" s="114">
        <v>173.78899999999999</v>
      </c>
      <c r="H31" s="94">
        <v>0.50296048656704395</v>
      </c>
      <c r="I31" s="94">
        <v>0.49703951343295605</v>
      </c>
      <c r="J31" s="93">
        <v>9.84</v>
      </c>
    </row>
    <row r="32" spans="1:10" x14ac:dyDescent="0.2">
      <c r="A32" s="32" t="s">
        <v>29</v>
      </c>
      <c r="B32" s="83">
        <v>21.893775490410999</v>
      </c>
      <c r="C32" s="70">
        <v>1.3540442565764699E-2</v>
      </c>
      <c r="D32" s="76">
        <v>0.9864595574342353</v>
      </c>
      <c r="E32" s="65">
        <v>6.0174681218268064E-2</v>
      </c>
      <c r="F32" s="83">
        <v>6.174416837811175</v>
      </c>
      <c r="G32" s="115">
        <v>154.49658577558907</v>
      </c>
      <c r="H32" s="89">
        <v>1.4633445865976258E-2</v>
      </c>
      <c r="I32" s="89">
        <v>0.98536655413402374</v>
      </c>
      <c r="J32" s="80">
        <v>7.544139107363482</v>
      </c>
    </row>
    <row r="33" spans="1:11" x14ac:dyDescent="0.2">
      <c r="A33" s="95" t="s">
        <v>23</v>
      </c>
      <c r="B33" s="96">
        <v>0.22800000000000001</v>
      </c>
      <c r="C33" s="97">
        <v>1</v>
      </c>
      <c r="D33" s="98">
        <v>0</v>
      </c>
      <c r="E33" s="99">
        <v>1.5421556359701038E-3</v>
      </c>
      <c r="F33" s="96">
        <v>7.0999999999999994E-2</v>
      </c>
      <c r="G33" s="116">
        <v>8.1110000000000007</v>
      </c>
      <c r="H33" s="101">
        <v>1</v>
      </c>
      <c r="I33" s="101">
        <v>0</v>
      </c>
      <c r="J33" s="100">
        <v>0.375</v>
      </c>
    </row>
    <row r="35" spans="1:11" ht="36" x14ac:dyDescent="0.2">
      <c r="A35" s="54">
        <v>2012</v>
      </c>
      <c r="B35" s="72" t="s">
        <v>57</v>
      </c>
      <c r="C35" s="66" t="s">
        <v>58</v>
      </c>
      <c r="D35" s="12" t="s">
        <v>59</v>
      </c>
      <c r="E35" s="12" t="s">
        <v>60</v>
      </c>
      <c r="F35" s="102" t="s">
        <v>61</v>
      </c>
      <c r="G35" s="102" t="s">
        <v>62</v>
      </c>
      <c r="H35" s="17"/>
      <c r="I35" s="17"/>
      <c r="J35" s="18"/>
      <c r="K35" s="19"/>
    </row>
    <row r="36" spans="1:11" x14ac:dyDescent="0.2">
      <c r="A36" s="59" t="s">
        <v>74</v>
      </c>
      <c r="B36" s="77">
        <f>SUM(B37:B64)</f>
        <v>6417.1002091733098</v>
      </c>
      <c r="C36" s="67">
        <v>0.19700000000000001</v>
      </c>
      <c r="D36" s="60">
        <v>5.1999999999999998E-2</v>
      </c>
      <c r="E36" s="60">
        <v>0.47299999999999998</v>
      </c>
      <c r="F36" s="60">
        <v>0.159</v>
      </c>
      <c r="G36" s="60">
        <v>0.12</v>
      </c>
    </row>
    <row r="37" spans="1:11" x14ac:dyDescent="0.2">
      <c r="A37" s="61" t="s">
        <v>3</v>
      </c>
      <c r="B37" s="81">
        <v>185.15</v>
      </c>
      <c r="C37" s="109">
        <v>1.4128192590449029E-2</v>
      </c>
      <c r="D37" s="105">
        <v>1.5196071525214576E-3</v>
      </c>
      <c r="E37" s="105">
        <v>0.65700000000000003</v>
      </c>
      <c r="F37" s="105">
        <v>9.4E-2</v>
      </c>
      <c r="G37" s="105">
        <v>0.23400000000000001</v>
      </c>
      <c r="K37" s="40"/>
    </row>
    <row r="38" spans="1:11" x14ac:dyDescent="0.2">
      <c r="A38" s="63" t="s">
        <v>4</v>
      </c>
      <c r="B38" s="82">
        <v>66.418999999999997</v>
      </c>
      <c r="C38" s="69">
        <v>0.56307683042502898</v>
      </c>
      <c r="D38" s="33">
        <v>7.4180580857887049E-2</v>
      </c>
      <c r="E38" s="33">
        <v>0.36146283442990712</v>
      </c>
      <c r="F38" s="33">
        <v>4.516779837094807E-5</v>
      </c>
      <c r="G38" s="33">
        <v>1.2345864888059139E-3</v>
      </c>
      <c r="K38" s="40"/>
    </row>
    <row r="39" spans="1:11" x14ac:dyDescent="0.2">
      <c r="A39" s="63" t="s">
        <v>63</v>
      </c>
      <c r="B39" s="82">
        <v>255.048</v>
      </c>
      <c r="C39" s="69">
        <v>0.73285420783538779</v>
      </c>
      <c r="D39" s="33">
        <v>6.4536871490856627E-3</v>
      </c>
      <c r="E39" s="33">
        <v>8.5031052978262911E-2</v>
      </c>
      <c r="F39" s="33">
        <v>9.5272262476082933E-2</v>
      </c>
      <c r="G39" s="33">
        <v>8.0384868730591891E-2</v>
      </c>
      <c r="K39" s="40"/>
    </row>
    <row r="40" spans="1:11" x14ac:dyDescent="0.2">
      <c r="A40" s="63" t="s">
        <v>8</v>
      </c>
      <c r="B40" s="82">
        <v>228.07612519229571</v>
      </c>
      <c r="C40" s="69">
        <v>0.44817519318349447</v>
      </c>
      <c r="D40" s="33">
        <v>1.5817588616302322E-2</v>
      </c>
      <c r="E40" s="33">
        <v>0.18766024840411133</v>
      </c>
      <c r="F40" s="33">
        <v>0.28139309661534989</v>
      </c>
      <c r="G40" s="33">
        <v>6.6953873180741988E-2</v>
      </c>
      <c r="K40" s="40"/>
    </row>
    <row r="41" spans="1:11" x14ac:dyDescent="0.2">
      <c r="A41" s="63" t="s">
        <v>7</v>
      </c>
      <c r="B41" s="82">
        <v>1217.5608999999999</v>
      </c>
      <c r="C41" s="69">
        <v>0.26803751664495801</v>
      </c>
      <c r="D41" s="33">
        <v>4.0696937623407585E-2</v>
      </c>
      <c r="E41" s="33">
        <v>0.48102398820461467</v>
      </c>
      <c r="F41" s="33">
        <v>0.11274507911678176</v>
      </c>
      <c r="G41" s="33">
        <v>9.7496478410238049E-2</v>
      </c>
      <c r="K41" s="40"/>
    </row>
    <row r="42" spans="1:11" x14ac:dyDescent="0.2">
      <c r="A42" s="63" t="s">
        <v>9</v>
      </c>
      <c r="B42" s="82">
        <v>19.158999999999999</v>
      </c>
      <c r="C42" s="69">
        <v>0.3292447413748108</v>
      </c>
      <c r="D42" s="33">
        <v>3.6014405762304922E-3</v>
      </c>
      <c r="E42" s="33">
        <v>0.18518711832559109</v>
      </c>
      <c r="F42" s="33">
        <v>0.48196669972336759</v>
      </c>
      <c r="G42" s="33">
        <v>0</v>
      </c>
      <c r="K42" s="40"/>
    </row>
    <row r="43" spans="1:11" x14ac:dyDescent="0.2">
      <c r="A43" s="63" t="s">
        <v>16</v>
      </c>
      <c r="B43" s="82">
        <v>23.960999999999999</v>
      </c>
      <c r="C43" s="69">
        <v>3.3971870956971746E-2</v>
      </c>
      <c r="D43" s="33">
        <v>7.5122073369224989E-4</v>
      </c>
      <c r="E43" s="33">
        <v>0.91569633988564747</v>
      </c>
      <c r="F43" s="33">
        <v>2.4122532448562248E-2</v>
      </c>
      <c r="G43" s="33">
        <v>2.5458035975126247E-2</v>
      </c>
      <c r="K43" s="40"/>
    </row>
    <row r="44" spans="1:11" x14ac:dyDescent="0.2">
      <c r="A44" s="63" t="s">
        <v>10</v>
      </c>
      <c r="B44" s="82">
        <v>27.076000000000001</v>
      </c>
      <c r="C44" s="69">
        <v>7.7854926872507016E-2</v>
      </c>
      <c r="D44" s="33">
        <v>8.5093810016250548E-2</v>
      </c>
      <c r="E44" s="33">
        <v>0.34004284236962623</v>
      </c>
      <c r="F44" s="33">
        <v>8.8676318510858318E-2</v>
      </c>
      <c r="G44" s="33">
        <v>0.40833210223075789</v>
      </c>
      <c r="K44" s="40"/>
    </row>
    <row r="45" spans="1:11" x14ac:dyDescent="0.2">
      <c r="A45" s="63" t="s">
        <v>11</v>
      </c>
      <c r="B45" s="82">
        <v>483.74200000000002</v>
      </c>
      <c r="C45" s="69">
        <v>1.5163041455982735E-2</v>
      </c>
      <c r="D45" s="33">
        <v>4.6462783880663661E-2</v>
      </c>
      <c r="E45" s="33">
        <v>0.79765660207300582</v>
      </c>
      <c r="F45" s="33">
        <v>0</v>
      </c>
      <c r="G45" s="33">
        <v>0.14071757259034776</v>
      </c>
      <c r="K45" s="40"/>
    </row>
    <row r="46" spans="1:11" x14ac:dyDescent="0.2">
      <c r="A46" s="63" t="s">
        <v>13</v>
      </c>
      <c r="B46" s="82">
        <v>250.5</v>
      </c>
      <c r="C46" s="69">
        <v>5.2652756311727042E-2</v>
      </c>
      <c r="D46" s="33">
        <v>5.5280145260744609E-2</v>
      </c>
      <c r="E46" s="33">
        <v>0.65369934088997506</v>
      </c>
      <c r="F46" s="33">
        <v>0.14826956386809356</v>
      </c>
      <c r="G46" s="33">
        <v>9.0098193669459772E-2</v>
      </c>
      <c r="K46" s="40"/>
    </row>
    <row r="47" spans="1:11" x14ac:dyDescent="0.2">
      <c r="A47" s="63" t="s">
        <v>14</v>
      </c>
      <c r="B47" s="82">
        <v>26.963999999999999</v>
      </c>
      <c r="C47" s="69">
        <v>2.4365821094793058E-2</v>
      </c>
      <c r="D47" s="33">
        <v>6.8906690402017509E-2</v>
      </c>
      <c r="E47" s="33">
        <v>0.89574988874054295</v>
      </c>
      <c r="F47" s="33">
        <v>1.0977599762646492E-2</v>
      </c>
      <c r="G47" s="33">
        <v>0</v>
      </c>
      <c r="K47" s="40"/>
    </row>
    <row r="48" spans="1:11" x14ac:dyDescent="0.2">
      <c r="A48" s="63" t="s">
        <v>17</v>
      </c>
      <c r="B48" s="82">
        <v>927.23800000000006</v>
      </c>
      <c r="C48" s="69">
        <v>2.4912697710835837E-3</v>
      </c>
      <c r="D48" s="33">
        <v>0.13760544757656609</v>
      </c>
      <c r="E48" s="33">
        <v>0.692502895696682</v>
      </c>
      <c r="F48" s="33">
        <v>8.0957639786117475E-2</v>
      </c>
      <c r="G48" s="33">
        <v>8.644274716955086E-2</v>
      </c>
      <c r="K48" s="40"/>
    </row>
    <row r="49" spans="1:11" x14ac:dyDescent="0.2">
      <c r="A49" s="63" t="s">
        <v>5</v>
      </c>
      <c r="B49" s="82">
        <v>0.58752500000000007</v>
      </c>
      <c r="C49" s="69">
        <v>0</v>
      </c>
      <c r="D49" s="33">
        <v>0.14618782179481721</v>
      </c>
      <c r="E49" s="33">
        <v>0</v>
      </c>
      <c r="F49" s="33">
        <v>0.85381217820518263</v>
      </c>
      <c r="G49" s="33">
        <v>0</v>
      </c>
      <c r="K49" s="40"/>
    </row>
    <row r="50" spans="1:11" x14ac:dyDescent="0.2">
      <c r="A50" s="63" t="s">
        <v>20</v>
      </c>
      <c r="B50" s="82">
        <v>20.344999999999999</v>
      </c>
      <c r="C50" s="69">
        <v>1.8432047186040797E-2</v>
      </c>
      <c r="D50" s="33">
        <v>8.0117965101990669E-3</v>
      </c>
      <c r="E50" s="33">
        <v>0.80953551241091182</v>
      </c>
      <c r="F50" s="33">
        <v>0.16357827476038339</v>
      </c>
      <c r="G50" s="33">
        <v>4.4236913246497911E-4</v>
      </c>
      <c r="K50" s="40"/>
    </row>
    <row r="51" spans="1:11" x14ac:dyDescent="0.2">
      <c r="A51" s="63" t="s">
        <v>18</v>
      </c>
      <c r="B51" s="82">
        <v>26.141999999999999</v>
      </c>
      <c r="C51" s="69">
        <v>1.5301048121796343E-4</v>
      </c>
      <c r="D51" s="33">
        <v>0.1476933669956392</v>
      </c>
      <c r="E51" s="33">
        <v>0.67783643179557795</v>
      </c>
      <c r="F51" s="33">
        <v>0.14581898860071915</v>
      </c>
      <c r="G51" s="33">
        <v>2.849820212684569E-2</v>
      </c>
      <c r="K51" s="40"/>
    </row>
    <row r="52" spans="1:11" x14ac:dyDescent="0.2">
      <c r="A52" s="63" t="s">
        <v>19</v>
      </c>
      <c r="B52" s="82">
        <v>5.7</v>
      </c>
      <c r="C52" s="69">
        <v>0</v>
      </c>
      <c r="D52" s="33">
        <v>0</v>
      </c>
      <c r="E52" s="33">
        <v>0.89996500000000001</v>
      </c>
      <c r="F52" s="33">
        <v>9.9000000000000005E-2</v>
      </c>
      <c r="G52" s="33">
        <v>0</v>
      </c>
      <c r="K52" s="40"/>
    </row>
    <row r="53" spans="1:11" x14ac:dyDescent="0.2">
      <c r="A53" s="63" t="s">
        <v>15</v>
      </c>
      <c r="B53" s="82">
        <v>67.366</v>
      </c>
      <c r="C53" s="69">
        <v>4.0896000950034143E-2</v>
      </c>
      <c r="D53" s="33">
        <v>6.5314847252323125E-4</v>
      </c>
      <c r="E53" s="33">
        <v>0.79032449603657629</v>
      </c>
      <c r="F53" s="33">
        <v>8.617106552266722E-2</v>
      </c>
      <c r="G53" s="33">
        <v>8.1955289018199096E-2</v>
      </c>
      <c r="K53" s="40"/>
    </row>
    <row r="54" spans="1:11" x14ac:dyDescent="0.2">
      <c r="A54" s="63" t="s">
        <v>21</v>
      </c>
      <c r="B54" s="82">
        <v>5.4049999999999996E-4</v>
      </c>
      <c r="C54" s="69">
        <v>0</v>
      </c>
      <c r="D54" s="33">
        <v>0</v>
      </c>
      <c r="E54" s="33">
        <v>0</v>
      </c>
      <c r="F54" s="33">
        <v>0</v>
      </c>
      <c r="G54" s="33">
        <v>0</v>
      </c>
      <c r="K54" s="40"/>
    </row>
    <row r="55" spans="1:11" x14ac:dyDescent="0.2">
      <c r="A55" s="63" t="s">
        <v>22</v>
      </c>
      <c r="B55" s="82">
        <v>435.88785064127347</v>
      </c>
      <c r="C55" s="69">
        <v>1.3708760142303588E-2</v>
      </c>
      <c r="D55" s="33">
        <v>7.8610998300896427E-3</v>
      </c>
      <c r="E55" s="33">
        <v>0.80282039597739374</v>
      </c>
      <c r="F55" s="33">
        <v>2.7242920013196992E-2</v>
      </c>
      <c r="G55" s="33">
        <v>0.14836682403701612</v>
      </c>
      <c r="K55" s="40"/>
    </row>
    <row r="56" spans="1:11" x14ac:dyDescent="0.2">
      <c r="A56" s="63" t="s">
        <v>2</v>
      </c>
      <c r="B56" s="82">
        <v>181.91158560147886</v>
      </c>
      <c r="C56" s="69">
        <v>4.5381575303801894E-2</v>
      </c>
      <c r="D56" s="33">
        <v>7.7749874376631278E-2</v>
      </c>
      <c r="E56" s="33">
        <v>0.42118440982683447</v>
      </c>
      <c r="F56" s="33">
        <v>0.36486060570500417</v>
      </c>
      <c r="G56" s="33">
        <v>9.0823534787728144E-2</v>
      </c>
      <c r="K56" s="40"/>
    </row>
    <row r="57" spans="1:11" x14ac:dyDescent="0.2">
      <c r="A57" s="63" t="s">
        <v>24</v>
      </c>
      <c r="B57" s="82">
        <v>435.13</v>
      </c>
      <c r="C57" s="69">
        <v>0.73183646266632962</v>
      </c>
      <c r="D57" s="33">
        <v>8.5769769953806904E-2</v>
      </c>
      <c r="E57" s="33">
        <v>7.7530852848573986E-2</v>
      </c>
      <c r="F57" s="33">
        <v>7.8006572748374053E-2</v>
      </c>
      <c r="G57" s="33">
        <v>2.685634178291545E-2</v>
      </c>
      <c r="K57" s="40"/>
    </row>
    <row r="58" spans="1:11" x14ac:dyDescent="0.2">
      <c r="A58" s="63" t="s">
        <v>25</v>
      </c>
      <c r="B58" s="82">
        <v>114.23844407054698</v>
      </c>
      <c r="C58" s="69">
        <v>0</v>
      </c>
      <c r="D58" s="33">
        <v>0.10153475383816747</v>
      </c>
      <c r="E58" s="33">
        <v>0.47006802633617123</v>
      </c>
      <c r="F58" s="33">
        <v>0.39384594703798648</v>
      </c>
      <c r="G58" s="33">
        <v>3.4551272787674808E-2</v>
      </c>
      <c r="K58" s="40"/>
    </row>
    <row r="59" spans="1:11" x14ac:dyDescent="0.2">
      <c r="A59" s="63" t="s">
        <v>26</v>
      </c>
      <c r="B59" s="82">
        <v>114.48509999999999</v>
      </c>
      <c r="C59" s="69">
        <v>0.38363533769896696</v>
      </c>
      <c r="D59" s="33">
        <v>4.8511902422236602E-2</v>
      </c>
      <c r="E59" s="33">
        <v>0.53704534476538879</v>
      </c>
      <c r="F59" s="33">
        <v>1.9728418807338249E-2</v>
      </c>
      <c r="G59" s="33">
        <v>1.1078996306069525E-2</v>
      </c>
      <c r="K59" s="40"/>
    </row>
    <row r="60" spans="1:11" x14ac:dyDescent="0.2">
      <c r="A60" s="63" t="s">
        <v>28</v>
      </c>
      <c r="B60" s="82">
        <v>19.670175727358313</v>
      </c>
      <c r="C60" s="69">
        <v>0.55617847467795667</v>
      </c>
      <c r="D60" s="33">
        <v>8.7286052946237828E-4</v>
      </c>
      <c r="E60" s="33">
        <v>0.25033996954942916</v>
      </c>
      <c r="F60" s="33">
        <v>0.176557963191944</v>
      </c>
      <c r="G60" s="33">
        <v>1.605073205120781E-2</v>
      </c>
      <c r="K60" s="40"/>
    </row>
    <row r="61" spans="1:11" x14ac:dyDescent="0.2">
      <c r="A61" s="63" t="s">
        <v>55</v>
      </c>
      <c r="B61" s="117">
        <v>295.24</v>
      </c>
      <c r="C61" s="118">
        <v>0.189</v>
      </c>
      <c r="D61" s="120">
        <v>3.4700000000000002E-2</v>
      </c>
      <c r="E61" s="120">
        <v>7.2900000000000006E-2</v>
      </c>
      <c r="F61" s="120">
        <v>8.7800000000000003E-2</v>
      </c>
      <c r="G61" s="120">
        <v>0.61519999999999997</v>
      </c>
      <c r="K61" s="40"/>
    </row>
    <row r="62" spans="1:11" x14ac:dyDescent="0.2">
      <c r="A62" s="63" t="s">
        <v>12</v>
      </c>
      <c r="B62" s="82">
        <v>417.17599999999999</v>
      </c>
      <c r="C62" s="69">
        <v>0.23956555506548793</v>
      </c>
      <c r="D62" s="33">
        <v>1.516865783266535E-2</v>
      </c>
      <c r="E62" s="33">
        <v>0.17326500086294513</v>
      </c>
      <c r="F62" s="33">
        <v>0.53559888392429089</v>
      </c>
      <c r="G62" s="33">
        <v>3.6401902314610622E-2</v>
      </c>
      <c r="K62" s="40"/>
    </row>
    <row r="63" spans="1:11" x14ac:dyDescent="0.2">
      <c r="A63" s="64" t="s">
        <v>27</v>
      </c>
      <c r="B63" s="90">
        <v>279.27999999999997</v>
      </c>
      <c r="C63" s="91">
        <v>5.4321592421188933E-2</v>
      </c>
      <c r="D63" s="34">
        <v>3.4315347407531546E-2</v>
      </c>
      <c r="E63" s="34">
        <v>5.4812169755513444E-2</v>
      </c>
      <c r="F63" s="34">
        <v>0.75161818903197997</v>
      </c>
      <c r="G63" s="34">
        <v>0.10493270138378617</v>
      </c>
      <c r="K63" s="40"/>
    </row>
    <row r="64" spans="1:11" x14ac:dyDescent="0.2">
      <c r="A64" s="64" t="s">
        <v>29</v>
      </c>
      <c r="B64" s="90">
        <v>293.0459624403565</v>
      </c>
      <c r="C64" s="91">
        <v>4.6300942703393751E-2</v>
      </c>
      <c r="D64" s="34">
        <v>1.5421802054503657E-2</v>
      </c>
      <c r="E64" s="34">
        <v>0.69563830960580142</v>
      </c>
      <c r="F64" s="34">
        <v>5.2526019167039584E-2</v>
      </c>
      <c r="G64" s="34">
        <v>0.19011292646926159</v>
      </c>
      <c r="K64" s="40"/>
    </row>
    <row r="65" spans="1:11" x14ac:dyDescent="0.2">
      <c r="A65" s="106" t="s">
        <v>23</v>
      </c>
      <c r="B65" s="107">
        <v>10.23</v>
      </c>
      <c r="C65" s="110">
        <v>6.3415593353652544E-2</v>
      </c>
      <c r="D65" s="108">
        <v>0</v>
      </c>
      <c r="E65" s="108">
        <v>0</v>
      </c>
      <c r="F65" s="108">
        <v>0.46957034706518536</v>
      </c>
      <c r="G65" s="108">
        <v>0.46701405958116216</v>
      </c>
      <c r="K65" s="40"/>
    </row>
    <row r="67" spans="1:11" x14ac:dyDescent="0.2">
      <c r="A67" s="2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COVER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COVER!Print_Area</vt:lpstr>
    </vt:vector>
  </TitlesOfParts>
  <Manager/>
  <Company>European Commission - Eurostat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CHP data</dc:title>
  <dc:creator>Michael.Goll@ec.europa.eu</dc:creator>
  <dc:description>not in Eurobase, not in COMEXT</dc:description>
  <cp:lastModifiedBy>STURC Marek (ESTAT)</cp:lastModifiedBy>
  <cp:lastPrinted>2021-07-29T12:00:46Z</cp:lastPrinted>
  <dcterms:created xsi:type="dcterms:W3CDTF">2013-03-05T13:42:41Z</dcterms:created>
  <dcterms:modified xsi:type="dcterms:W3CDTF">2021-08-04T13:44:39Z</dcterms:modified>
  <cp:category>CHP</cp:category>
  <cp:contentStatus>Final</cp:contentStatus>
</cp:coreProperties>
</file>