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kumenter\Dropbox\Phd\UiA\Experimental_arm\Calculations\"/>
    </mc:Choice>
  </mc:AlternateContent>
  <bookViews>
    <workbookView xWindow="47925" yWindow="105" windowWidth="23820" windowHeight="9855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" i="1"/>
  <c r="C9" i="1"/>
  <c r="G2" i="1"/>
  <c r="C44" i="1"/>
  <c r="AB33" i="1"/>
  <c r="AB32" i="1"/>
  <c r="C29" i="1"/>
  <c r="C21" i="1"/>
  <c r="K41" i="1"/>
  <c r="K43" i="1"/>
  <c r="C28" i="1"/>
  <c r="K42" i="1"/>
  <c r="Y34" i="1"/>
  <c r="C43" i="1"/>
  <c r="C42" i="1"/>
  <c r="C41" i="1"/>
  <c r="C40" i="1"/>
  <c r="C16" i="1"/>
  <c r="C27" i="1"/>
  <c r="C8" i="1"/>
  <c r="C35" i="1"/>
  <c r="C34" i="1"/>
  <c r="C37" i="1"/>
  <c r="C36" i="1"/>
  <c r="D36" i="1"/>
  <c r="H2" i="1"/>
  <c r="A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H25" i="1"/>
  <c r="AB25" i="1"/>
  <c r="C4" i="1"/>
  <c r="C12" i="1"/>
  <c r="C22" i="1"/>
  <c r="C3" i="1"/>
  <c r="C18" i="1"/>
  <c r="K33" i="1"/>
  <c r="C17" i="1"/>
  <c r="K2" i="1"/>
  <c r="Q2" i="1"/>
  <c r="R2" i="1"/>
  <c r="K25" i="1"/>
  <c r="I25" i="1"/>
  <c r="O25" i="1"/>
  <c r="D37" i="1"/>
  <c r="I2" i="1"/>
  <c r="J2" i="1"/>
  <c r="F26" i="1"/>
  <c r="H4" i="1"/>
  <c r="H8" i="1"/>
  <c r="H12" i="1"/>
  <c r="H16" i="1"/>
  <c r="H20" i="1"/>
  <c r="H24" i="1"/>
  <c r="H5" i="1"/>
  <c r="H9" i="1"/>
  <c r="H13" i="1"/>
  <c r="H17" i="1"/>
  <c r="H21" i="1"/>
  <c r="H6" i="1"/>
  <c r="H10" i="1"/>
  <c r="H14" i="1"/>
  <c r="H18" i="1"/>
  <c r="H22" i="1"/>
  <c r="C10" i="1"/>
  <c r="H3" i="1"/>
  <c r="H7" i="1"/>
  <c r="H11" i="1"/>
  <c r="H15" i="1"/>
  <c r="H19" i="1"/>
  <c r="H23" i="1"/>
  <c r="C23" i="1"/>
  <c r="K23" i="1"/>
  <c r="L23" i="1"/>
  <c r="AB23" i="1"/>
  <c r="I7" i="1"/>
  <c r="O7" i="1"/>
  <c r="AB7" i="1"/>
  <c r="K18" i="1"/>
  <c r="Q18" i="1"/>
  <c r="R18" i="1"/>
  <c r="AB18" i="1"/>
  <c r="I21" i="1"/>
  <c r="J21" i="1"/>
  <c r="AB21" i="1"/>
  <c r="I5" i="1"/>
  <c r="O5" i="1"/>
  <c r="AB5" i="1"/>
  <c r="K12" i="1"/>
  <c r="Q12" i="1"/>
  <c r="R12" i="1"/>
  <c r="AB12" i="1"/>
  <c r="I19" i="1"/>
  <c r="S19" i="1"/>
  <c r="T19" i="1"/>
  <c r="AB19" i="1"/>
  <c r="I3" i="1"/>
  <c r="S3" i="1"/>
  <c r="T3" i="1"/>
  <c r="AB3" i="1"/>
  <c r="I14" i="1"/>
  <c r="S14" i="1"/>
  <c r="T14" i="1"/>
  <c r="AB14" i="1"/>
  <c r="K17" i="1"/>
  <c r="L17" i="1"/>
  <c r="AB17" i="1"/>
  <c r="K24" i="1"/>
  <c r="Q24" i="1"/>
  <c r="R24" i="1"/>
  <c r="AB24" i="1"/>
  <c r="K8" i="1"/>
  <c r="Q8" i="1"/>
  <c r="R8" i="1"/>
  <c r="AB8" i="1"/>
  <c r="K15" i="1"/>
  <c r="L15" i="1"/>
  <c r="AB15" i="1"/>
  <c r="I10" i="1"/>
  <c r="O10" i="1"/>
  <c r="AB10" i="1"/>
  <c r="K13" i="1"/>
  <c r="L13" i="1"/>
  <c r="AB13" i="1"/>
  <c r="I20" i="1"/>
  <c r="J20" i="1"/>
  <c r="AB20" i="1"/>
  <c r="K4" i="1"/>
  <c r="Q4" i="1"/>
  <c r="R4" i="1"/>
  <c r="AB4" i="1"/>
  <c r="I11" i="1"/>
  <c r="S11" i="1"/>
  <c r="T11" i="1"/>
  <c r="AB11" i="1"/>
  <c r="I22" i="1"/>
  <c r="O22" i="1"/>
  <c r="AB22" i="1"/>
  <c r="I6" i="1"/>
  <c r="J6" i="1"/>
  <c r="AB6" i="1"/>
  <c r="I9" i="1"/>
  <c r="S9" i="1"/>
  <c r="T9" i="1"/>
  <c r="AB9" i="1"/>
  <c r="I16" i="1"/>
  <c r="O16" i="1"/>
  <c r="AB16" i="1"/>
  <c r="I4" i="1"/>
  <c r="J4" i="1"/>
  <c r="C11" i="1"/>
  <c r="G9" i="1"/>
  <c r="K9" i="1"/>
  <c r="L9" i="1"/>
  <c r="G23" i="1"/>
  <c r="G7" i="1"/>
  <c r="K14" i="1"/>
  <c r="Q14" i="1"/>
  <c r="R14" i="1"/>
  <c r="G24" i="1"/>
  <c r="K21" i="1"/>
  <c r="Q21" i="1"/>
  <c r="R21" i="1"/>
  <c r="P25" i="1"/>
  <c r="Y25" i="1"/>
  <c r="K11" i="1"/>
  <c r="Q11" i="1"/>
  <c r="R11" i="1"/>
  <c r="K16" i="1"/>
  <c r="Q16" i="1"/>
  <c r="R16" i="1"/>
  <c r="I17" i="1"/>
  <c r="S17" i="1"/>
  <c r="K5" i="1"/>
  <c r="L5" i="1"/>
  <c r="K10" i="1"/>
  <c r="Q10" i="1"/>
  <c r="R10" i="1"/>
  <c r="I8" i="1"/>
  <c r="O8" i="1"/>
  <c r="I23" i="1"/>
  <c r="K6" i="1"/>
  <c r="Q6" i="1"/>
  <c r="R6" i="1"/>
  <c r="I12" i="1"/>
  <c r="J12" i="1"/>
  <c r="K20" i="1"/>
  <c r="Q20" i="1"/>
  <c r="R20" i="1"/>
  <c r="K19" i="1"/>
  <c r="I18" i="1"/>
  <c r="J18" i="1"/>
  <c r="I24" i="1"/>
  <c r="O24" i="1"/>
  <c r="K7" i="1"/>
  <c r="Q7" i="1"/>
  <c r="R7" i="1"/>
  <c r="K3" i="1"/>
  <c r="Q3" i="1"/>
  <c r="R3" i="1"/>
  <c r="I13" i="1"/>
  <c r="S13" i="1"/>
  <c r="T13" i="1"/>
  <c r="K22" i="1"/>
  <c r="Q22" i="1"/>
  <c r="R22" i="1"/>
  <c r="I15" i="1"/>
  <c r="O15" i="1"/>
  <c r="J25" i="1"/>
  <c r="S25" i="1"/>
  <c r="T25" i="1"/>
  <c r="M25" i="1"/>
  <c r="N25" i="1"/>
  <c r="Q25" i="1"/>
  <c r="R25" i="1"/>
  <c r="L25" i="1"/>
  <c r="L2" i="1"/>
  <c r="M2" i="1"/>
  <c r="N2" i="1"/>
  <c r="S2" i="1"/>
  <c r="O2" i="1"/>
  <c r="G17" i="1"/>
  <c r="G4" i="1"/>
  <c r="G15" i="1"/>
  <c r="G18" i="1"/>
  <c r="G20" i="1"/>
  <c r="G13" i="1"/>
  <c r="G11" i="1"/>
  <c r="G14" i="1"/>
  <c r="G16" i="1"/>
  <c r="G26" i="1"/>
  <c r="H26" i="1"/>
  <c r="AB26" i="1"/>
  <c r="F27" i="1"/>
  <c r="G10" i="1"/>
  <c r="G8" i="1"/>
  <c r="G21" i="1"/>
  <c r="G5" i="1"/>
  <c r="G12" i="1"/>
  <c r="G19" i="1"/>
  <c r="G3" i="1"/>
  <c r="G22" i="1"/>
  <c r="G6" i="1"/>
  <c r="G25" i="1"/>
  <c r="P22" i="1"/>
  <c r="P7" i="1"/>
  <c r="O9" i="1"/>
  <c r="S5" i="1"/>
  <c r="T5" i="1"/>
  <c r="Q13" i="1"/>
  <c r="R13" i="1"/>
  <c r="J14" i="1"/>
  <c r="Q15" i="1"/>
  <c r="R15" i="1"/>
  <c r="L24" i="1"/>
  <c r="O19" i="1"/>
  <c r="P19" i="1"/>
  <c r="S4" i="1"/>
  <c r="T4" i="1"/>
  <c r="L4" i="1"/>
  <c r="L21" i="1"/>
  <c r="M23" i="1"/>
  <c r="N23" i="1"/>
  <c r="J19" i="1"/>
  <c r="J22" i="1"/>
  <c r="Q23" i="1"/>
  <c r="R23" i="1"/>
  <c r="J5" i="1"/>
  <c r="L18" i="1"/>
  <c r="M4" i="1"/>
  <c r="N4" i="1"/>
  <c r="S22" i="1"/>
  <c r="U22" i="1"/>
  <c r="V22" i="1"/>
  <c r="O14" i="1"/>
  <c r="M19" i="1"/>
  <c r="N19" i="1"/>
  <c r="S10" i="1"/>
  <c r="T10" i="1"/>
  <c r="O6" i="1"/>
  <c r="O4" i="1"/>
  <c r="Y22" i="1"/>
  <c r="J11" i="1"/>
  <c r="J9" i="1"/>
  <c r="O11" i="1"/>
  <c r="S21" i="1"/>
  <c r="T21" i="1"/>
  <c r="S7" i="1"/>
  <c r="T7" i="1"/>
  <c r="Q17" i="1"/>
  <c r="R17" i="1"/>
  <c r="S6" i="1"/>
  <c r="T6" i="1"/>
  <c r="J7" i="1"/>
  <c r="S20" i="1"/>
  <c r="T20" i="1"/>
  <c r="L8" i="1"/>
  <c r="S16" i="1"/>
  <c r="T16" i="1"/>
  <c r="O20" i="1"/>
  <c r="J3" i="1"/>
  <c r="O21" i="1"/>
  <c r="J16" i="1"/>
  <c r="M9" i="1"/>
  <c r="N9" i="1"/>
  <c r="O3" i="1"/>
  <c r="U14" i="1"/>
  <c r="V14" i="1"/>
  <c r="M14" i="1"/>
  <c r="N14" i="1"/>
  <c r="L12" i="1"/>
  <c r="J10" i="1"/>
  <c r="Y7" i="1"/>
  <c r="Y2" i="1"/>
  <c r="Q9" i="1"/>
  <c r="R9" i="1"/>
  <c r="L20" i="1"/>
  <c r="L14" i="1"/>
  <c r="M21" i="1"/>
  <c r="N21" i="1"/>
  <c r="J17" i="1"/>
  <c r="M16" i="1"/>
  <c r="N16" i="1"/>
  <c r="O23" i="1"/>
  <c r="P5" i="1"/>
  <c r="Y5" i="1"/>
  <c r="P2" i="1"/>
  <c r="P15" i="1"/>
  <c r="Y15" i="1"/>
  <c r="P24" i="1"/>
  <c r="Y24" i="1"/>
  <c r="P10" i="1"/>
  <c r="Y10" i="1"/>
  <c r="P16" i="1"/>
  <c r="Y16" i="1"/>
  <c r="P8" i="1"/>
  <c r="Y8" i="1"/>
  <c r="M24" i="1"/>
  <c r="N24" i="1"/>
  <c r="L3" i="1"/>
  <c r="Q5" i="1"/>
  <c r="R5" i="1"/>
  <c r="M3" i="1"/>
  <c r="N3" i="1"/>
  <c r="M11" i="1"/>
  <c r="N11" i="1"/>
  <c r="L10" i="1"/>
  <c r="M5" i="1"/>
  <c r="N5" i="1"/>
  <c r="L7" i="1"/>
  <c r="M10" i="1"/>
  <c r="N10" i="1"/>
  <c r="M20" i="1"/>
  <c r="N20" i="1"/>
  <c r="S23" i="1"/>
  <c r="O17" i="1"/>
  <c r="M17" i="1"/>
  <c r="N17" i="1"/>
  <c r="U3" i="1"/>
  <c r="W3" i="1"/>
  <c r="J15" i="1"/>
  <c r="O12" i="1"/>
  <c r="M8" i="1"/>
  <c r="N8" i="1"/>
  <c r="S18" i="1"/>
  <c r="M13" i="1"/>
  <c r="N13" i="1"/>
  <c r="J13" i="1"/>
  <c r="J8" i="1"/>
  <c r="M6" i="1"/>
  <c r="N6" i="1"/>
  <c r="M12" i="1"/>
  <c r="N12" i="1"/>
  <c r="U11" i="1"/>
  <c r="W11" i="1"/>
  <c r="L6" i="1"/>
  <c r="L22" i="1"/>
  <c r="L16" i="1"/>
  <c r="S8" i="1"/>
  <c r="U8" i="1"/>
  <c r="V8" i="1"/>
  <c r="L11" i="1"/>
  <c r="O18" i="1"/>
  <c r="O13" i="1"/>
  <c r="M18" i="1"/>
  <c r="N18" i="1"/>
  <c r="K26" i="1"/>
  <c r="I26" i="1"/>
  <c r="M7" i="1"/>
  <c r="N7" i="1"/>
  <c r="M15" i="1"/>
  <c r="N15" i="1"/>
  <c r="S24" i="1"/>
  <c r="J24" i="1"/>
  <c r="S15" i="1"/>
  <c r="S12" i="1"/>
  <c r="U12" i="1"/>
  <c r="J23" i="1"/>
  <c r="M22" i="1"/>
  <c r="N22" i="1"/>
  <c r="Q19" i="1"/>
  <c r="L19" i="1"/>
  <c r="U25" i="1"/>
  <c r="T17" i="1"/>
  <c r="T2" i="1"/>
  <c r="U2" i="1"/>
  <c r="AF2" i="1"/>
  <c r="AH2" i="1"/>
  <c r="G27" i="1"/>
  <c r="H27" i="1"/>
  <c r="AB27" i="1"/>
  <c r="Y20" i="1"/>
  <c r="Y9" i="1"/>
  <c r="P4" i="1"/>
  <c r="P14" i="1"/>
  <c r="U13" i="1"/>
  <c r="W13" i="1"/>
  <c r="AE13" i="1"/>
  <c r="V25" i="1"/>
  <c r="P3" i="1"/>
  <c r="P11" i="1"/>
  <c r="P9" i="1"/>
  <c r="Y19" i="1"/>
  <c r="P21" i="1"/>
  <c r="P6" i="1"/>
  <c r="U15" i="1"/>
  <c r="V15" i="1"/>
  <c r="U10" i="1"/>
  <c r="U23" i="1"/>
  <c r="W23" i="1"/>
  <c r="Y6" i="1"/>
  <c r="U4" i="1"/>
  <c r="W4" i="1"/>
  <c r="X4" i="1"/>
  <c r="T22" i="1"/>
  <c r="Y14" i="1"/>
  <c r="Y4" i="1"/>
  <c r="U6" i="1"/>
  <c r="W6" i="1"/>
  <c r="U16" i="1"/>
  <c r="Y11" i="1"/>
  <c r="Y21" i="1"/>
  <c r="U17" i="1"/>
  <c r="V17" i="1"/>
  <c r="U7" i="1"/>
  <c r="T8" i="1"/>
  <c r="Y3" i="1"/>
  <c r="P20" i="1"/>
  <c r="U20" i="1"/>
  <c r="W20" i="1"/>
  <c r="AE20" i="1"/>
  <c r="U21" i="1"/>
  <c r="W21" i="1"/>
  <c r="AE21" i="1"/>
  <c r="W14" i="1"/>
  <c r="X14" i="1"/>
  <c r="W8" i="1"/>
  <c r="AD8" i="1"/>
  <c r="U9" i="1"/>
  <c r="V9" i="1"/>
  <c r="X3" i="1"/>
  <c r="AD3" i="1"/>
  <c r="AE3" i="1"/>
  <c r="X11" i="1"/>
  <c r="AE11" i="1"/>
  <c r="AD11" i="1"/>
  <c r="P23" i="1"/>
  <c r="Y23" i="1"/>
  <c r="P13" i="1"/>
  <c r="Y13" i="1"/>
  <c r="P18" i="1"/>
  <c r="Y18" i="1"/>
  <c r="P12" i="1"/>
  <c r="Y12" i="1"/>
  <c r="P17" i="1"/>
  <c r="Y17" i="1"/>
  <c r="W22" i="1"/>
  <c r="U5" i="1"/>
  <c r="V11" i="1"/>
  <c r="T12" i="1"/>
  <c r="V3" i="1"/>
  <c r="T23" i="1"/>
  <c r="T15" i="1"/>
  <c r="T18" i="1"/>
  <c r="U18" i="1"/>
  <c r="T24" i="1"/>
  <c r="U24" i="1"/>
  <c r="L26" i="1"/>
  <c r="Q26" i="1"/>
  <c r="R26" i="1"/>
  <c r="R19" i="1"/>
  <c r="U19" i="1"/>
  <c r="O26" i="1"/>
  <c r="M26" i="1"/>
  <c r="N26" i="1"/>
  <c r="S26" i="1"/>
  <c r="J26" i="1"/>
  <c r="I27" i="1"/>
  <c r="K27" i="1"/>
  <c r="W25" i="1"/>
  <c r="W2" i="1"/>
  <c r="V2" i="1"/>
  <c r="V12" i="1"/>
  <c r="W12" i="1"/>
  <c r="X20" i="1"/>
  <c r="AK9" i="1"/>
  <c r="AD13" i="1"/>
  <c r="AK6" i="1"/>
  <c r="X8" i="1"/>
  <c r="AJ4" i="1"/>
  <c r="AG13" i="1"/>
  <c r="AI13" i="1"/>
  <c r="X13" i="1"/>
  <c r="AG23" i="1"/>
  <c r="AI23" i="1"/>
  <c r="V7" i="1"/>
  <c r="AF7" i="1"/>
  <c r="AH7" i="1"/>
  <c r="W16" i="1"/>
  <c r="AD16" i="1"/>
  <c r="AA16" i="1"/>
  <c r="V10" i="1"/>
  <c r="AJ10" i="1"/>
  <c r="AJ20" i="1"/>
  <c r="V13" i="1"/>
  <c r="W15" i="1"/>
  <c r="AE15" i="1"/>
  <c r="AJ15" i="1"/>
  <c r="AG21" i="1"/>
  <c r="AI21" i="1"/>
  <c r="AC17" i="1"/>
  <c r="W10" i="1"/>
  <c r="X10" i="1"/>
  <c r="V23" i="1"/>
  <c r="V4" i="1"/>
  <c r="AE4" i="1"/>
  <c r="AD4" i="1"/>
  <c r="V6" i="1"/>
  <c r="V21" i="1"/>
  <c r="V16" i="1"/>
  <c r="W17" i="1"/>
  <c r="AD17" i="1"/>
  <c r="AD14" i="1"/>
  <c r="W7" i="1"/>
  <c r="X7" i="1"/>
  <c r="X21" i="1"/>
  <c r="AJ3" i="1"/>
  <c r="AK3" i="1"/>
  <c r="AK22" i="1"/>
  <c r="AJ22" i="1"/>
  <c r="AJ8" i="1"/>
  <c r="AK8" i="1"/>
  <c r="AJ19" i="1"/>
  <c r="AK19" i="1"/>
  <c r="AK18" i="1"/>
  <c r="AJ18" i="1"/>
  <c r="AK5" i="1"/>
  <c r="AJ5" i="1"/>
  <c r="AJ11" i="1"/>
  <c r="AK11" i="1"/>
  <c r="AJ24" i="1"/>
  <c r="AK24" i="1"/>
  <c r="AA12" i="1"/>
  <c r="AJ12" i="1"/>
  <c r="AK12" i="1"/>
  <c r="AK25" i="1"/>
  <c r="AJ25" i="1"/>
  <c r="AK14" i="1"/>
  <c r="AJ14" i="1"/>
  <c r="AJ2" i="1"/>
  <c r="AK2" i="1"/>
  <c r="V20" i="1"/>
  <c r="AD20" i="1"/>
  <c r="AE14" i="1"/>
  <c r="AC12" i="1"/>
  <c r="W9" i="1"/>
  <c r="X9" i="1"/>
  <c r="AD21" i="1"/>
  <c r="AE8" i="1"/>
  <c r="AG22" i="1"/>
  <c r="AI22" i="1"/>
  <c r="AF22" i="1"/>
  <c r="AH22" i="1"/>
  <c r="AG8" i="1"/>
  <c r="AI8" i="1"/>
  <c r="AF8" i="1"/>
  <c r="AH8" i="1"/>
  <c r="AF19" i="1"/>
  <c r="AH19" i="1"/>
  <c r="AG19" i="1"/>
  <c r="AI19" i="1"/>
  <c r="AF18" i="1"/>
  <c r="AH18" i="1"/>
  <c r="AG18" i="1"/>
  <c r="AI18" i="1"/>
  <c r="AF5" i="1"/>
  <c r="AH5" i="1"/>
  <c r="AG5" i="1"/>
  <c r="AI5" i="1"/>
  <c r="AC8" i="1"/>
  <c r="AF25" i="1"/>
  <c r="AH25" i="1"/>
  <c r="AG25" i="1"/>
  <c r="AI25" i="1"/>
  <c r="AG14" i="1"/>
  <c r="AI14" i="1"/>
  <c r="AF14" i="1"/>
  <c r="AH14" i="1"/>
  <c r="AG2" i="1"/>
  <c r="AI2" i="1"/>
  <c r="AF3" i="1"/>
  <c r="AH3" i="1"/>
  <c r="AG3" i="1"/>
  <c r="AI3" i="1"/>
  <c r="AF11" i="1"/>
  <c r="AH11" i="1"/>
  <c r="AG11" i="1"/>
  <c r="AI11" i="1"/>
  <c r="AG24" i="1"/>
  <c r="AI24" i="1"/>
  <c r="AF24" i="1"/>
  <c r="AH24" i="1"/>
  <c r="AA8" i="1"/>
  <c r="AG12" i="1"/>
  <c r="AI12" i="1"/>
  <c r="AF12" i="1"/>
  <c r="AH12" i="1"/>
  <c r="X6" i="1"/>
  <c r="AD6" i="1"/>
  <c r="AE6" i="1"/>
  <c r="AA19" i="1"/>
  <c r="AC19" i="1"/>
  <c r="AA5" i="1"/>
  <c r="AC5" i="1"/>
  <c r="AA25" i="1"/>
  <c r="AC25" i="1"/>
  <c r="AA2" i="1"/>
  <c r="AC2" i="1"/>
  <c r="AA24" i="1"/>
  <c r="AC24" i="1"/>
  <c r="X23" i="1"/>
  <c r="AD23" i="1"/>
  <c r="AE23" i="1"/>
  <c r="X2" i="1"/>
  <c r="AD2" i="1"/>
  <c r="AE2" i="1"/>
  <c r="AA18" i="1"/>
  <c r="AC18" i="1"/>
  <c r="X12" i="1"/>
  <c r="AE12" i="1"/>
  <c r="AD12" i="1"/>
  <c r="X22" i="1"/>
  <c r="AD22" i="1"/>
  <c r="AE22" i="1"/>
  <c r="AA11" i="1"/>
  <c r="AC11" i="1"/>
  <c r="X25" i="1"/>
  <c r="AD25" i="1"/>
  <c r="AE25" i="1"/>
  <c r="AA3" i="1"/>
  <c r="AC3" i="1"/>
  <c r="AA22" i="1"/>
  <c r="AC22" i="1"/>
  <c r="AA14" i="1"/>
  <c r="AC14" i="1"/>
  <c r="P26" i="1"/>
  <c r="Y26" i="1"/>
  <c r="W5" i="1"/>
  <c r="V5" i="1"/>
  <c r="W18" i="1"/>
  <c r="V18" i="1"/>
  <c r="V19" i="1"/>
  <c r="W19" i="1"/>
  <c r="T26" i="1"/>
  <c r="U26" i="1"/>
  <c r="Q27" i="1"/>
  <c r="R27" i="1"/>
  <c r="L27" i="1"/>
  <c r="V24" i="1"/>
  <c r="W24" i="1"/>
  <c r="S27" i="1"/>
  <c r="M27" i="1"/>
  <c r="N27" i="1"/>
  <c r="J27" i="1"/>
  <c r="O27" i="1"/>
  <c r="AL5" i="1"/>
  <c r="AM5" i="1"/>
  <c r="AL22" i="1"/>
  <c r="AM22" i="1"/>
  <c r="AL2" i="1"/>
  <c r="AM2" i="1"/>
  <c r="AL14" i="1"/>
  <c r="AM14" i="1"/>
  <c r="AL24" i="1"/>
  <c r="AM24" i="1"/>
  <c r="AL19" i="1"/>
  <c r="AM19" i="1"/>
  <c r="AL12" i="1"/>
  <c r="AM12" i="1"/>
  <c r="AL18" i="1"/>
  <c r="AM18" i="1"/>
  <c r="AL25" i="1"/>
  <c r="AM25" i="1"/>
  <c r="AL11" i="1"/>
  <c r="AM11" i="1"/>
  <c r="AL8" i="1"/>
  <c r="AM8" i="1"/>
  <c r="AL3" i="1"/>
  <c r="AM3" i="1"/>
  <c r="AP14" i="1"/>
  <c r="AN2" i="1"/>
  <c r="AP25" i="1"/>
  <c r="AP11" i="1"/>
  <c r="AP8" i="1"/>
  <c r="AP3" i="1"/>
  <c r="AP5" i="1"/>
  <c r="AP22" i="1"/>
  <c r="AP2" i="1"/>
  <c r="AP24" i="1"/>
  <c r="AP19" i="1"/>
  <c r="AP12" i="1"/>
  <c r="AP18" i="1"/>
  <c r="AK20" i="1"/>
  <c r="AP20" i="1"/>
  <c r="AF20" i="1"/>
  <c r="AH20" i="1"/>
  <c r="AK10" i="1"/>
  <c r="AP10" i="1"/>
  <c r="AA13" i="1"/>
  <c r="AC9" i="1"/>
  <c r="AF9" i="1"/>
  <c r="AH9" i="1"/>
  <c r="AG6" i="1"/>
  <c r="AI6" i="1"/>
  <c r="AC20" i="1"/>
  <c r="AG15" i="1"/>
  <c r="AI15" i="1"/>
  <c r="AF13" i="1"/>
  <c r="AJ6" i="1"/>
  <c r="AF4" i="1"/>
  <c r="AH4" i="1"/>
  <c r="AK7" i="1"/>
  <c r="X17" i="1"/>
  <c r="AC15" i="1"/>
  <c r="AC10" i="1"/>
  <c r="AC7" i="1"/>
  <c r="AF15" i="1"/>
  <c r="AH15" i="1"/>
  <c r="AJ7" i="1"/>
  <c r="AJ13" i="1"/>
  <c r="AA15" i="1"/>
  <c r="AA10" i="1"/>
  <c r="AA9" i="1"/>
  <c r="AA7" i="1"/>
  <c r="AG7" i="1"/>
  <c r="AG10" i="1"/>
  <c r="AI10" i="1"/>
  <c r="AJ9" i="1"/>
  <c r="AK15" i="1"/>
  <c r="AP15" i="1"/>
  <c r="AK13" i="1"/>
  <c r="AC13" i="1"/>
  <c r="AF10" i="1"/>
  <c r="AH10" i="1"/>
  <c r="AG9" i="1"/>
  <c r="AI9" i="1"/>
  <c r="AA20" i="1"/>
  <c r="AG20" i="1"/>
  <c r="AI20" i="1"/>
  <c r="AK4" i="1"/>
  <c r="AP4" i="1"/>
  <c r="AD15" i="1"/>
  <c r="AF23" i="1"/>
  <c r="AJ23" i="1"/>
  <c r="AC6" i="1"/>
  <c r="AA6" i="1"/>
  <c r="AF6" i="1"/>
  <c r="AH6" i="1"/>
  <c r="AF16" i="1"/>
  <c r="AH16" i="1"/>
  <c r="AC21" i="1"/>
  <c r="AJ21" i="1"/>
  <c r="AF21" i="1"/>
  <c r="AJ16" i="1"/>
  <c r="AE10" i="1"/>
  <c r="AD10" i="1"/>
  <c r="X15" i="1"/>
  <c r="AA4" i="1"/>
  <c r="AC4" i="1"/>
  <c r="AG4" i="1"/>
  <c r="AK16" i="1"/>
  <c r="AK23" i="1"/>
  <c r="AJ17" i="1"/>
  <c r="AK26" i="1"/>
  <c r="AF26" i="1"/>
  <c r="AH26" i="1"/>
  <c r="AA26" i="1"/>
  <c r="AJ26" i="1"/>
  <c r="AG26" i="1"/>
  <c r="AI26" i="1"/>
  <c r="AC26" i="1"/>
  <c r="AC16" i="1"/>
  <c r="AC23" i="1"/>
  <c r="AG17" i="1"/>
  <c r="AI17" i="1"/>
  <c r="AG16" i="1"/>
  <c r="AI16" i="1"/>
  <c r="AA21" i="1"/>
  <c r="AK21" i="1"/>
  <c r="AA17" i="1"/>
  <c r="AE16" i="1"/>
  <c r="X16" i="1"/>
  <c r="AK17" i="1"/>
  <c r="AA23" i="1"/>
  <c r="AF17" i="1"/>
  <c r="AH17" i="1"/>
  <c r="AE17" i="1"/>
  <c r="AN12" i="1"/>
  <c r="AD7" i="1"/>
  <c r="AE7" i="1"/>
  <c r="AN3" i="1"/>
  <c r="AN8" i="1"/>
  <c r="AN22" i="1"/>
  <c r="AN18" i="1"/>
  <c r="AN11" i="1"/>
  <c r="AN25" i="1"/>
  <c r="AN5" i="1"/>
  <c r="AN24" i="1"/>
  <c r="AN14" i="1"/>
  <c r="AN19" i="1"/>
  <c r="AD9" i="1"/>
  <c r="AE9" i="1"/>
  <c r="X5" i="1"/>
  <c r="AD5" i="1"/>
  <c r="AE5" i="1"/>
  <c r="X18" i="1"/>
  <c r="AD18" i="1"/>
  <c r="AE18" i="1"/>
  <c r="X19" i="1"/>
  <c r="AD19" i="1"/>
  <c r="AE19" i="1"/>
  <c r="X24" i="1"/>
  <c r="AD24" i="1"/>
  <c r="AE24" i="1"/>
  <c r="P27" i="1"/>
  <c r="Y27" i="1"/>
  <c r="U27" i="1"/>
  <c r="T27" i="1"/>
  <c r="V26" i="1"/>
  <c r="W26" i="1"/>
  <c r="AL16" i="1"/>
  <c r="AM16" i="1"/>
  <c r="AL20" i="1"/>
  <c r="AM20" i="1"/>
  <c r="AN4" i="1"/>
  <c r="AI4" i="1"/>
  <c r="AL4" i="1"/>
  <c r="AL26" i="1"/>
  <c r="AM26" i="1"/>
  <c r="AL17" i="1"/>
  <c r="AM17" i="1"/>
  <c r="AP9" i="1"/>
  <c r="AL9" i="1"/>
  <c r="AM9" i="1"/>
  <c r="AP6" i="1"/>
  <c r="AL6" i="1"/>
  <c r="AM6" i="1"/>
  <c r="AN13" i="1"/>
  <c r="AH13" i="1"/>
  <c r="AL13" i="1"/>
  <c r="AM13" i="1"/>
  <c r="AL10" i="1"/>
  <c r="AM10" i="1"/>
  <c r="AN21" i="1"/>
  <c r="AH21" i="1"/>
  <c r="AL21" i="1"/>
  <c r="AM21" i="1"/>
  <c r="AN23" i="1"/>
  <c r="AH23" i="1"/>
  <c r="AL23" i="1"/>
  <c r="AM23" i="1"/>
  <c r="AN7" i="1"/>
  <c r="AI7" i="1"/>
  <c r="AL15" i="1"/>
  <c r="AM15" i="1"/>
  <c r="AP7" i="1"/>
  <c r="AP16" i="1"/>
  <c r="AP21" i="1"/>
  <c r="AP13" i="1"/>
  <c r="AP26" i="1"/>
  <c r="AP17" i="1"/>
  <c r="AP23" i="1"/>
  <c r="AN16" i="1"/>
  <c r="AN15" i="1"/>
  <c r="AN9" i="1"/>
  <c r="AO9" i="1"/>
  <c r="AN10" i="1"/>
  <c r="AN20" i="1"/>
  <c r="AN6" i="1"/>
  <c r="AN26" i="1"/>
  <c r="AN17" i="1"/>
  <c r="AF27" i="1"/>
  <c r="AH27" i="1"/>
  <c r="AC27" i="1"/>
  <c r="K31" i="1"/>
  <c r="AK27" i="1"/>
  <c r="AA27" i="1"/>
  <c r="K30" i="1"/>
  <c r="AG27" i="1"/>
  <c r="AI27" i="1"/>
  <c r="AJ27" i="1"/>
  <c r="X26" i="1"/>
  <c r="AE26" i="1"/>
  <c r="AD26" i="1"/>
  <c r="V27" i="1"/>
  <c r="W27" i="1"/>
  <c r="AL27" i="1"/>
  <c r="AM27" i="1"/>
  <c r="AL7" i="1"/>
  <c r="AM7" i="1"/>
  <c r="AM4" i="1"/>
  <c r="AP27" i="1"/>
  <c r="AN27" i="1"/>
  <c r="X27" i="1"/>
  <c r="K32" i="1"/>
  <c r="AD27" i="1"/>
  <c r="AE27" i="1"/>
  <c r="K36" i="1"/>
  <c r="K35" i="1"/>
</calcChain>
</file>

<file path=xl/sharedStrings.xml><?xml version="1.0" encoding="utf-8"?>
<sst xmlns="http://schemas.openxmlformats.org/spreadsheetml/2006/main" count="144" uniqueCount="111">
  <si>
    <t>mPayload</t>
  </si>
  <si>
    <t>kg</t>
  </si>
  <si>
    <t>m</t>
  </si>
  <si>
    <t>E</t>
  </si>
  <si>
    <t>b</t>
  </si>
  <si>
    <t>h</t>
  </si>
  <si>
    <t>t</t>
  </si>
  <si>
    <t>m^4</t>
  </si>
  <si>
    <t>Pa</t>
  </si>
  <si>
    <t>Apiston</t>
  </si>
  <si>
    <t>D</t>
  </si>
  <si>
    <t>d</t>
  </si>
  <si>
    <t>Aring</t>
  </si>
  <si>
    <t>m^2</t>
  </si>
  <si>
    <t>Across</t>
  </si>
  <si>
    <t>Lstroke</t>
  </si>
  <si>
    <t>beta</t>
  </si>
  <si>
    <t>phi</t>
  </si>
  <si>
    <t>kcyl</t>
  </si>
  <si>
    <t>x</t>
  </si>
  <si>
    <t>L1</t>
  </si>
  <si>
    <t>L2</t>
  </si>
  <si>
    <t>I_beam</t>
  </si>
  <si>
    <t>L_beam</t>
  </si>
  <si>
    <t>k_beam</t>
  </si>
  <si>
    <t>N/m</t>
  </si>
  <si>
    <t>V0</t>
  </si>
  <si>
    <t>L_BC</t>
  </si>
  <si>
    <t>xB</t>
  </si>
  <si>
    <t>yB</t>
  </si>
  <si>
    <t>xC_lokal</t>
  </si>
  <si>
    <t>yC_lokal</t>
  </si>
  <si>
    <t>L_AB</t>
  </si>
  <si>
    <t>alpha</t>
  </si>
  <si>
    <t>phi1</t>
  </si>
  <si>
    <t>phi2</t>
  </si>
  <si>
    <t>phi3</t>
  </si>
  <si>
    <t>L_AC</t>
  </si>
  <si>
    <t>phi1_grader</t>
  </si>
  <si>
    <t>phi2_grader</t>
  </si>
  <si>
    <t>phi3_grader</t>
  </si>
  <si>
    <t>theta3</t>
  </si>
  <si>
    <t>theta1</t>
  </si>
  <si>
    <t>theta3grader</t>
  </si>
  <si>
    <t>theta1grader</t>
  </si>
  <si>
    <t>gamma</t>
  </si>
  <si>
    <t>gammagrader</t>
  </si>
  <si>
    <t>theta2</t>
  </si>
  <si>
    <t>theta2grader</t>
  </si>
  <si>
    <t>m_eff</t>
  </si>
  <si>
    <t>omega_n</t>
  </si>
  <si>
    <t>omega_beam</t>
  </si>
  <si>
    <t>Hz</t>
  </si>
  <si>
    <t>m^3</t>
  </si>
  <si>
    <t>m_beam</t>
  </si>
  <si>
    <t>y_payload</t>
  </si>
  <si>
    <t>Fcyl</t>
  </si>
  <si>
    <t>g</t>
  </si>
  <si>
    <t>m/s^2</t>
  </si>
  <si>
    <t>p_piston</t>
  </si>
  <si>
    <t>F_k</t>
  </si>
  <si>
    <t>I_cyl_rod</t>
  </si>
  <si>
    <t>SF_buckling</t>
  </si>
  <si>
    <t>omega_combined</t>
  </si>
  <si>
    <t>m_eq_beam</t>
  </si>
  <si>
    <t>I_z_beam</t>
  </si>
  <si>
    <t>sigma_n_max</t>
  </si>
  <si>
    <t>Max pressure</t>
  </si>
  <si>
    <t>SF Buckling</t>
  </si>
  <si>
    <t>omega_n_hyd</t>
  </si>
  <si>
    <t>R_Ny</t>
  </si>
  <si>
    <t>Beam:</t>
  </si>
  <si>
    <t>Cylinder:</t>
  </si>
  <si>
    <t>Base:</t>
  </si>
  <si>
    <t>A global coor sys</t>
  </si>
  <si>
    <t>xM</t>
  </si>
  <si>
    <t>yM</t>
  </si>
  <si>
    <t>L_Mwbase</t>
  </si>
  <si>
    <t>L_Base</t>
  </si>
  <si>
    <t>L_BMx</t>
  </si>
  <si>
    <t>L_BMy</t>
  </si>
  <si>
    <t>L_AMx</t>
  </si>
  <si>
    <t>L_AMy</t>
  </si>
  <si>
    <t>m_Base</t>
  </si>
  <si>
    <t>R_My</t>
  </si>
  <si>
    <t>positiv = den bliver stående</t>
  </si>
  <si>
    <t>|R_A|</t>
  </si>
  <si>
    <t>V_piston</t>
  </si>
  <si>
    <t>liter</t>
  </si>
  <si>
    <t>l/min</t>
  </si>
  <si>
    <t>Glider størrelse</t>
  </si>
  <si>
    <t>t_op</t>
  </si>
  <si>
    <t>t_ned</t>
  </si>
  <si>
    <t>l/s</t>
  </si>
  <si>
    <t>s</t>
  </si>
  <si>
    <t>Hydrauliksystemet</t>
  </si>
  <si>
    <t>|R_B|</t>
  </si>
  <si>
    <t>V_stang</t>
  </si>
  <si>
    <t xml:space="preserve">MPa </t>
  </si>
  <si>
    <t>(0,12 , 0,35 og 0,5)</t>
  </si>
  <si>
    <t>(-1,04 og -1,00)</t>
  </si>
  <si>
    <t>R_Ax_arm</t>
  </si>
  <si>
    <t>R_Ay_arm</t>
  </si>
  <si>
    <t>R_Bx_base</t>
  </si>
  <si>
    <t>R_By_base</t>
  </si>
  <si>
    <t>R_Ax_base</t>
  </si>
  <si>
    <t>R_Ay_base</t>
  </si>
  <si>
    <t>Designkriterie</t>
  </si>
  <si>
    <t>omega_mech_hyd = 2-4 Hz</t>
  </si>
  <si>
    <t>theta_1 = -25-60 grader</t>
  </si>
  <si>
    <t>l_arm &lt; 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</si>
</sst>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kcyl</c:v>
                </c:pt>
              </c:strCache>
            </c:strRef>
          </c:tx>
          <c:marker>
            <c:symbol val="none"/>
          </c:marker>
          <c:xVal>
            <c:numRef>
              <c:f>Sheet1!$F$2:$F$27</c:f>
              <c:numCache>
                <c:formatCode>General</c:formatCode>
                <c:ptCount val="2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</c:numCache>
            </c:numRef>
          </c:xVal>
          <c:yVal>
            <c:numRef>
              <c:f>Sheet1!$G$2:$G$27</c:f>
              <c:numCache>
                <c:formatCode>0.00E+00</c:formatCode>
                <c:ptCount val="26"/>
                <c:pt idx="0">
                  <c:v>59084305.798815064</c:v>
                </c:pt>
                <c:pt idx="1">
                  <c:v>45509569.856351174</c:v>
                </c:pt>
                <c:pt idx="2">
                  <c:v>37417383.980066739</c:v>
                </c:pt>
                <c:pt idx="3">
                  <c:v>32079086.067942653</c:v>
                </c:pt>
                <c:pt idx="4">
                  <c:v>28323101.672266856</c:v>
                </c:pt>
                <c:pt idx="5">
                  <c:v>25563571.40668064</c:v>
                </c:pt>
                <c:pt idx="6">
                  <c:v>23475620.218883943</c:v>
                </c:pt>
                <c:pt idx="7">
                  <c:v>21865243.535293516</c:v>
                </c:pt>
                <c:pt idx="8">
                  <c:v>20610128.746673696</c:v>
                </c:pt>
                <c:pt idx="9">
                  <c:v>19630096.260837883</c:v>
                </c:pt>
                <c:pt idx="10">
                  <c:v>18871249.187040407</c:v>
                </c:pt>
                <c:pt idx="11">
                  <c:v>18297012.585669763</c:v>
                </c:pt>
                <c:pt idx="12">
                  <c:v>17882889.148203146</c:v>
                </c:pt>
                <c:pt idx="13">
                  <c:v>17613361.441342253</c:v>
                </c:pt>
                <c:pt idx="14">
                  <c:v>17480136.03522706</c:v>
                </c:pt>
                <c:pt idx="15">
                  <c:v>17481323.83890878</c:v>
                </c:pt>
                <c:pt idx="16">
                  <c:v>17621387.909438096</c:v>
                </c:pt>
                <c:pt idx="17">
                  <c:v>17911866.658394411</c:v>
                </c:pt>
                <c:pt idx="18">
                  <c:v>18373064.629353695</c:v>
                </c:pt>
                <c:pt idx="19">
                  <c:v>19037168.990557581</c:v>
                </c:pt>
                <c:pt idx="20">
                  <c:v>19953724.5777268</c:v>
                </c:pt>
                <c:pt idx="21">
                  <c:v>21199360.35951212</c:v>
                </c:pt>
                <c:pt idx="22">
                  <c:v>22895790.521835055</c:v>
                </c:pt>
                <c:pt idx="23">
                  <c:v>25245298.207191542</c:v>
                </c:pt>
                <c:pt idx="24">
                  <c:v>28606981.004177056</c:v>
                </c:pt>
                <c:pt idx="25">
                  <c:v>33680937.52544532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12816"/>
        <c:axId val="395507776"/>
      </c:scatterChart>
      <c:valAx>
        <c:axId val="39551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507776"/>
        <c:crosses val="autoZero"/>
        <c:crossBetween val="midCat"/>
      </c:valAx>
      <c:valAx>
        <c:axId val="395507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9551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strRef>
              <c:f>Sheet1!$V$1</c:f>
              <c:strCache>
                <c:ptCount val="1"/>
                <c:pt idx="0">
                  <c:v>gammagrader</c:v>
                </c:pt>
              </c:strCache>
            </c:strRef>
          </c:tx>
          <c:marker>
            <c:symbol val="none"/>
          </c:marker>
          <c:xVal>
            <c:numRef>
              <c:f>Sheet1!$F$2:$F$27</c:f>
              <c:numCache>
                <c:formatCode>General</c:formatCode>
                <c:ptCount val="2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</c:numCache>
            </c:numRef>
          </c:xVal>
          <c:yVal>
            <c:numRef>
              <c:f>Sheet1!$V$2:$V$27</c:f>
              <c:numCache>
                <c:formatCode>General</c:formatCode>
                <c:ptCount val="26"/>
                <c:pt idx="0">
                  <c:v>-26.374102598508344</c:v>
                </c:pt>
                <c:pt idx="1">
                  <c:v>-23.445233847440331</c:v>
                </c:pt>
                <c:pt idx="2">
                  <c:v>-20.666106163265479</c:v>
                </c:pt>
                <c:pt idx="3">
                  <c:v>-18.015610033445956</c:v>
                </c:pt>
                <c:pt idx="4">
                  <c:v>-15.47657753871508</c:v>
                </c:pt>
                <c:pt idx="5">
                  <c:v>-13.03480390498928</c:v>
                </c:pt>
                <c:pt idx="6">
                  <c:v>-10.67835940314515</c:v>
                </c:pt>
                <c:pt idx="7">
                  <c:v>-8.3970921367007634</c:v>
                </c:pt>
                <c:pt idx="8">
                  <c:v>-6.1822602199699501</c:v>
                </c:pt>
                <c:pt idx="9">
                  <c:v>-4.026253984419049</c:v>
                </c:pt>
                <c:pt idx="10">
                  <c:v>-1.922382250438236</c:v>
                </c:pt>
                <c:pt idx="11">
                  <c:v>0.13529491955911607</c:v>
                </c:pt>
                <c:pt idx="12">
                  <c:v>2.152099181458925</c:v>
                </c:pt>
                <c:pt idx="13">
                  <c:v>4.1328412248051896</c:v>
                </c:pt>
                <c:pt idx="14">
                  <c:v>6.0819086914344362</c:v>
                </c:pt>
                <c:pt idx="15">
                  <c:v>8.0033393035771212</c:v>
                </c:pt>
                <c:pt idx="16">
                  <c:v>9.9008826639707088</c:v>
                </c:pt>
                <c:pt idx="17">
                  <c:v>11.778053385189336</c:v>
                </c:pt>
                <c:pt idx="18">
                  <c:v>13.63817763521557</c:v>
                </c:pt>
                <c:pt idx="19">
                  <c:v>15.484434783986011</c:v>
                </c:pt>
                <c:pt idx="20">
                  <c:v>17.319895557209755</c:v>
                </c:pt>
                <c:pt idx="21">
                  <c:v>19.147557920802655</c:v>
                </c:pt>
                <c:pt idx="22">
                  <c:v>20.970381814463821</c:v>
                </c:pt>
                <c:pt idx="23">
                  <c:v>22.79132381734815</c:v>
                </c:pt>
                <c:pt idx="24">
                  <c:v>24.613372860798727</c:v>
                </c:pt>
                <c:pt idx="25">
                  <c:v>26.439588208186038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54448"/>
        <c:axId val="508356128"/>
      </c:scatterChart>
      <c:valAx>
        <c:axId val="50835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356128"/>
        <c:crosses val="autoZero"/>
        <c:crossBetween val="midCat"/>
      </c:valAx>
      <c:valAx>
        <c:axId val="50835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35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7"/>
          <c:order val="1"/>
          <c:tx>
            <c:strRef>
              <c:f>Sheet1!$X$1</c:f>
              <c:strCache>
                <c:ptCount val="1"/>
                <c:pt idx="0">
                  <c:v>omega_n</c:v>
                </c:pt>
              </c:strCache>
            </c:strRef>
          </c:tx>
          <c:marker>
            <c:symbol val="none"/>
          </c:marker>
          <c:xVal>
            <c:numRef>
              <c:f>Sheet1!$F$2:$F$27</c:f>
              <c:numCache>
                <c:formatCode>General</c:formatCode>
                <c:ptCount val="2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</c:numCache>
            </c:numRef>
          </c:xVal>
          <c:yVal>
            <c:numRef>
              <c:f>Sheet1!$X$2:$X$27</c:f>
              <c:numCache>
                <c:formatCode>General</c:formatCode>
                <c:ptCount val="26"/>
                <c:pt idx="0">
                  <c:v>9.4541657667361374</c:v>
                </c:pt>
                <c:pt idx="1">
                  <c:v>8.4967119371719395</c:v>
                </c:pt>
                <c:pt idx="2">
                  <c:v>7.857293747115194</c:v>
                </c:pt>
                <c:pt idx="3">
                  <c:v>7.3943556551802567</c:v>
                </c:pt>
                <c:pt idx="4">
                  <c:v>7.0412797391949011</c:v>
                </c:pt>
                <c:pt idx="5">
                  <c:v>6.7623117244344799</c:v>
                </c:pt>
                <c:pt idx="6">
                  <c:v>6.536471846838678</c:v>
                </c:pt>
                <c:pt idx="7">
                  <c:v>6.3506438314039224</c:v>
                </c:pt>
                <c:pt idx="8">
                  <c:v>6.1962474962608045</c:v>
                </c:pt>
                <c:pt idx="9">
                  <c:v>6.0674963351460853</c:v>
                </c:pt>
                <c:pt idx="10">
                  <c:v>5.960426119710986</c:v>
                </c:pt>
                <c:pt idx="11">
                  <c:v>5.8723287705560656</c:v>
                </c:pt>
                <c:pt idx="12">
                  <c:v>5.8014144005320762</c:v>
                </c:pt>
                <c:pt idx="13">
                  <c:v>5.7466111254108743</c:v>
                </c:pt>
                <c:pt idx="14">
                  <c:v>5.7074554356730509</c:v>
                </c:pt>
                <c:pt idx="15">
                  <c:v>5.6840495607892372</c:v>
                </c:pt>
                <c:pt idx="16">
                  <c:v>5.6770771770396573</c:v>
                </c:pt>
                <c:pt idx="17">
                  <c:v>5.6878807563684797</c:v>
                </c:pt>
                <c:pt idx="18">
                  <c:v>5.7186169813117163</c:v>
                </c:pt>
                <c:pt idx="19">
                  <c:v>5.7725257729756789</c:v>
                </c:pt>
                <c:pt idx="20">
                  <c:v>5.8543818568431893</c:v>
                </c:pt>
                <c:pt idx="21">
                  <c:v>5.9712628884692904</c:v>
                </c:pt>
                <c:pt idx="22">
                  <c:v>6.1339064819984861</c:v>
                </c:pt>
                <c:pt idx="23">
                  <c:v>6.3592489491657185</c:v>
                </c:pt>
                <c:pt idx="24">
                  <c:v>6.6755606432332213</c:v>
                </c:pt>
                <c:pt idx="25">
                  <c:v>7.1339942474376521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8944"/>
        <c:axId val="398119504"/>
      </c:scatterChart>
      <c:scatterChart>
        <c:scatterStyle val="lineMarker"/>
        <c:varyColors val="0"/>
        <c:ser>
          <c:idx val="16"/>
          <c:order val="0"/>
          <c:tx>
            <c:strRef>
              <c:f>Sheet1!$W$1</c:f>
              <c:strCache>
                <c:ptCount val="1"/>
                <c:pt idx="0">
                  <c:v>m_eff</c:v>
                </c:pt>
              </c:strCache>
            </c:strRef>
          </c:tx>
          <c:marker>
            <c:symbol val="none"/>
          </c:marker>
          <c:xVal>
            <c:numRef>
              <c:f>Sheet1!$F$2:$F$27</c:f>
              <c:numCache>
                <c:formatCode>General</c:formatCode>
                <c:ptCount val="2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</c:numCache>
            </c:numRef>
          </c:xVal>
          <c:yVal>
            <c:numRef>
              <c:f>Sheet1!$W$2:$W$27</c:f>
              <c:numCache>
                <c:formatCode>General</c:formatCode>
                <c:ptCount val="26"/>
                <c:pt idx="0">
                  <c:v>16744.260611480859</c:v>
                </c:pt>
                <c:pt idx="1">
                  <c:v>15967.657353949993</c:v>
                </c:pt>
                <c:pt idx="2">
                  <c:v>15352.096961172363</c:v>
                </c:pt>
                <c:pt idx="3">
                  <c:v>14861.463493400215</c:v>
                </c:pt>
                <c:pt idx="4">
                  <c:v>14470.311413717809</c:v>
                </c:pt>
                <c:pt idx="5">
                  <c:v>14160.266192232424</c:v>
                </c:pt>
                <c:pt idx="6">
                  <c:v>13917.798621974849</c:v>
                </c:pt>
                <c:pt idx="7">
                  <c:v>13732.799176634095</c:v>
                </c:pt>
                <c:pt idx="8">
                  <c:v>13597.637375949491</c:v>
                </c:pt>
                <c:pt idx="9">
                  <c:v>13506.525634567288</c:v>
                </c:pt>
                <c:pt idx="10">
                  <c:v>13455.080307355955</c:v>
                </c:pt>
                <c:pt idx="11">
                  <c:v>13440.014143496936</c:v>
                </c:pt>
                <c:pt idx="12">
                  <c:v>13458.918722779392</c:v>
                </c:pt>
                <c:pt idx="13">
                  <c:v>13510.110213341064</c:v>
                </c:pt>
                <c:pt idx="14">
                  <c:v>13592.521013125486</c:v>
                </c:pt>
                <c:pt idx="15">
                  <c:v>13705.625773138132</c:v>
                </c:pt>
                <c:pt idx="16">
                  <c:v>13849.394246790567</c:v>
                </c:pt>
                <c:pt idx="17">
                  <c:v>14024.266137799355</c:v>
                </c:pt>
                <c:pt idx="18">
                  <c:v>14231.145105346575</c:v>
                </c:pt>
                <c:pt idx="19">
                  <c:v>14471.410637822797</c:v>
                </c:pt>
                <c:pt idx="20">
                  <c:v>14746.947839971925</c:v>
                </c:pt>
                <c:pt idx="21">
                  <c:v>15060.196459172044</c:v>
                </c:pt>
                <c:pt idx="22">
                  <c:v>15414.221855270307</c:v>
                </c:pt>
                <c:pt idx="23">
                  <c:v>15812.812255550227</c:v>
                </c:pt>
                <c:pt idx="24">
                  <c:v>16260.60873099291</c:v>
                </c:pt>
                <c:pt idx="25">
                  <c:v>16763.277155223746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59936"/>
        <c:axId val="398118384"/>
      </c:scatterChart>
      <c:valAx>
        <c:axId val="3981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119504"/>
        <c:crosses val="autoZero"/>
        <c:crossBetween val="midCat"/>
      </c:valAx>
      <c:valAx>
        <c:axId val="3981195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98118944"/>
        <c:crosses val="autoZero"/>
        <c:crossBetween val="midCat"/>
      </c:valAx>
      <c:valAx>
        <c:axId val="39811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6559936"/>
        <c:crosses val="max"/>
        <c:crossBetween val="midCat"/>
      </c:valAx>
      <c:valAx>
        <c:axId val="45655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0"/>
          <c:order val="0"/>
          <c:tx>
            <c:strRef>
              <c:f>Sheet1!$AA$1</c:f>
              <c:strCache>
                <c:ptCount val="1"/>
                <c:pt idx="0">
                  <c:v>p_piston</c:v>
                </c:pt>
              </c:strCache>
            </c:strRef>
          </c:tx>
          <c:marker>
            <c:symbol val="none"/>
          </c:marker>
          <c:xVal>
            <c:numRef>
              <c:f>Sheet1!$F$2:$F$27</c:f>
              <c:numCache>
                <c:formatCode>General</c:formatCode>
                <c:ptCount val="2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</c:numCache>
            </c:numRef>
          </c:xVal>
          <c:yVal>
            <c:numRef>
              <c:f>Sheet1!$AA$2:$AA$27</c:f>
              <c:numCache>
                <c:formatCode>General</c:formatCode>
                <c:ptCount val="26"/>
                <c:pt idx="0">
                  <c:v>72.893777154749316</c:v>
                </c:pt>
                <c:pt idx="1">
                  <c:v>71.949543100778357</c:v>
                </c:pt>
                <c:pt idx="2">
                  <c:v>71.179164856289432</c:v>
                </c:pt>
                <c:pt idx="3">
                  <c:v>70.54095045455756</c:v>
                </c:pt>
                <c:pt idx="4">
                  <c:v>70.003925377111372</c:v>
                </c:pt>
                <c:pt idx="5">
                  <c:v>69.544450810420017</c:v>
                </c:pt>
                <c:pt idx="6">
                  <c:v>69.144045723914672</c:v>
                </c:pt>
                <c:pt idx="7">
                  <c:v>68.787936068075112</c:v>
                </c:pt>
                <c:pt idx="8">
                  <c:v>68.464059316639649</c:v>
                </c:pt>
                <c:pt idx="9">
                  <c:v>68.162363050314923</c:v>
                </c:pt>
                <c:pt idx="10">
                  <c:v>67.874298434693145</c:v>
                </c:pt>
                <c:pt idx="11">
                  <c:v>67.592445727450354</c:v>
                </c:pt>
                <c:pt idx="12">
                  <c:v>67.310230815179125</c:v>
                </c:pt>
                <c:pt idx="13">
                  <c:v>67.021705323840621</c:v>
                </c:pt>
                <c:pt idx="14">
                  <c:v>66.721371432061986</c:v>
                </c:pt>
                <c:pt idx="15">
                  <c:v>66.404038058800523</c:v>
                </c:pt>
                <c:pt idx="16">
                  <c:v>66.064698717090621</c:v>
                </c:pt>
                <c:pt idx="17">
                  <c:v>65.698423693992666</c:v>
                </c:pt>
                <c:pt idx="18">
                  <c:v>65.300260739993632</c:v>
                </c:pt>
                <c:pt idx="19">
                  <c:v>64.865139375493044</c:v>
                </c:pt>
                <c:pt idx="20">
                  <c:v>64.387774392613508</c:v>
                </c:pt>
                <c:pt idx="21">
                  <c:v>63.862564223358376</c:v>
                </c:pt>
                <c:pt idx="22">
                  <c:v>63.283479583798268</c:v>
                </c:pt>
                <c:pt idx="23">
                  <c:v>62.643937165936507</c:v>
                </c:pt>
                <c:pt idx="24">
                  <c:v>61.936652062420521</c:v>
                </c:pt>
                <c:pt idx="25">
                  <c:v>61.153460941046554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90656"/>
        <c:axId val="339896688"/>
      </c:scatterChart>
      <c:valAx>
        <c:axId val="3410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896688"/>
        <c:crosses val="autoZero"/>
        <c:crossBetween val="midCat"/>
      </c:valAx>
      <c:valAx>
        <c:axId val="33989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09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528637</xdr:colOff>
      <xdr:row>5</xdr:row>
      <xdr:rowOff>114300</xdr:rowOff>
    </xdr:from>
    <xdr:to>
      <xdr:col>22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17</xdr:row>
      <xdr:rowOff>133350</xdr:rowOff>
    </xdr:from>
    <xdr:to>
      <xdr:col>20</xdr:col>
      <xdr:colOff>485775</xdr:colOff>
      <xdr:row>25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3</xdr:row>
      <xdr:rowOff>66675</xdr:rowOff>
    </xdr:from>
    <xdr:to>
      <xdr:col>14</xdr:col>
      <xdr:colOff>400050</xdr:colOff>
      <xdr:row>10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404812</xdr:colOff>
      <xdr:row>12</xdr:row>
      <xdr:rowOff>47625</xdr:rowOff>
    </xdr:from>
    <xdr:to>
      <xdr:col>14</xdr:col>
      <xdr:colOff>485775</xdr:colOff>
      <xdr:row>22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tabSelected="1" workbookViewId="0">
      <selection activeCell="O35" sqref="O35"/>
    </sheetView>
  </sheetViews>
  <sheetFormatPr defaultRowHeight="15" x14ac:dyDescent="0.25"/>
  <cols>
    <col min="2" max="2" width="13.5703125" customWidth="1"/>
    <col min="3" max="3" width="12" bestFit="1" customWidth="1"/>
    <col min="4" max="4" width="6.28515625" customWidth="1"/>
    <col min="5" max="5" width="2.7109375" customWidth="1"/>
    <col min="6" max="6" width="5.85546875" customWidth="1"/>
    <col min="7" max="7" width="9" customWidth="1"/>
    <col min="8" max="8" width="7.5703125" customWidth="1"/>
    <col min="10" max="10" width="13.5703125" bestFit="1" customWidth="1"/>
    <col min="29" max="29" width="11.42578125" bestFit="1" customWidth="1"/>
    <col min="30" max="30" width="11" bestFit="1" customWidth="1"/>
    <col min="32" max="32" width="10" customWidth="1"/>
    <col min="40" max="40" width="11" bestFit="1" customWidth="1"/>
  </cols>
  <sheetData>
    <row r="1" spans="1:42" x14ac:dyDescent="0.25">
      <c r="A1" t="s">
        <v>71</v>
      </c>
      <c r="B1" t="s">
        <v>0</v>
      </c>
      <c r="C1">
        <v>327.5</v>
      </c>
      <c r="D1" t="s">
        <v>1</v>
      </c>
      <c r="F1" t="s">
        <v>19</v>
      </c>
      <c r="G1" t="s">
        <v>18</v>
      </c>
      <c r="H1" t="s">
        <v>27</v>
      </c>
      <c r="I1" t="s">
        <v>34</v>
      </c>
      <c r="J1" t="s">
        <v>38</v>
      </c>
      <c r="K1" t="s">
        <v>35</v>
      </c>
      <c r="L1" t="s">
        <v>39</v>
      </c>
      <c r="M1" t="s">
        <v>36</v>
      </c>
      <c r="N1" t="s">
        <v>40</v>
      </c>
      <c r="O1" t="s">
        <v>42</v>
      </c>
      <c r="P1" s="2" t="s">
        <v>44</v>
      </c>
      <c r="Q1" t="s">
        <v>47</v>
      </c>
      <c r="R1" t="s">
        <v>48</v>
      </c>
      <c r="S1" t="s">
        <v>41</v>
      </c>
      <c r="T1" t="s">
        <v>43</v>
      </c>
      <c r="U1" t="s">
        <v>45</v>
      </c>
      <c r="V1" t="s">
        <v>46</v>
      </c>
      <c r="W1" t="s">
        <v>49</v>
      </c>
      <c r="X1" t="s">
        <v>50</v>
      </c>
      <c r="Y1" t="s">
        <v>55</v>
      </c>
      <c r="Z1" t="s">
        <v>56</v>
      </c>
      <c r="AA1" t="s">
        <v>59</v>
      </c>
      <c r="AB1" t="s">
        <v>60</v>
      </c>
      <c r="AC1" t="s">
        <v>62</v>
      </c>
      <c r="AD1" t="s">
        <v>63</v>
      </c>
      <c r="AF1" t="s">
        <v>101</v>
      </c>
      <c r="AG1" t="s">
        <v>102</v>
      </c>
      <c r="AH1" t="s">
        <v>105</v>
      </c>
      <c r="AI1" t="s">
        <v>106</v>
      </c>
      <c r="AJ1" t="s">
        <v>103</v>
      </c>
      <c r="AK1" t="s">
        <v>104</v>
      </c>
      <c r="AL1" t="s">
        <v>70</v>
      </c>
      <c r="AM1" t="s">
        <v>84</v>
      </c>
      <c r="AN1" t="s">
        <v>86</v>
      </c>
      <c r="AP1" t="s">
        <v>96</v>
      </c>
    </row>
    <row r="2" spans="1:42" x14ac:dyDescent="0.25">
      <c r="B2" t="s">
        <v>23</v>
      </c>
      <c r="C2">
        <v>3.6</v>
      </c>
      <c r="D2" t="s">
        <v>2</v>
      </c>
      <c r="F2">
        <v>0</v>
      </c>
      <c r="G2" s="1">
        <f>$C$25*$C$21^2/($C$26+F2*$C$21)+$C$25*($C$23*$C$21)^2/(($C$24-F2)*$C$23*$C$21+$C$26)</f>
        <v>59084305.798815064</v>
      </c>
      <c r="H2">
        <f t="shared" ref="H2:H27" si="0">F2+0.272+$C$24</f>
        <v>0.77200000000000002</v>
      </c>
      <c r="I2">
        <f t="shared" ref="I2:I27" si="1">ACOS(($C$34^2+$C$35^2-H2^2)/(2*$C$34*$C$35))</f>
        <v>0.65260513373449525</v>
      </c>
      <c r="J2">
        <f>I2*180/PI()</f>
        <v>37.391519851557241</v>
      </c>
      <c r="K2">
        <f t="shared" ref="K2:K27" si="2">ACOS(($C$34^2-$C$35^2+H2^2)/(2*$C$34*H2))</f>
        <v>0.45787626545763849</v>
      </c>
      <c r="L2">
        <f>K2*180/PI()</f>
        <v>26.234377549934404</v>
      </c>
      <c r="M2">
        <f>PI()-I2-K2</f>
        <v>2.0311112543976595</v>
      </c>
      <c r="N2">
        <f>M2*180/PI()</f>
        <v>116.37410259850836</v>
      </c>
      <c r="O2">
        <f t="shared" ref="O2:O27" si="3">$C$37+I2+$C$36-PI()/2</f>
        <v>-0.2859494656053414</v>
      </c>
      <c r="P2" s="2">
        <f>O2*180/PI()</f>
        <v>-16.383697533207357</v>
      </c>
      <c r="Q2">
        <f t="shared" ref="Q2:Q27" si="4">PI()/2-(K2-$C$37)</f>
        <v>1.5062253482061545</v>
      </c>
      <c r="R2">
        <f>Q2*180/PI()</f>
        <v>86.300355447835472</v>
      </c>
      <c r="S2">
        <f t="shared" ref="S2:S27" si="5">$C$37+I2-PI()/2</f>
        <v>-0.52488590619150477</v>
      </c>
      <c r="T2">
        <f>S2*180/PI()</f>
        <v>-30.073747150672869</v>
      </c>
      <c r="U2">
        <f>S2+PI()/2-Q2</f>
        <v>-0.46031492760276271</v>
      </c>
      <c r="V2">
        <f t="shared" ref="V2:V27" si="6">U2*180/PI()</f>
        <v>-26.374102598508344</v>
      </c>
      <c r="W2">
        <f t="shared" ref="W2:W27" si="7">$C$1*($C$2/($C$35*COS(U2)))^2</f>
        <v>16744.260611480859</v>
      </c>
      <c r="X2" s="4">
        <f>1/(2*PI())*SQRT(G2/W2)</f>
        <v>9.4541657667361374</v>
      </c>
      <c r="Y2">
        <f>SIN(O2)*$C$2</f>
        <v>-1.0154465645787469</v>
      </c>
      <c r="Z2">
        <f>(COS(O2)*($C$2-0.08)*$C$48*($C$1+0.5*$C$12)/(COS(U2)*$C$35))</f>
        <v>24188.394850937166</v>
      </c>
      <c r="AA2">
        <f t="shared" ref="AA2:AA27" si="8">Z2/$C$21*0.00001</f>
        <v>72.893777154749316</v>
      </c>
      <c r="AB2" s="1">
        <f t="shared" ref="AB2:AB27" si="9">PI()^2*$C$13*$C$27/$H2^2</f>
        <v>256168.96615798233</v>
      </c>
      <c r="AC2" s="3">
        <f>AB2/Z2</f>
        <v>10.590573195809114</v>
      </c>
      <c r="AD2">
        <f t="shared" ref="AD2:AD27" si="10">SQRT(0.5*(((($C$10+$G2)*$C$17)+$C$10*$W2)/($W2*$C$17))+0.5*((((($C$10+$G2)*$C$17)+$C$10*$W2)/($W2*$C$17))^2-4*((($G2+$C$10)*$C$10-$C$10^2)/($C$17*$W2)))^(0.5))/(2*PI())</f>
        <v>9.4695440473978252</v>
      </c>
      <c r="AE2">
        <f t="shared" ref="AE2:AE27" si="11">SQRT(0.5*(((($C$10+$G2)*$C$17)+$C$10*$W2)/($W2*$C$17))-0.5*((((($C$10+$G2)*$C$17)+$C$10*$W2)/($W2*$C$17))^2-4*((($G2+$C$10)*$C$10-$C$10^2)/($C$17*$W2)))^(0.5))/(2*PI())</f>
        <v>3.4938828406228306</v>
      </c>
      <c r="AF2">
        <f>-Z2*COS(R2*PI()/180)</f>
        <v>-1560.7832070209863</v>
      </c>
      <c r="AG2">
        <f t="shared" ref="AG2:AG27" si="12">-Z2*SIN(R2*PI()/180)+$C$48*($C$1+$C$12)</f>
        <v>-20138.484217034525</v>
      </c>
      <c r="AH2">
        <f>-AF2</f>
        <v>1560.7832070209863</v>
      </c>
      <c r="AI2">
        <f>-AG2</f>
        <v>20138.484217034525</v>
      </c>
      <c r="AJ2">
        <f>-Z2*COS(R2*PI()/180)</f>
        <v>-1560.7832070209863</v>
      </c>
      <c r="AK2">
        <f>-Z2*SIN(R2*PI()/180)</f>
        <v>-24137.986685834527</v>
      </c>
      <c r="AL2">
        <f>(AJ2*$C$41-AK2*$C$40+AH2*$C$43-AI2*$C$42+$C$48*$C$46*$C$44)/$C$45</f>
        <v>8018.9993935967495</v>
      </c>
      <c r="AM2">
        <f>-AI2-AK2-AL2+$C$48*$C$46</f>
        <v>1817.4530752032524</v>
      </c>
      <c r="AN2" s="5">
        <f>SQRT(AF2^2+AG2^2)</f>
        <v>20198.875978109954</v>
      </c>
      <c r="AP2">
        <f>SQRT(AJ2^2+AK2^2)</f>
        <v>24188.394850937166</v>
      </c>
    </row>
    <row r="3" spans="1:42" x14ac:dyDescent="0.25">
      <c r="B3" t="s">
        <v>22</v>
      </c>
      <c r="C3">
        <f>1/12*(C5*C6^3-(C5-2*C7)*(C6-2*C7)^3)</f>
        <v>8.8524720000000072E-6</v>
      </c>
      <c r="D3" t="s">
        <v>7</v>
      </c>
      <c r="F3">
        <f>F2+0.02</f>
        <v>0.02</v>
      </c>
      <c r="G3" s="1">
        <f t="shared" ref="G3:G27" si="13">$C$25*$C$21^2/($C$26+F3*$C$21)+$C$25*($C$23*$C$21)^2/(($C$24-F3)*$C$23*$C$21+$C$26)</f>
        <v>45509569.856351174</v>
      </c>
      <c r="H3">
        <f t="shared" si="0"/>
        <v>0.79200000000000004</v>
      </c>
      <c r="I3">
        <f t="shared" si="1"/>
        <v>0.69184670295564388</v>
      </c>
      <c r="J3">
        <f t="shared" ref="J3:J27" si="14">I3*180/PI()</f>
        <v>39.639896149399533</v>
      </c>
      <c r="K3">
        <f t="shared" si="2"/>
        <v>0.46975309930140097</v>
      </c>
      <c r="L3">
        <f t="shared" ref="L3:L27" si="15">K3*180/PI()</f>
        <v>26.914870003160136</v>
      </c>
      <c r="M3">
        <f t="shared" ref="M3:M27" si="16">PI()-I3-K3</f>
        <v>1.9799928513327483</v>
      </c>
      <c r="N3">
        <f t="shared" ref="N3:N27" si="17">M3*180/PI()</f>
        <v>113.44523384744033</v>
      </c>
      <c r="O3">
        <f t="shared" si="3"/>
        <v>-0.24670789638419288</v>
      </c>
      <c r="P3" s="2">
        <f t="shared" ref="P3:P27" si="18">O3*180/PI()</f>
        <v>-14.135321235365074</v>
      </c>
      <c r="Q3">
        <f t="shared" si="4"/>
        <v>1.494348514362392</v>
      </c>
      <c r="R3">
        <f t="shared" ref="R3:R27" si="19">Q3*180/PI()</f>
        <v>85.619862994609747</v>
      </c>
      <c r="S3">
        <f t="shared" si="5"/>
        <v>-0.48564433697035625</v>
      </c>
      <c r="T3">
        <f t="shared" ref="T3:T27" si="20">S3*180/PI()</f>
        <v>-27.825370852830584</v>
      </c>
      <c r="U3">
        <f t="shared" ref="U3:U27" si="21">S3+PI()/2-Q3</f>
        <v>-0.40919652453785171</v>
      </c>
      <c r="V3">
        <f t="shared" si="6"/>
        <v>-23.445233847440331</v>
      </c>
      <c r="W3">
        <f t="shared" si="7"/>
        <v>15967.657353949993</v>
      </c>
      <c r="X3" s="4">
        <f t="shared" ref="X3:X27" si="22">1/(2*PI())*SQRT(G3/W3)</f>
        <v>8.4967119371719395</v>
      </c>
      <c r="Y3">
        <f t="shared" ref="Y3:Y27" si="23">SIN(O3)*$C$2</f>
        <v>-0.87916631131856093</v>
      </c>
      <c r="Z3">
        <f t="shared" ref="Z3:Z27" si="24">(COS(O3)*($C$2-0.08)*$C$48*($C$1+0.5*$C$12)/(COS(U3)*$C$35))</f>
        <v>23875.068981149077</v>
      </c>
      <c r="AA3">
        <f t="shared" si="8"/>
        <v>71.949543100778357</v>
      </c>
      <c r="AB3" s="1">
        <f t="shared" si="9"/>
        <v>243394.49598047865</v>
      </c>
      <c r="AC3" s="3">
        <f t="shared" ref="AC3:AC27" si="25">AB3/Z3</f>
        <v>10.194504408454462</v>
      </c>
      <c r="AD3">
        <f t="shared" si="10"/>
        <v>8.5153479151516969</v>
      </c>
      <c r="AE3">
        <f t="shared" si="11"/>
        <v>3.4919071827718557</v>
      </c>
      <c r="AF3">
        <f t="shared" ref="AF3:AF27" si="26">-Z3*COS(R3*PI()/180)</f>
        <v>-1823.4194915035921</v>
      </c>
      <c r="AG3">
        <f t="shared" si="12"/>
        <v>-19805.834332275335</v>
      </c>
      <c r="AH3">
        <f t="shared" ref="AH3:AH27" si="27">-AF3</f>
        <v>1823.4194915035921</v>
      </c>
      <c r="AI3">
        <f t="shared" ref="AI3:AI27" si="28">-AG3</f>
        <v>19805.834332275335</v>
      </c>
      <c r="AJ3">
        <f t="shared" ref="AJ3:AJ27" si="29">-Z3*COS(R3*PI()/180)</f>
        <v>-1823.4194915035921</v>
      </c>
      <c r="AK3">
        <f t="shared" ref="AK3:AK27" si="30">-Z3*SIN(R3*PI()/180)</f>
        <v>-23805.336801075337</v>
      </c>
      <c r="AL3">
        <f t="shared" ref="AL3:AL27" si="31">(AJ3*$C$41-AK3*$C$40+AH3*$C$43-AI3*$C$42+$C$48*$C$46*$C$44)/$C$45</f>
        <v>8078.5865284050742</v>
      </c>
      <c r="AM3">
        <f t="shared" ref="AM3:AM27" si="32">-AI3-AK3-AL3+$C$48*$C$46</f>
        <v>1757.8659403949277</v>
      </c>
      <c r="AN3" s="5">
        <f t="shared" ref="AN3:AN27" si="33">SQRT(AF3^2+AG3^2)</f>
        <v>19889.593566474192</v>
      </c>
      <c r="AP3">
        <f t="shared" ref="AP3:AP27" si="34">SQRT(AJ3^2+AK3^2)</f>
        <v>23875.068981149077</v>
      </c>
    </row>
    <row r="4" spans="1:42" x14ac:dyDescent="0.25">
      <c r="B4" t="s">
        <v>14</v>
      </c>
      <c r="C4">
        <f>C5*C6-(C5-2*C7)*(C6-2*C7)</f>
        <v>2.8559999999999992E-3</v>
      </c>
      <c r="D4" t="s">
        <v>13</v>
      </c>
      <c r="F4">
        <f t="shared" ref="F4:F25" si="35">F3+0.02</f>
        <v>0.04</v>
      </c>
      <c r="G4" s="1">
        <f t="shared" si="13"/>
        <v>37417383.980066739</v>
      </c>
      <c r="H4">
        <f t="shared" si="0"/>
        <v>0.81200000000000006</v>
      </c>
      <c r="I4">
        <f t="shared" si="1"/>
        <v>0.73024805398034165</v>
      </c>
      <c r="J4">
        <f t="shared" si="14"/>
        <v>41.840131490715095</v>
      </c>
      <c r="K4">
        <f t="shared" si="2"/>
        <v>0.47985667669887944</v>
      </c>
      <c r="L4">
        <f t="shared" si="15"/>
        <v>27.493762346019423</v>
      </c>
      <c r="M4">
        <f t="shared" si="16"/>
        <v>1.9314879229105721</v>
      </c>
      <c r="N4">
        <f t="shared" si="17"/>
        <v>110.6661061632655</v>
      </c>
      <c r="O4">
        <f t="shared" si="3"/>
        <v>-0.208306545359495</v>
      </c>
      <c r="P4" s="2">
        <f t="shared" si="18"/>
        <v>-11.935085894049507</v>
      </c>
      <c r="Q4">
        <f t="shared" si="4"/>
        <v>1.4842449369649136</v>
      </c>
      <c r="R4">
        <f t="shared" si="19"/>
        <v>85.040970651750456</v>
      </c>
      <c r="S4">
        <f t="shared" si="5"/>
        <v>-0.44724298594565837</v>
      </c>
      <c r="T4">
        <f t="shared" si="20"/>
        <v>-25.625135511515019</v>
      </c>
      <c r="U4">
        <f t="shared" si="21"/>
        <v>-0.36069159611567536</v>
      </c>
      <c r="V4">
        <f t="shared" si="6"/>
        <v>-20.666106163265479</v>
      </c>
      <c r="W4">
        <f t="shared" si="7"/>
        <v>15352.096961172363</v>
      </c>
      <c r="X4" s="4">
        <f t="shared" si="22"/>
        <v>7.857293747115194</v>
      </c>
      <c r="Y4">
        <f t="shared" si="23"/>
        <v>-0.74449206265406165</v>
      </c>
      <c r="Z4">
        <f t="shared" si="24"/>
        <v>23619.43381049918</v>
      </c>
      <c r="AA4">
        <f t="shared" si="8"/>
        <v>71.179164856289432</v>
      </c>
      <c r="AB4" s="1">
        <f t="shared" si="9"/>
        <v>231552.27791061866</v>
      </c>
      <c r="AC4" s="3">
        <f t="shared" si="25"/>
        <v>9.8034643746494172</v>
      </c>
      <c r="AD4">
        <f t="shared" si="10"/>
        <v>7.8789893596661154</v>
      </c>
      <c r="AE4">
        <f t="shared" si="11"/>
        <v>3.4899296229629311</v>
      </c>
      <c r="AF4">
        <f t="shared" si="26"/>
        <v>-2041.7434282897586</v>
      </c>
      <c r="AG4">
        <f t="shared" si="12"/>
        <v>-19531.518276199298</v>
      </c>
      <c r="AH4">
        <f t="shared" si="27"/>
        <v>2041.7434282897586</v>
      </c>
      <c r="AI4">
        <f t="shared" si="28"/>
        <v>19531.518276199298</v>
      </c>
      <c r="AJ4">
        <f t="shared" si="29"/>
        <v>-2041.7434282897586</v>
      </c>
      <c r="AK4">
        <f t="shared" si="30"/>
        <v>-23531.020744999299</v>
      </c>
      <c r="AL4">
        <f t="shared" si="31"/>
        <v>8128.5582661422823</v>
      </c>
      <c r="AM4">
        <f t="shared" si="32"/>
        <v>1707.8942026577197</v>
      </c>
      <c r="AN4" s="5">
        <f t="shared" si="33"/>
        <v>19637.94598221697</v>
      </c>
      <c r="AP4">
        <f t="shared" si="34"/>
        <v>23619.43381049918</v>
      </c>
    </row>
    <row r="5" spans="1:42" x14ac:dyDescent="0.25">
      <c r="B5" t="s">
        <v>4</v>
      </c>
      <c r="C5">
        <v>0.1</v>
      </c>
      <c r="D5" t="s">
        <v>2</v>
      </c>
      <c r="F5">
        <f t="shared" si="35"/>
        <v>0.06</v>
      </c>
      <c r="G5" s="1">
        <f t="shared" si="13"/>
        <v>32079086.067942653</v>
      </c>
      <c r="H5">
        <f t="shared" si="0"/>
        <v>0.83200000000000007</v>
      </c>
      <c r="I5">
        <f t="shared" si="1"/>
        <v>0.76796794682276193</v>
      </c>
      <c r="J5">
        <f t="shared" si="14"/>
        <v>44.001322154271492</v>
      </c>
      <c r="K5">
        <f t="shared" si="2"/>
        <v>0.48839666813317684</v>
      </c>
      <c r="L5">
        <f t="shared" si="15"/>
        <v>27.983067812282538</v>
      </c>
      <c r="M5">
        <f t="shared" si="16"/>
        <v>1.8852280386338542</v>
      </c>
      <c r="N5">
        <f t="shared" si="17"/>
        <v>108.01561003344595</v>
      </c>
      <c r="O5">
        <f t="shared" si="3"/>
        <v>-0.17058665251707472</v>
      </c>
      <c r="P5" s="2">
        <f t="shared" si="18"/>
        <v>-9.7738952304931033</v>
      </c>
      <c r="Q5">
        <f t="shared" si="4"/>
        <v>1.4757049455306162</v>
      </c>
      <c r="R5">
        <f t="shared" si="19"/>
        <v>84.551665185487337</v>
      </c>
      <c r="S5">
        <f t="shared" si="5"/>
        <v>-0.40952309310323809</v>
      </c>
      <c r="T5">
        <f t="shared" si="20"/>
        <v>-23.463944847958615</v>
      </c>
      <c r="U5">
        <f t="shared" si="21"/>
        <v>-0.31443171183895768</v>
      </c>
      <c r="V5">
        <f t="shared" si="6"/>
        <v>-18.015610033445956</v>
      </c>
      <c r="W5">
        <f t="shared" si="7"/>
        <v>14861.463493400215</v>
      </c>
      <c r="X5" s="4">
        <f t="shared" si="22"/>
        <v>7.3943556551802567</v>
      </c>
      <c r="Y5">
        <f t="shared" si="23"/>
        <v>-0.61113785653847286</v>
      </c>
      <c r="Z5">
        <f t="shared" si="24"/>
        <v>23407.654663482659</v>
      </c>
      <c r="AA5">
        <f t="shared" si="8"/>
        <v>70.54095045455756</v>
      </c>
      <c r="AB5" s="1">
        <f t="shared" si="9"/>
        <v>220553.75879296142</v>
      </c>
      <c r="AC5" s="3">
        <f t="shared" si="25"/>
        <v>9.4222920648704918</v>
      </c>
      <c r="AD5">
        <f t="shared" si="10"/>
        <v>7.4189364294568545</v>
      </c>
      <c r="AE5">
        <f t="shared" si="11"/>
        <v>3.4879711109683718</v>
      </c>
      <c r="AF5">
        <f t="shared" si="26"/>
        <v>-2222.5132124813504</v>
      </c>
      <c r="AG5">
        <f t="shared" si="12"/>
        <v>-19302.401570681563</v>
      </c>
      <c r="AH5">
        <f t="shared" si="27"/>
        <v>2222.5132124813504</v>
      </c>
      <c r="AI5">
        <f t="shared" si="28"/>
        <v>19302.401570681563</v>
      </c>
      <c r="AJ5">
        <f t="shared" si="29"/>
        <v>-2222.5132124813504</v>
      </c>
      <c r="AK5">
        <f t="shared" si="30"/>
        <v>-23301.904039481564</v>
      </c>
      <c r="AL5">
        <f t="shared" si="31"/>
        <v>8169.5402529654939</v>
      </c>
      <c r="AM5">
        <f t="shared" si="32"/>
        <v>1666.9122158345081</v>
      </c>
      <c r="AN5" s="5">
        <f t="shared" si="33"/>
        <v>19429.932356431513</v>
      </c>
      <c r="AP5">
        <f t="shared" si="34"/>
        <v>23407.654663482655</v>
      </c>
    </row>
    <row r="6" spans="1:42" x14ac:dyDescent="0.25">
      <c r="B6" t="s">
        <v>5</v>
      </c>
      <c r="C6">
        <v>0.15</v>
      </c>
      <c r="D6" t="s">
        <v>2</v>
      </c>
      <c r="F6">
        <f t="shared" si="35"/>
        <v>0.08</v>
      </c>
      <c r="G6" s="1">
        <f t="shared" si="13"/>
        <v>28323101.672266856</v>
      </c>
      <c r="H6">
        <f t="shared" si="0"/>
        <v>0.85200000000000009</v>
      </c>
      <c r="I6">
        <f t="shared" si="1"/>
        <v>0.80513538784845595</v>
      </c>
      <c r="J6">
        <f t="shared" si="14"/>
        <v>46.130859660345152</v>
      </c>
      <c r="K6">
        <f t="shared" si="2"/>
        <v>0.49554370395566227</v>
      </c>
      <c r="L6">
        <f t="shared" si="15"/>
        <v>28.392562800939764</v>
      </c>
      <c r="M6">
        <f t="shared" si="16"/>
        <v>1.8409135617856749</v>
      </c>
      <c r="N6">
        <f t="shared" si="17"/>
        <v>105.47657753871508</v>
      </c>
      <c r="O6">
        <f t="shared" si="3"/>
        <v>-0.13341921149138081</v>
      </c>
      <c r="P6" s="2">
        <f t="shared" si="18"/>
        <v>-7.6443577244194545</v>
      </c>
      <c r="Q6">
        <f t="shared" si="4"/>
        <v>1.4685579097081307</v>
      </c>
      <c r="R6">
        <f t="shared" si="19"/>
        <v>84.142170196830122</v>
      </c>
      <c r="S6">
        <f t="shared" si="5"/>
        <v>-0.37235565207754417</v>
      </c>
      <c r="T6">
        <f t="shared" si="20"/>
        <v>-21.334407341884962</v>
      </c>
      <c r="U6">
        <f t="shared" si="21"/>
        <v>-0.27011723499077833</v>
      </c>
      <c r="V6">
        <f t="shared" si="6"/>
        <v>-15.47657753871508</v>
      </c>
      <c r="W6">
        <f t="shared" si="7"/>
        <v>14470.311413717809</v>
      </c>
      <c r="X6" s="4">
        <f t="shared" si="22"/>
        <v>7.0412797391949011</v>
      </c>
      <c r="Y6">
        <f t="shared" si="23"/>
        <v>-0.47888545701194229</v>
      </c>
      <c r="Z6">
        <f t="shared" si="24"/>
        <v>23229.453243208511</v>
      </c>
      <c r="AA6">
        <f t="shared" si="8"/>
        <v>70.003925377111372</v>
      </c>
      <c r="AB6" s="1">
        <f t="shared" si="9"/>
        <v>210320.65552290514</v>
      </c>
      <c r="AC6" s="3">
        <f t="shared" si="25"/>
        <v>9.054051049797982</v>
      </c>
      <c r="AD6">
        <f t="shared" si="10"/>
        <v>7.0685771676641167</v>
      </c>
      <c r="AE6">
        <f t="shared" si="11"/>
        <v>3.4860514174740529</v>
      </c>
      <c r="AF6">
        <f t="shared" si="26"/>
        <v>-2370.8072666407088</v>
      </c>
      <c r="AG6">
        <f t="shared" si="12"/>
        <v>-19108.651306066004</v>
      </c>
      <c r="AH6">
        <f t="shared" si="27"/>
        <v>2370.8072666407088</v>
      </c>
      <c r="AI6">
        <f t="shared" si="28"/>
        <v>19108.651306066004</v>
      </c>
      <c r="AJ6">
        <f t="shared" si="29"/>
        <v>-2370.8072666407088</v>
      </c>
      <c r="AK6">
        <f t="shared" si="30"/>
        <v>-23108.153774866005</v>
      </c>
      <c r="AL6">
        <f t="shared" si="31"/>
        <v>8202.0099595431984</v>
      </c>
      <c r="AM6">
        <f t="shared" si="32"/>
        <v>1634.4425092568035</v>
      </c>
      <c r="AN6" s="5">
        <f t="shared" si="33"/>
        <v>19255.162472240383</v>
      </c>
      <c r="AP6">
        <f t="shared" si="34"/>
        <v>23229.453243208511</v>
      </c>
    </row>
    <row r="7" spans="1:42" x14ac:dyDescent="0.25">
      <c r="B7" t="s">
        <v>6</v>
      </c>
      <c r="C7">
        <v>6.0000000000000001E-3</v>
      </c>
      <c r="D7" t="s">
        <v>2</v>
      </c>
      <c r="F7">
        <f t="shared" si="35"/>
        <v>0.1</v>
      </c>
      <c r="G7" s="1">
        <f t="shared" si="13"/>
        <v>25563571.40668064</v>
      </c>
      <c r="H7">
        <f t="shared" si="0"/>
        <v>0.872</v>
      </c>
      <c r="I7">
        <f t="shared" si="1"/>
        <v>0.84185742046774703</v>
      </c>
      <c r="J7">
        <f t="shared" si="14"/>
        <v>48.234877144572273</v>
      </c>
      <c r="K7">
        <f t="shared" si="2"/>
        <v>0.50143866083327238</v>
      </c>
      <c r="L7">
        <f t="shared" si="15"/>
        <v>28.730318950438441</v>
      </c>
      <c r="M7">
        <f t="shared" si="16"/>
        <v>1.7982965722887738</v>
      </c>
      <c r="N7">
        <f t="shared" si="17"/>
        <v>103.03480390498929</v>
      </c>
      <c r="O7">
        <f t="shared" si="3"/>
        <v>-9.6697178872089617E-2</v>
      </c>
      <c r="P7" s="2">
        <f t="shared" si="18"/>
        <v>-5.5403402401923287</v>
      </c>
      <c r="Q7">
        <f t="shared" si="4"/>
        <v>1.4626629528305206</v>
      </c>
      <c r="R7">
        <f t="shared" si="19"/>
        <v>83.804414047331434</v>
      </c>
      <c r="S7">
        <f t="shared" si="5"/>
        <v>-0.33563361945825299</v>
      </c>
      <c r="T7">
        <f t="shared" si="20"/>
        <v>-19.23038985765784</v>
      </c>
      <c r="U7">
        <f t="shared" si="21"/>
        <v>-0.22750024549387704</v>
      </c>
      <c r="V7">
        <f t="shared" si="6"/>
        <v>-13.03480390498928</v>
      </c>
      <c r="W7">
        <f t="shared" si="7"/>
        <v>14160.266192232424</v>
      </c>
      <c r="X7" s="4">
        <f t="shared" si="22"/>
        <v>6.7623117244344799</v>
      </c>
      <c r="Y7">
        <f t="shared" si="23"/>
        <v>-0.34756760635194001</v>
      </c>
      <c r="Z7">
        <f t="shared" si="24"/>
        <v>23076.985465067461</v>
      </c>
      <c r="AA7">
        <f t="shared" si="8"/>
        <v>69.544450810420017</v>
      </c>
      <c r="AB7" s="1">
        <f t="shared" si="9"/>
        <v>200783.55821098152</v>
      </c>
      <c r="AC7" s="3">
        <f t="shared" si="25"/>
        <v>8.7005973338638825</v>
      </c>
      <c r="AD7">
        <f t="shared" si="10"/>
        <v>6.7921545980102813</v>
      </c>
      <c r="AE7">
        <f t="shared" si="11"/>
        <v>3.4841899021312304</v>
      </c>
      <c r="AF7">
        <f t="shared" si="26"/>
        <v>-2490.5321100413171</v>
      </c>
      <c r="AG7">
        <f t="shared" si="12"/>
        <v>-18942.696814699128</v>
      </c>
      <c r="AH7">
        <f t="shared" si="27"/>
        <v>2490.5321100413171</v>
      </c>
      <c r="AI7">
        <f t="shared" si="28"/>
        <v>18942.696814699128</v>
      </c>
      <c r="AJ7">
        <f t="shared" si="29"/>
        <v>-2490.5321100413171</v>
      </c>
      <c r="AK7">
        <f t="shared" si="30"/>
        <v>-22942.199283499129</v>
      </c>
      <c r="AL7">
        <f t="shared" si="31"/>
        <v>8226.3333230776534</v>
      </c>
      <c r="AM7">
        <f t="shared" si="32"/>
        <v>1610.1191457223485</v>
      </c>
      <c r="AN7" s="5">
        <f t="shared" si="33"/>
        <v>19105.719374175875</v>
      </c>
      <c r="AP7">
        <f t="shared" si="34"/>
        <v>23076.985465067461</v>
      </c>
    </row>
    <row r="8" spans="1:42" x14ac:dyDescent="0.25">
      <c r="B8" t="s">
        <v>20</v>
      </c>
      <c r="C8">
        <f>C14</f>
        <v>0.54600000000000004</v>
      </c>
      <c r="D8" t="s">
        <v>2</v>
      </c>
      <c r="F8">
        <f t="shared" si="35"/>
        <v>0.12000000000000001</v>
      </c>
      <c r="G8" s="1">
        <f t="shared" si="13"/>
        <v>23475620.218883943</v>
      </c>
      <c r="H8">
        <f t="shared" si="0"/>
        <v>0.89200000000000002</v>
      </c>
      <c r="I8">
        <f t="shared" si="1"/>
        <v>0.87822456113471381</v>
      </c>
      <c r="J8">
        <f t="shared" si="14"/>
        <v>50.31856081774805</v>
      </c>
      <c r="K8">
        <f t="shared" si="2"/>
        <v>0.50619923536400324</v>
      </c>
      <c r="L8">
        <f t="shared" si="15"/>
        <v>29.003079779106795</v>
      </c>
      <c r="M8">
        <f t="shared" si="16"/>
        <v>1.7571688570910762</v>
      </c>
      <c r="N8">
        <f t="shared" si="17"/>
        <v>100.67835940314517</v>
      </c>
      <c r="O8">
        <f t="shared" si="3"/>
        <v>-6.0330038205122838E-2</v>
      </c>
      <c r="P8" s="2">
        <f t="shared" si="18"/>
        <v>-3.4566565670165512</v>
      </c>
      <c r="Q8">
        <f t="shared" si="4"/>
        <v>1.4579023782997897</v>
      </c>
      <c r="R8">
        <f t="shared" si="19"/>
        <v>83.531653218663081</v>
      </c>
      <c r="S8">
        <f t="shared" si="5"/>
        <v>-0.29926647879128621</v>
      </c>
      <c r="T8">
        <f t="shared" si="20"/>
        <v>-17.14670618448206</v>
      </c>
      <c r="U8">
        <f t="shared" si="21"/>
        <v>-0.1863725302961794</v>
      </c>
      <c r="V8">
        <f t="shared" si="6"/>
        <v>-10.67835940314515</v>
      </c>
      <c r="W8">
        <f t="shared" si="7"/>
        <v>13917.798621974849</v>
      </c>
      <c r="X8" s="4">
        <f t="shared" si="22"/>
        <v>6.536471846838678</v>
      </c>
      <c r="Y8" s="2">
        <f t="shared" si="23"/>
        <v>-0.21705641107999377</v>
      </c>
      <c r="Z8">
        <f t="shared" si="24"/>
        <v>22944.118755304928</v>
      </c>
      <c r="AA8">
        <f t="shared" si="8"/>
        <v>69.144045723914672</v>
      </c>
      <c r="AB8" s="1">
        <f t="shared" si="9"/>
        <v>191880.75007377355</v>
      </c>
      <c r="AC8" s="3">
        <f t="shared" si="25"/>
        <v>8.3629601171502248</v>
      </c>
      <c r="AD8">
        <f t="shared" si="10"/>
        <v>6.5686811611346547</v>
      </c>
      <c r="AE8">
        <f t="shared" si="11"/>
        <v>3.4824060320188068</v>
      </c>
      <c r="AF8">
        <f t="shared" si="26"/>
        <v>-2584.7535200936713</v>
      </c>
      <c r="AG8">
        <f t="shared" si="12"/>
        <v>-18798.559613269575</v>
      </c>
      <c r="AH8">
        <f t="shared" si="27"/>
        <v>2584.7535200936713</v>
      </c>
      <c r="AI8">
        <f t="shared" si="28"/>
        <v>18798.559613269575</v>
      </c>
      <c r="AJ8">
        <f t="shared" si="29"/>
        <v>-2584.7535200936713</v>
      </c>
      <c r="AK8">
        <f t="shared" si="30"/>
        <v>-22798.062082069577</v>
      </c>
      <c r="AL8">
        <f t="shared" si="31"/>
        <v>8242.7901571463226</v>
      </c>
      <c r="AM8">
        <f t="shared" si="32"/>
        <v>1593.6623116536794</v>
      </c>
      <c r="AN8" s="5">
        <f t="shared" si="33"/>
        <v>18975.426063550894</v>
      </c>
      <c r="AP8">
        <f t="shared" si="34"/>
        <v>22944.118755304928</v>
      </c>
    </row>
    <row r="9" spans="1:42" x14ac:dyDescent="0.25">
      <c r="B9" t="s">
        <v>21</v>
      </c>
      <c r="C9">
        <f>C2-C8</f>
        <v>3.0540000000000003</v>
      </c>
      <c r="D9" t="s">
        <v>2</v>
      </c>
      <c r="F9">
        <f t="shared" si="35"/>
        <v>0.14000000000000001</v>
      </c>
      <c r="G9" s="1">
        <f t="shared" si="13"/>
        <v>21865243.535293516</v>
      </c>
      <c r="H9">
        <f t="shared" si="0"/>
        <v>0.91200000000000003</v>
      </c>
      <c r="I9">
        <f t="shared" si="1"/>
        <v>0.91431470119712843</v>
      </c>
      <c r="J9">
        <f t="shared" si="14"/>
        <v>52.386373525360419</v>
      </c>
      <c r="K9">
        <f t="shared" si="2"/>
        <v>0.50992472021901403</v>
      </c>
      <c r="L9">
        <f t="shared" si="15"/>
        <v>29.216534337938821</v>
      </c>
      <c r="M9">
        <f t="shared" si="16"/>
        <v>1.7173532321736507</v>
      </c>
      <c r="N9">
        <f t="shared" si="17"/>
        <v>98.397092136700749</v>
      </c>
      <c r="O9">
        <f t="shared" si="3"/>
        <v>-2.4239898142708327E-2</v>
      </c>
      <c r="P9" s="2">
        <f t="shared" si="18"/>
        <v>-1.3888438594041901</v>
      </c>
      <c r="Q9">
        <f t="shared" si="4"/>
        <v>1.454176893444779</v>
      </c>
      <c r="R9">
        <f t="shared" si="19"/>
        <v>83.318198659831069</v>
      </c>
      <c r="S9">
        <f t="shared" si="5"/>
        <v>-0.26317633872887169</v>
      </c>
      <c r="T9">
        <f t="shared" si="20"/>
        <v>-15.078893476869702</v>
      </c>
      <c r="U9">
        <f t="shared" si="21"/>
        <v>-0.1465569053787541</v>
      </c>
      <c r="V9">
        <f t="shared" si="6"/>
        <v>-8.3970921367007634</v>
      </c>
      <c r="W9">
        <f t="shared" si="7"/>
        <v>13732.799176634095</v>
      </c>
      <c r="X9" s="4">
        <f>1/(2*PI())*SQRT(G9/W9)</f>
        <v>6.3506438314039224</v>
      </c>
      <c r="Y9">
        <f t="shared" si="23"/>
        <v>-8.7255087943918591E-2</v>
      </c>
      <c r="Z9">
        <f t="shared" si="24"/>
        <v>22825.950630371681</v>
      </c>
      <c r="AA9">
        <f t="shared" si="8"/>
        <v>68.787936068075112</v>
      </c>
      <c r="AB9" s="1">
        <f t="shared" si="9"/>
        <v>183557.20645619201</v>
      </c>
      <c r="AC9" s="3">
        <f t="shared" si="25"/>
        <v>8.0416018341840729</v>
      </c>
      <c r="AD9">
        <f t="shared" si="10"/>
        <v>6.3850293183432631</v>
      </c>
      <c r="AE9">
        <f t="shared" si="11"/>
        <v>3.480719723864377</v>
      </c>
      <c r="AF9">
        <f t="shared" si="26"/>
        <v>-2655.9197369123794</v>
      </c>
      <c r="AG9">
        <f t="shared" si="12"/>
        <v>-18671.406479260386</v>
      </c>
      <c r="AH9">
        <f t="shared" si="27"/>
        <v>2655.9197369123794</v>
      </c>
      <c r="AI9">
        <f t="shared" si="28"/>
        <v>18671.406479260386</v>
      </c>
      <c r="AJ9">
        <f t="shared" si="29"/>
        <v>-2655.9197369123794</v>
      </c>
      <c r="AK9">
        <f t="shared" si="30"/>
        <v>-22670.908948060387</v>
      </c>
      <c r="AL9">
        <f t="shared" si="31"/>
        <v>8251.5922103728117</v>
      </c>
      <c r="AM9">
        <f t="shared" si="32"/>
        <v>1584.8602584271903</v>
      </c>
      <c r="AN9" s="5">
        <f t="shared" si="33"/>
        <v>18859.356552191472</v>
      </c>
      <c r="AO9">
        <f>AN9/2/(60*6)</f>
        <v>26.193550766932599</v>
      </c>
      <c r="AP9">
        <f t="shared" si="34"/>
        <v>22825.950630371677</v>
      </c>
    </row>
    <row r="10" spans="1:42" x14ac:dyDescent="0.25">
      <c r="B10" t="s">
        <v>24</v>
      </c>
      <c r="C10">
        <f>3*C13*C3/(C9^2*(C9+C8))</f>
        <v>166098.05427646186</v>
      </c>
      <c r="D10" t="s">
        <v>25</v>
      </c>
      <c r="F10">
        <f t="shared" si="35"/>
        <v>0.16</v>
      </c>
      <c r="G10" s="1">
        <f t="shared" si="13"/>
        <v>20610128.746673696</v>
      </c>
      <c r="H10">
        <f t="shared" si="0"/>
        <v>0.93200000000000005</v>
      </c>
      <c r="I10">
        <f t="shared" si="1"/>
        <v>0.95019597896000518</v>
      </c>
      <c r="J10">
        <f t="shared" si="14"/>
        <v>54.442219304709866</v>
      </c>
      <c r="K10">
        <f t="shared" si="2"/>
        <v>0.51269955178134685</v>
      </c>
      <c r="L10">
        <f t="shared" si="15"/>
        <v>29.375520475320183</v>
      </c>
      <c r="M10">
        <f t="shared" si="16"/>
        <v>1.6786971228484409</v>
      </c>
      <c r="N10">
        <f t="shared" si="17"/>
        <v>96.182260219969933</v>
      </c>
      <c r="O10">
        <f t="shared" si="3"/>
        <v>1.1641379620168424E-2</v>
      </c>
      <c r="P10" s="2">
        <f t="shared" si="18"/>
        <v>0.66700191994526004</v>
      </c>
      <c r="Q10">
        <f t="shared" si="4"/>
        <v>1.4514020618824461</v>
      </c>
      <c r="R10">
        <f t="shared" si="19"/>
        <v>83.159212522449707</v>
      </c>
      <c r="S10">
        <f t="shared" si="5"/>
        <v>-0.22729506096599494</v>
      </c>
      <c r="T10">
        <f t="shared" si="20"/>
        <v>-13.023047697520251</v>
      </c>
      <c r="U10">
        <f t="shared" si="21"/>
        <v>-0.10790079605354452</v>
      </c>
      <c r="V10">
        <f t="shared" si="6"/>
        <v>-6.1822602199699501</v>
      </c>
      <c r="W10">
        <f t="shared" si="7"/>
        <v>13597.637375949491</v>
      </c>
      <c r="X10" s="4">
        <f t="shared" si="22"/>
        <v>6.1962474962608045</v>
      </c>
      <c r="Y10">
        <f t="shared" si="23"/>
        <v>4.1908020043150709E-2</v>
      </c>
      <c r="Z10">
        <f t="shared" si="24"/>
        <v>22718.478373444606</v>
      </c>
      <c r="AA10">
        <f t="shared" si="8"/>
        <v>68.464059316639649</v>
      </c>
      <c r="AB10" s="1">
        <f t="shared" si="9"/>
        <v>175763.74257066229</v>
      </c>
      <c r="AC10" s="3">
        <f t="shared" si="25"/>
        <v>7.7365983619796781</v>
      </c>
      <c r="AD10">
        <f t="shared" si="10"/>
        <v>6.2326049928343918</v>
      </c>
      <c r="AE10">
        <f t="shared" si="11"/>
        <v>3.4791515489175402</v>
      </c>
      <c r="AF10">
        <f t="shared" si="26"/>
        <v>-2706.0162778251088</v>
      </c>
      <c r="AG10">
        <f t="shared" si="12"/>
        <v>-18557.242320925663</v>
      </c>
      <c r="AH10">
        <f t="shared" si="27"/>
        <v>2706.0162778251088</v>
      </c>
      <c r="AI10">
        <f t="shared" si="28"/>
        <v>18557.242320925663</v>
      </c>
      <c r="AJ10">
        <f t="shared" si="29"/>
        <v>-2706.0162778251088</v>
      </c>
      <c r="AK10">
        <f t="shared" si="30"/>
        <v>-22556.744789725664</v>
      </c>
      <c r="AL10">
        <f t="shared" si="31"/>
        <v>8252.8962585214867</v>
      </c>
      <c r="AM10">
        <f t="shared" si="32"/>
        <v>1583.5562102785152</v>
      </c>
      <c r="AN10" s="5">
        <f t="shared" si="33"/>
        <v>18753.500117402324</v>
      </c>
      <c r="AP10">
        <f t="shared" si="34"/>
        <v>22718.478373444606</v>
      </c>
    </row>
    <row r="11" spans="1:42" x14ac:dyDescent="0.25">
      <c r="B11" t="s">
        <v>51</v>
      </c>
      <c r="C11">
        <f>1/(2*PI())*SQRT(C10/(C1+0.2*C12))</f>
        <v>3.4995660402036117</v>
      </c>
      <c r="D11" t="s">
        <v>52</v>
      </c>
      <c r="F11">
        <f t="shared" si="35"/>
        <v>0.18</v>
      </c>
      <c r="G11" s="1">
        <f t="shared" si="13"/>
        <v>19630096.260837883</v>
      </c>
      <c r="H11">
        <f t="shared" si="0"/>
        <v>0.95199999999999996</v>
      </c>
      <c r="I11">
        <f t="shared" si="1"/>
        <v>0.98592894297440758</v>
      </c>
      <c r="J11">
        <f t="shared" si="14"/>
        <v>56.489567332227971</v>
      </c>
      <c r="K11">
        <f t="shared" si="2"/>
        <v>0.5145959952708361</v>
      </c>
      <c r="L11">
        <f t="shared" si="15"/>
        <v>29.48417868335298</v>
      </c>
      <c r="M11">
        <f t="shared" si="16"/>
        <v>1.6410677153445496</v>
      </c>
      <c r="N11">
        <f t="shared" si="17"/>
        <v>94.026253984419057</v>
      </c>
      <c r="O11">
        <f t="shared" si="3"/>
        <v>4.7374343634570826E-2</v>
      </c>
      <c r="P11" s="2">
        <f t="shared" si="18"/>
        <v>2.7143499474633654</v>
      </c>
      <c r="Q11">
        <f t="shared" si="4"/>
        <v>1.4495056183929569</v>
      </c>
      <c r="R11">
        <f t="shared" si="19"/>
        <v>83.0505543144169</v>
      </c>
      <c r="S11">
        <f t="shared" si="5"/>
        <v>-0.19156209695159254</v>
      </c>
      <c r="T11">
        <f t="shared" si="20"/>
        <v>-10.975699670002145</v>
      </c>
      <c r="U11">
        <f t="shared" si="21"/>
        <v>-7.0271388549652869E-2</v>
      </c>
      <c r="V11">
        <f t="shared" si="6"/>
        <v>-4.026253984419049</v>
      </c>
      <c r="W11">
        <f t="shared" si="7"/>
        <v>13506.525634567288</v>
      </c>
      <c r="X11" s="4">
        <f t="shared" si="22"/>
        <v>6.0674963351460853</v>
      </c>
      <c r="Y11">
        <f t="shared" si="23"/>
        <v>0.17048385009092429</v>
      </c>
      <c r="Z11">
        <f t="shared" si="24"/>
        <v>22618.36628295129</v>
      </c>
      <c r="AA11">
        <f t="shared" si="8"/>
        <v>68.162363050314923</v>
      </c>
      <c r="AB11" s="1">
        <f t="shared" si="9"/>
        <v>168456.28522736189</v>
      </c>
      <c r="AC11" s="3">
        <f t="shared" si="25"/>
        <v>7.4477653743867736</v>
      </c>
      <c r="AD11">
        <f t="shared" si="10"/>
        <v>6.1056056601123228</v>
      </c>
      <c r="AE11">
        <f t="shared" si="11"/>
        <v>3.4777228182709861</v>
      </c>
      <c r="AF11">
        <f t="shared" si="26"/>
        <v>-2736.6760623032137</v>
      </c>
      <c r="AG11">
        <f t="shared" si="12"/>
        <v>-18452.693357883953</v>
      </c>
      <c r="AH11">
        <f t="shared" si="27"/>
        <v>2736.6760623032137</v>
      </c>
      <c r="AI11">
        <f t="shared" si="28"/>
        <v>18452.693357883953</v>
      </c>
      <c r="AJ11">
        <f t="shared" si="29"/>
        <v>-2736.6760623032137</v>
      </c>
      <c r="AK11">
        <f t="shared" si="30"/>
        <v>-22452.195826683954</v>
      </c>
      <c r="AL11">
        <f t="shared" si="31"/>
        <v>8246.8137452956962</v>
      </c>
      <c r="AM11">
        <f t="shared" si="32"/>
        <v>1589.6387235043057</v>
      </c>
      <c r="AN11" s="5">
        <f t="shared" si="33"/>
        <v>18654.524599412282</v>
      </c>
      <c r="AP11">
        <f t="shared" si="34"/>
        <v>22618.36628295129</v>
      </c>
    </row>
    <row r="12" spans="1:42" x14ac:dyDescent="0.25">
      <c r="B12" t="s">
        <v>54</v>
      </c>
      <c r="C12">
        <f>C2*C4*7800</f>
        <v>80.19647999999998</v>
      </c>
      <c r="D12" t="s">
        <v>1</v>
      </c>
      <c r="F12">
        <f t="shared" si="35"/>
        <v>0.19999999999999998</v>
      </c>
      <c r="G12" s="1">
        <f t="shared" si="13"/>
        <v>18871249.187040407</v>
      </c>
      <c r="H12">
        <f t="shared" si="0"/>
        <v>0.97199999999999998</v>
      </c>
      <c r="I12">
        <f t="shared" si="1"/>
        <v>1.0215682172139511</v>
      </c>
      <c r="J12">
        <f t="shared" si="14"/>
        <v>58.53154733106313</v>
      </c>
      <c r="K12">
        <f t="shared" si="2"/>
        <v>0.51567620982890006</v>
      </c>
      <c r="L12">
        <f t="shared" si="15"/>
        <v>29.546070418498633</v>
      </c>
      <c r="M12">
        <f t="shared" si="16"/>
        <v>1.604348226546942</v>
      </c>
      <c r="N12">
        <f t="shared" si="17"/>
        <v>91.922382250438233</v>
      </c>
      <c r="O12">
        <f t="shared" si="3"/>
        <v>8.301361787411432E-2</v>
      </c>
      <c r="P12" s="2">
        <f t="shared" si="18"/>
        <v>4.756329946298524</v>
      </c>
      <c r="Q12">
        <f t="shared" si="4"/>
        <v>1.4484254038348929</v>
      </c>
      <c r="R12">
        <f t="shared" si="19"/>
        <v>82.988662579271249</v>
      </c>
      <c r="S12">
        <f t="shared" si="5"/>
        <v>-0.15592282271204905</v>
      </c>
      <c r="T12">
        <f t="shared" si="20"/>
        <v>-8.9337196711669868</v>
      </c>
      <c r="U12">
        <f t="shared" si="21"/>
        <v>-3.3551899752045422E-2</v>
      </c>
      <c r="V12">
        <f t="shared" si="6"/>
        <v>-1.922382250438236</v>
      </c>
      <c r="W12">
        <f t="shared" si="7"/>
        <v>13455.080307355955</v>
      </c>
      <c r="X12" s="4">
        <f t="shared" si="22"/>
        <v>5.960426119710986</v>
      </c>
      <c r="Y12">
        <f t="shared" si="23"/>
        <v>0.29850590150353179</v>
      </c>
      <c r="Z12">
        <f t="shared" si="24"/>
        <v>22522.777592980532</v>
      </c>
      <c r="AA12">
        <f t="shared" si="8"/>
        <v>67.874298434693145</v>
      </c>
      <c r="AB12" s="1">
        <f t="shared" si="9"/>
        <v>161595.2483601532</v>
      </c>
      <c r="AC12" s="3">
        <f t="shared" si="25"/>
        <v>7.1747477722515054</v>
      </c>
      <c r="AD12">
        <f t="shared" si="10"/>
        <v>6.0000493367447563</v>
      </c>
      <c r="AE12">
        <f t="shared" si="11"/>
        <v>3.4764555527804815</v>
      </c>
      <c r="AF12">
        <f t="shared" si="26"/>
        <v>-2749.2595454041843</v>
      </c>
      <c r="AG12">
        <f t="shared" si="12"/>
        <v>-18354.850182414702</v>
      </c>
      <c r="AH12">
        <f t="shared" si="27"/>
        <v>2749.2595454041843</v>
      </c>
      <c r="AI12">
        <f t="shared" si="28"/>
        <v>18354.850182414702</v>
      </c>
      <c r="AJ12">
        <f t="shared" si="29"/>
        <v>-2749.2595454041843</v>
      </c>
      <c r="AK12">
        <f t="shared" si="30"/>
        <v>-22354.352651214704</v>
      </c>
      <c r="AL12">
        <f t="shared" si="31"/>
        <v>8233.4179626274654</v>
      </c>
      <c r="AM12">
        <f t="shared" si="32"/>
        <v>1603.0345061725366</v>
      </c>
      <c r="AN12" s="5">
        <f t="shared" si="33"/>
        <v>18559.605417866111</v>
      </c>
      <c r="AP12">
        <f t="shared" si="34"/>
        <v>22522.777592980532</v>
      </c>
    </row>
    <row r="13" spans="1:42" x14ac:dyDescent="0.25">
      <c r="B13" t="s">
        <v>3</v>
      </c>
      <c r="C13" s="1">
        <v>210000000000</v>
      </c>
      <c r="D13" t="s">
        <v>8</v>
      </c>
      <c r="F13">
        <f t="shared" si="35"/>
        <v>0.21999999999999997</v>
      </c>
      <c r="G13" s="1">
        <f t="shared" si="13"/>
        <v>18297012.585669763</v>
      </c>
      <c r="H13">
        <f t="shared" si="0"/>
        <v>0.99199999999999999</v>
      </c>
      <c r="I13">
        <f t="shared" si="1"/>
        <v>1.0571638102340626</v>
      </c>
      <c r="J13">
        <f t="shared" si="14"/>
        <v>60.57102458038085</v>
      </c>
      <c r="K13">
        <f t="shared" si="2"/>
        <v>0.51599385836836142</v>
      </c>
      <c r="L13">
        <f t="shared" si="15"/>
        <v>29.564270339178265</v>
      </c>
      <c r="M13">
        <f t="shared" si="16"/>
        <v>1.5684349849873691</v>
      </c>
      <c r="N13">
        <f t="shared" si="17"/>
        <v>89.864705080440871</v>
      </c>
      <c r="O13">
        <f t="shared" si="3"/>
        <v>0.11860921089422582</v>
      </c>
      <c r="P13" s="2">
        <f t="shared" si="18"/>
        <v>6.7958071956162449</v>
      </c>
      <c r="Q13">
        <f t="shared" si="4"/>
        <v>1.4481077552954316</v>
      </c>
      <c r="R13">
        <f t="shared" si="19"/>
        <v>82.970462658591615</v>
      </c>
      <c r="S13">
        <f t="shared" si="5"/>
        <v>-0.12032722969193754</v>
      </c>
      <c r="T13">
        <f t="shared" si="20"/>
        <v>-6.8942424218492668</v>
      </c>
      <c r="U13">
        <f t="shared" si="21"/>
        <v>2.3613418075274506E-3</v>
      </c>
      <c r="V13">
        <f t="shared" si="6"/>
        <v>0.13529491955911607</v>
      </c>
      <c r="W13">
        <f t="shared" si="7"/>
        <v>13440.014143496936</v>
      </c>
      <c r="X13" s="4">
        <f t="shared" si="22"/>
        <v>5.8723287705560656</v>
      </c>
      <c r="Y13">
        <f t="shared" si="23"/>
        <v>0.42599269627161535</v>
      </c>
      <c r="Z13">
        <f t="shared" si="24"/>
        <v>22429.250205064811</v>
      </c>
      <c r="AA13">
        <f t="shared" si="8"/>
        <v>67.592445727450354</v>
      </c>
      <c r="AB13" s="1">
        <f t="shared" si="9"/>
        <v>155144.99577944013</v>
      </c>
      <c r="AC13" s="3">
        <f t="shared" si="25"/>
        <v>6.9170834673914516</v>
      </c>
      <c r="AD13">
        <f t="shared" si="10"/>
        <v>5.9132088236237879</v>
      </c>
      <c r="AE13">
        <f t="shared" si="11"/>
        <v>3.4753723325729973</v>
      </c>
      <c r="AF13">
        <f t="shared" si="26"/>
        <v>-2744.914258006866</v>
      </c>
      <c r="AG13">
        <f t="shared" si="12"/>
        <v>-18261.151395756417</v>
      </c>
      <c r="AH13">
        <f t="shared" si="27"/>
        <v>2744.914258006866</v>
      </c>
      <c r="AI13">
        <f t="shared" si="28"/>
        <v>18261.151395756417</v>
      </c>
      <c r="AJ13">
        <f t="shared" si="29"/>
        <v>-2744.914258006866</v>
      </c>
      <c r="AK13">
        <f t="shared" si="30"/>
        <v>-22260.653864556418</v>
      </c>
      <c r="AL13">
        <f t="shared" si="31"/>
        <v>8212.7494341191377</v>
      </c>
      <c r="AM13">
        <f t="shared" si="32"/>
        <v>1623.7030346808642</v>
      </c>
      <c r="AN13" s="5">
        <f t="shared" si="33"/>
        <v>18466.299157723668</v>
      </c>
      <c r="AP13">
        <f t="shared" si="34"/>
        <v>22429.250205064811</v>
      </c>
    </row>
    <row r="14" spans="1:42" x14ac:dyDescent="0.25">
      <c r="B14" t="s">
        <v>30</v>
      </c>
      <c r="C14">
        <v>0.54600000000000004</v>
      </c>
      <c r="D14" t="s">
        <v>2</v>
      </c>
      <c r="F14">
        <f t="shared" si="35"/>
        <v>0.23999999999999996</v>
      </c>
      <c r="G14" s="1">
        <f t="shared" si="13"/>
        <v>17882889.148203146</v>
      </c>
      <c r="H14">
        <f t="shared" si="0"/>
        <v>1.012</v>
      </c>
      <c r="I14">
        <f t="shared" si="1"/>
        <v>1.0927621666200427</v>
      </c>
      <c r="J14">
        <f t="shared" si="14"/>
        <v>62.610660158900089</v>
      </c>
      <c r="K14">
        <f t="shared" si="2"/>
        <v>0.51559537672078704</v>
      </c>
      <c r="L14">
        <f t="shared" si="15"/>
        <v>29.541439022558833</v>
      </c>
      <c r="M14">
        <f t="shared" si="16"/>
        <v>1.5332351102489634</v>
      </c>
      <c r="N14">
        <f t="shared" si="17"/>
        <v>87.847900818541063</v>
      </c>
      <c r="O14">
        <f t="shared" si="3"/>
        <v>0.1542075672802059</v>
      </c>
      <c r="P14" s="2">
        <f t="shared" si="18"/>
        <v>8.8354427741354868</v>
      </c>
      <c r="Q14">
        <f t="shared" si="4"/>
        <v>1.448506236943006</v>
      </c>
      <c r="R14">
        <f t="shared" si="19"/>
        <v>82.993293975211046</v>
      </c>
      <c r="S14">
        <f t="shared" si="5"/>
        <v>-8.4728873305957464E-2</v>
      </c>
      <c r="T14">
        <f t="shared" si="20"/>
        <v>-4.8546068433300258</v>
      </c>
      <c r="U14">
        <f t="shared" si="21"/>
        <v>3.756121654593314E-2</v>
      </c>
      <c r="V14">
        <f t="shared" si="6"/>
        <v>2.152099181458925</v>
      </c>
      <c r="W14">
        <f t="shared" si="7"/>
        <v>13458.918722779392</v>
      </c>
      <c r="X14" s="4">
        <f t="shared" si="22"/>
        <v>5.8014144005320762</v>
      </c>
      <c r="Y14">
        <f t="shared" si="23"/>
        <v>0.55294962565357797</v>
      </c>
      <c r="Z14">
        <f t="shared" si="24"/>
        <v>22335.602626392258</v>
      </c>
      <c r="AA14">
        <f t="shared" si="8"/>
        <v>67.310230815179125</v>
      </c>
      <c r="AB14" s="1">
        <f t="shared" si="9"/>
        <v>149073.37750033097</v>
      </c>
      <c r="AC14" s="3">
        <f t="shared" si="25"/>
        <v>6.6742491793878207</v>
      </c>
      <c r="AD14">
        <f t="shared" si="10"/>
        <v>5.8432741707702061</v>
      </c>
      <c r="AE14">
        <f t="shared" si="11"/>
        <v>3.4744960150610513</v>
      </c>
      <c r="AF14">
        <f t="shared" si="26"/>
        <v>-2724.6199304180341</v>
      </c>
      <c r="AG14">
        <f t="shared" si="12"/>
        <v>-18169.295218915711</v>
      </c>
      <c r="AH14">
        <f t="shared" si="27"/>
        <v>2724.6199304180341</v>
      </c>
      <c r="AI14">
        <f t="shared" si="28"/>
        <v>18169.295218915711</v>
      </c>
      <c r="AJ14">
        <f t="shared" si="29"/>
        <v>-2724.6199304180341</v>
      </c>
      <c r="AK14">
        <f t="shared" si="30"/>
        <v>-22168.797687715713</v>
      </c>
      <c r="AL14">
        <f t="shared" si="31"/>
        <v>8184.8199551125826</v>
      </c>
      <c r="AM14">
        <f t="shared" si="32"/>
        <v>1651.6325136874193</v>
      </c>
      <c r="AN14" s="5">
        <f t="shared" si="33"/>
        <v>18372.447918482299</v>
      </c>
      <c r="AP14">
        <f t="shared" si="34"/>
        <v>22335.602626392258</v>
      </c>
    </row>
    <row r="15" spans="1:42" x14ac:dyDescent="0.25">
      <c r="B15" t="s">
        <v>31</v>
      </c>
      <c r="C15">
        <v>-0.13300000000000001</v>
      </c>
      <c r="D15" t="s">
        <v>2</v>
      </c>
      <c r="F15">
        <f t="shared" si="35"/>
        <v>0.25999999999999995</v>
      </c>
      <c r="G15" s="1">
        <f t="shared" si="13"/>
        <v>17613361.441342253</v>
      </c>
      <c r="H15">
        <f t="shared" si="0"/>
        <v>1.032</v>
      </c>
      <c r="I15">
        <f t="shared" si="1"/>
        <v>1.1284070304082994</v>
      </c>
      <c r="J15">
        <f t="shared" si="14"/>
        <v>64.652960415285904</v>
      </c>
      <c r="K15">
        <f t="shared" si="2"/>
        <v>0.51452098322160289</v>
      </c>
      <c r="L15">
        <f t="shared" si="15"/>
        <v>29.479880809519287</v>
      </c>
      <c r="M15">
        <f t="shared" si="16"/>
        <v>1.4986646399598911</v>
      </c>
      <c r="N15">
        <f t="shared" si="17"/>
        <v>85.86715877519481</v>
      </c>
      <c r="O15">
        <f t="shared" si="3"/>
        <v>0.18985243106846261</v>
      </c>
      <c r="P15" s="2">
        <f t="shared" si="18"/>
        <v>10.877743030521293</v>
      </c>
      <c r="Q15">
        <f t="shared" si="4"/>
        <v>1.4495806304421901</v>
      </c>
      <c r="R15">
        <f t="shared" si="19"/>
        <v>83.054852188250592</v>
      </c>
      <c r="S15">
        <f t="shared" si="5"/>
        <v>-4.9084009517700755E-2</v>
      </c>
      <c r="T15">
        <f t="shared" si="20"/>
        <v>-2.8123065869442168</v>
      </c>
      <c r="U15">
        <f t="shared" si="21"/>
        <v>7.2131686835005704E-2</v>
      </c>
      <c r="V15">
        <f t="shared" si="6"/>
        <v>4.1328412248051896</v>
      </c>
      <c r="W15">
        <f t="shared" si="7"/>
        <v>13510.110213341064</v>
      </c>
      <c r="X15" s="4">
        <f t="shared" si="22"/>
        <v>5.7466111254108743</v>
      </c>
      <c r="Y15">
        <f t="shared" si="23"/>
        <v>0.67937032657776164</v>
      </c>
      <c r="Z15">
        <f t="shared" si="24"/>
        <v>22239.861003698727</v>
      </c>
      <c r="AA15">
        <f t="shared" si="8"/>
        <v>67.021705323840621</v>
      </c>
      <c r="AB15" s="1">
        <f t="shared" si="9"/>
        <v>143351.32835194227</v>
      </c>
      <c r="AC15" s="3">
        <f t="shared" si="25"/>
        <v>6.4456935377474442</v>
      </c>
      <c r="AD15">
        <f t="shared" si="10"/>
        <v>5.7891530011100825</v>
      </c>
      <c r="AE15">
        <f t="shared" si="11"/>
        <v>3.4738493069517937</v>
      </c>
      <c r="AF15">
        <f t="shared" si="26"/>
        <v>-2689.2233621335217</v>
      </c>
      <c r="AG15">
        <f t="shared" si="12"/>
        <v>-18077.170631384153</v>
      </c>
      <c r="AH15">
        <f t="shared" si="27"/>
        <v>2689.2233621335217</v>
      </c>
      <c r="AI15">
        <f t="shared" si="28"/>
        <v>18077.170631384153</v>
      </c>
      <c r="AJ15">
        <f t="shared" si="29"/>
        <v>-2689.2233621335217</v>
      </c>
      <c r="AK15">
        <f t="shared" si="30"/>
        <v>-22076.673100184154</v>
      </c>
      <c r="AL15">
        <f t="shared" si="31"/>
        <v>8149.6156040703872</v>
      </c>
      <c r="AM15">
        <f t="shared" si="32"/>
        <v>1686.8368647296147</v>
      </c>
      <c r="AN15" s="5">
        <f t="shared" si="33"/>
        <v>18276.105173904598</v>
      </c>
      <c r="AP15">
        <f t="shared" si="34"/>
        <v>22239.861003698727</v>
      </c>
    </row>
    <row r="16" spans="1:42" x14ac:dyDescent="0.25">
      <c r="B16" t="s">
        <v>65</v>
      </c>
      <c r="C16">
        <f>(C5*C6^3)/12-((C5-2*C7)*(C6-2*C7)^3)/12</f>
        <v>8.8524720000000072E-6</v>
      </c>
      <c r="F16">
        <f t="shared" si="35"/>
        <v>0.27999999999999997</v>
      </c>
      <c r="G16" s="1">
        <f t="shared" si="13"/>
        <v>17480136.03522706</v>
      </c>
      <c r="H16">
        <f t="shared" si="0"/>
        <v>1.052</v>
      </c>
      <c r="I16">
        <f t="shared" si="1"/>
        <v>1.164140171099955</v>
      </c>
      <c r="J16">
        <f t="shared" si="14"/>
        <v>66.700318565664958</v>
      </c>
      <c r="K16">
        <f t="shared" si="2"/>
        <v>0.51280548716613228</v>
      </c>
      <c r="L16">
        <f t="shared" si="15"/>
        <v>29.381590125769481</v>
      </c>
      <c r="M16">
        <f t="shared" si="16"/>
        <v>1.4646469953237058</v>
      </c>
      <c r="N16">
        <f t="shared" si="17"/>
        <v>83.918091308565565</v>
      </c>
      <c r="O16">
        <f t="shared" si="3"/>
        <v>0.22558557176011829</v>
      </c>
      <c r="P16" s="2">
        <f t="shared" si="18"/>
        <v>12.925101180900347</v>
      </c>
      <c r="Q16">
        <f t="shared" si="4"/>
        <v>1.4512961264976607</v>
      </c>
      <c r="R16">
        <f t="shared" si="19"/>
        <v>83.153142872000402</v>
      </c>
      <c r="S16">
        <f t="shared" si="5"/>
        <v>-1.3350868826045081E-2</v>
      </c>
      <c r="T16">
        <f t="shared" si="20"/>
        <v>-0.7649484365651632</v>
      </c>
      <c r="U16">
        <f t="shared" si="21"/>
        <v>0.10614933147119077</v>
      </c>
      <c r="V16">
        <f t="shared" si="6"/>
        <v>6.0819086914344362</v>
      </c>
      <c r="W16">
        <f t="shared" si="7"/>
        <v>13592.521013125486</v>
      </c>
      <c r="X16" s="4">
        <f t="shared" si="22"/>
        <v>5.7074554356730509</v>
      </c>
      <c r="Y16">
        <f t="shared" si="23"/>
        <v>0.80523768869714196</v>
      </c>
      <c r="Z16">
        <f t="shared" si="24"/>
        <v>22140.200990937443</v>
      </c>
      <c r="AA16">
        <f t="shared" si="8"/>
        <v>66.721371432061986</v>
      </c>
      <c r="AB16" s="1">
        <f t="shared" si="9"/>
        <v>137952.51948732359</v>
      </c>
      <c r="AC16" s="3">
        <f t="shared" si="25"/>
        <v>6.2308612077998351</v>
      </c>
      <c r="AD16">
        <f t="shared" si="10"/>
        <v>5.7503615166758273</v>
      </c>
      <c r="AE16">
        <f t="shared" si="11"/>
        <v>3.4734541751391106</v>
      </c>
      <c r="AF16">
        <f t="shared" si="26"/>
        <v>-2639.4659112200943</v>
      </c>
      <c r="AG16">
        <f t="shared" si="12"/>
        <v>-17982.802224352952</v>
      </c>
      <c r="AH16">
        <f t="shared" si="27"/>
        <v>2639.4659112200943</v>
      </c>
      <c r="AI16">
        <f t="shared" si="28"/>
        <v>17982.802224352952</v>
      </c>
      <c r="AJ16">
        <f t="shared" si="29"/>
        <v>-2639.4659112200943</v>
      </c>
      <c r="AK16">
        <f t="shared" si="30"/>
        <v>-21982.304693152953</v>
      </c>
      <c r="AL16">
        <f t="shared" si="31"/>
        <v>8107.0989458749109</v>
      </c>
      <c r="AM16">
        <f t="shared" si="32"/>
        <v>1729.3535229250911</v>
      </c>
      <c r="AN16" s="5">
        <f t="shared" si="33"/>
        <v>18175.476778799683</v>
      </c>
      <c r="AP16">
        <f t="shared" si="34"/>
        <v>22140.200990937443</v>
      </c>
    </row>
    <row r="17" spans="1:42" x14ac:dyDescent="0.25">
      <c r="B17" t="s">
        <v>64</v>
      </c>
      <c r="C17">
        <f>0.2*C12+C1</f>
        <v>343.53929599999998</v>
      </c>
      <c r="F17">
        <f t="shared" si="35"/>
        <v>0.3</v>
      </c>
      <c r="G17" s="1">
        <f t="shared" si="13"/>
        <v>17481323.83890878</v>
      </c>
      <c r="H17">
        <f t="shared" si="0"/>
        <v>1.0720000000000001</v>
      </c>
      <c r="I17">
        <f t="shared" si="1"/>
        <v>1.2000020100091486</v>
      </c>
      <c r="J17">
        <f t="shared" si="14"/>
        <v>68.755050580739791</v>
      </c>
      <c r="K17">
        <f t="shared" si="2"/>
        <v>0.51047893878743866</v>
      </c>
      <c r="L17">
        <f t="shared" si="15"/>
        <v>29.248288722837334</v>
      </c>
      <c r="M17">
        <f t="shared" si="16"/>
        <v>1.4311117047932058</v>
      </c>
      <c r="N17">
        <f t="shared" si="17"/>
        <v>81.996660696422893</v>
      </c>
      <c r="O17">
        <f t="shared" si="3"/>
        <v>0.26144741066931187</v>
      </c>
      <c r="P17" s="2">
        <f t="shared" si="18"/>
        <v>14.97983319597518</v>
      </c>
      <c r="Q17">
        <f t="shared" si="4"/>
        <v>1.4536226748763543</v>
      </c>
      <c r="R17">
        <f t="shared" si="19"/>
        <v>83.286444274932549</v>
      </c>
      <c r="S17">
        <f t="shared" si="5"/>
        <v>2.2510970083148507E-2</v>
      </c>
      <c r="T17">
        <f t="shared" si="20"/>
        <v>1.2897835785096694</v>
      </c>
      <c r="U17">
        <f t="shared" si="21"/>
        <v>0.13968462200169074</v>
      </c>
      <c r="V17">
        <f t="shared" si="6"/>
        <v>8.0033393035771212</v>
      </c>
      <c r="W17">
        <f t="shared" si="7"/>
        <v>13705.625773138132</v>
      </c>
      <c r="X17" s="4">
        <f t="shared" si="22"/>
        <v>5.6840495607892372</v>
      </c>
      <c r="Y17">
        <f t="shared" si="23"/>
        <v>0.93052456299825737</v>
      </c>
      <c r="Z17">
        <f t="shared" si="24"/>
        <v>22034.900027927491</v>
      </c>
      <c r="AA17">
        <f t="shared" si="8"/>
        <v>66.404038058800523</v>
      </c>
      <c r="AB17" s="1">
        <f t="shared" si="9"/>
        <v>132853.05497352811</v>
      </c>
      <c r="AC17" s="3">
        <f t="shared" si="25"/>
        <v>6.0292106978088116</v>
      </c>
      <c r="AD17">
        <f t="shared" si="10"/>
        <v>5.7269826374838342</v>
      </c>
      <c r="AE17">
        <f t="shared" si="11"/>
        <v>3.4733310842569178</v>
      </c>
      <c r="AF17">
        <f t="shared" si="26"/>
        <v>-2576.0056346762435</v>
      </c>
      <c r="AG17">
        <f t="shared" si="12"/>
        <v>-17884.304654524662</v>
      </c>
      <c r="AH17">
        <f t="shared" si="27"/>
        <v>2576.0056346762435</v>
      </c>
      <c r="AI17">
        <f t="shared" si="28"/>
        <v>17884.304654524662</v>
      </c>
      <c r="AJ17">
        <f t="shared" si="29"/>
        <v>-2576.0056346762435</v>
      </c>
      <c r="AK17">
        <f t="shared" si="30"/>
        <v>-21883.807123324663</v>
      </c>
      <c r="AL17">
        <f t="shared" si="31"/>
        <v>8057.2105821684663</v>
      </c>
      <c r="AM17">
        <f t="shared" si="32"/>
        <v>1779.2418866315356</v>
      </c>
      <c r="AN17" s="5">
        <f t="shared" si="33"/>
        <v>18068.872626861263</v>
      </c>
      <c r="AP17">
        <f t="shared" si="34"/>
        <v>22034.900027927491</v>
      </c>
    </row>
    <row r="18" spans="1:42" x14ac:dyDescent="0.25">
      <c r="B18" t="s">
        <v>66</v>
      </c>
      <c r="C18">
        <f>((C9*C1*C48+0.5*C9*(C9/C2)*C12*C48)*0.5*C6)/C16/1000000</f>
        <v>91.762042964277569</v>
      </c>
      <c r="D18" t="s">
        <v>98</v>
      </c>
      <c r="F18">
        <f t="shared" si="35"/>
        <v>0.32</v>
      </c>
      <c r="G18" s="1">
        <f t="shared" si="13"/>
        <v>17621387.909438096</v>
      </c>
      <c r="H18">
        <f t="shared" si="0"/>
        <v>1.0920000000000001</v>
      </c>
      <c r="I18">
        <f t="shared" si="1"/>
        <v>1.2360321759301205</v>
      </c>
      <c r="J18">
        <f t="shared" si="14"/>
        <v>70.819427023167563</v>
      </c>
      <c r="K18">
        <f t="shared" si="2"/>
        <v>0.50756715220469228</v>
      </c>
      <c r="L18">
        <f t="shared" si="15"/>
        <v>29.081455640803146</v>
      </c>
      <c r="M18">
        <f t="shared" si="16"/>
        <v>1.3979933254549803</v>
      </c>
      <c r="N18">
        <f t="shared" si="17"/>
        <v>80.099117336029295</v>
      </c>
      <c r="O18">
        <f t="shared" si="3"/>
        <v>0.29747757659028373</v>
      </c>
      <c r="P18" s="2">
        <f t="shared" si="18"/>
        <v>17.044209638402958</v>
      </c>
      <c r="Q18">
        <f t="shared" si="4"/>
        <v>1.4565344614591007</v>
      </c>
      <c r="R18">
        <f t="shared" si="19"/>
        <v>83.453277356966737</v>
      </c>
      <c r="S18">
        <f t="shared" si="5"/>
        <v>5.8541136004120364E-2</v>
      </c>
      <c r="T18">
        <f t="shared" si="20"/>
        <v>3.3541600209374454</v>
      </c>
      <c r="U18">
        <f t="shared" si="21"/>
        <v>0.17280300133991622</v>
      </c>
      <c r="V18">
        <f t="shared" si="6"/>
        <v>9.9008826639707088</v>
      </c>
      <c r="W18">
        <f t="shared" si="7"/>
        <v>13849.394246790567</v>
      </c>
      <c r="X18" s="4">
        <f t="shared" si="22"/>
        <v>5.6770771770396573</v>
      </c>
      <c r="Y18">
        <f t="shared" si="23"/>
        <v>1.0551942214255587</v>
      </c>
      <c r="Z18">
        <f t="shared" si="24"/>
        <v>21922.296808474191</v>
      </c>
      <c r="AA18">
        <f t="shared" si="8"/>
        <v>66.064698717090621</v>
      </c>
      <c r="AB18" s="1">
        <f t="shared" si="9"/>
        <v>128031.20691836311</v>
      </c>
      <c r="AC18" s="3">
        <f t="shared" si="25"/>
        <v>5.8402277843839752</v>
      </c>
      <c r="AD18">
        <f t="shared" si="10"/>
        <v>5.7196826299491912</v>
      </c>
      <c r="AE18">
        <f t="shared" si="11"/>
        <v>3.4734980560555084</v>
      </c>
      <c r="AF18">
        <f t="shared" si="26"/>
        <v>-2499.4355527484827</v>
      </c>
      <c r="AG18">
        <f t="shared" si="12"/>
        <v>-17779.843693940849</v>
      </c>
      <c r="AH18">
        <f t="shared" si="27"/>
        <v>2499.4355527484827</v>
      </c>
      <c r="AI18">
        <f t="shared" si="28"/>
        <v>17779.843693940849</v>
      </c>
      <c r="AJ18">
        <f t="shared" si="29"/>
        <v>-2499.4355527484827</v>
      </c>
      <c r="AK18">
        <f t="shared" si="30"/>
        <v>-21779.346162740851</v>
      </c>
      <c r="AL18">
        <f t="shared" si="31"/>
        <v>7999.8701569489949</v>
      </c>
      <c r="AM18">
        <f t="shared" si="32"/>
        <v>1836.582311851007</v>
      </c>
      <c r="AN18" s="5">
        <f t="shared" si="33"/>
        <v>17954.665685088967</v>
      </c>
      <c r="AP18">
        <f t="shared" si="34"/>
        <v>21922.296808474191</v>
      </c>
    </row>
    <row r="19" spans="1:42" x14ac:dyDescent="0.25">
      <c r="A19" t="s">
        <v>72</v>
      </c>
      <c r="B19" t="s">
        <v>10</v>
      </c>
      <c r="C19">
        <v>6.5000000000000002E-2</v>
      </c>
      <c r="D19" t="s">
        <v>2</v>
      </c>
      <c r="F19">
        <f t="shared" si="35"/>
        <v>0.34</v>
      </c>
      <c r="G19" s="1">
        <f t="shared" si="13"/>
        <v>17911866.658394411</v>
      </c>
      <c r="H19">
        <f t="shared" si="0"/>
        <v>1.1120000000000001</v>
      </c>
      <c r="I19">
        <f t="shared" si="1"/>
        <v>1.2722700131730942</v>
      </c>
      <c r="J19">
        <f t="shared" si="14"/>
        <v>72.895702155871945</v>
      </c>
      <c r="K19">
        <f t="shared" si="2"/>
        <v>0.5040921246690202</v>
      </c>
      <c r="L19">
        <f t="shared" si="15"/>
        <v>28.882351229317386</v>
      </c>
      <c r="M19">
        <f t="shared" si="16"/>
        <v>1.3652305157476787</v>
      </c>
      <c r="N19">
        <f t="shared" si="17"/>
        <v>78.221946614810662</v>
      </c>
      <c r="O19">
        <f t="shared" si="3"/>
        <v>0.33371541383325742</v>
      </c>
      <c r="P19" s="2">
        <f t="shared" si="18"/>
        <v>19.120484771107339</v>
      </c>
      <c r="Q19">
        <f t="shared" si="4"/>
        <v>1.4600094889947728</v>
      </c>
      <c r="R19">
        <f t="shared" si="19"/>
        <v>83.6523817684525</v>
      </c>
      <c r="S19">
        <f t="shared" si="5"/>
        <v>9.4778973247094056E-2</v>
      </c>
      <c r="T19">
        <f t="shared" si="20"/>
        <v>5.4304351536418292</v>
      </c>
      <c r="U19">
        <f t="shared" si="21"/>
        <v>0.20556581104721783</v>
      </c>
      <c r="V19">
        <f t="shared" si="6"/>
        <v>11.778053385189336</v>
      </c>
      <c r="W19">
        <f t="shared" si="7"/>
        <v>14024.266137799355</v>
      </c>
      <c r="X19" s="4">
        <f t="shared" si="22"/>
        <v>5.6878807563684797</v>
      </c>
      <c r="Y19">
        <f t="shared" si="23"/>
        <v>1.1792006010971297</v>
      </c>
      <c r="Z19">
        <f t="shared" si="24"/>
        <v>21800.755502363507</v>
      </c>
      <c r="AA19">
        <f t="shared" si="8"/>
        <v>65.698423693992666</v>
      </c>
      <c r="AB19" s="1">
        <f t="shared" si="9"/>
        <v>123467.18363980492</v>
      </c>
      <c r="AC19" s="3">
        <f t="shared" si="25"/>
        <v>5.6634360046109116</v>
      </c>
      <c r="AD19">
        <f t="shared" si="10"/>
        <v>5.7297895098926253</v>
      </c>
      <c r="AE19">
        <f t="shared" si="11"/>
        <v>3.4739695588028301</v>
      </c>
      <c r="AF19">
        <f t="shared" si="26"/>
        <v>-2410.2991368788084</v>
      </c>
      <c r="AG19">
        <f t="shared" si="12"/>
        <v>-17667.601595762804</v>
      </c>
      <c r="AH19">
        <f t="shared" si="27"/>
        <v>2410.2991368788084</v>
      </c>
      <c r="AI19">
        <f t="shared" si="28"/>
        <v>17667.601595762804</v>
      </c>
      <c r="AJ19">
        <f t="shared" si="29"/>
        <v>-2410.2991368788084</v>
      </c>
      <c r="AK19">
        <f t="shared" si="30"/>
        <v>-21667.104064562805</v>
      </c>
      <c r="AL19">
        <f t="shared" si="31"/>
        <v>7934.9768908809865</v>
      </c>
      <c r="AM19">
        <f t="shared" si="32"/>
        <v>1901.4755779190154</v>
      </c>
      <c r="AN19" s="5">
        <f t="shared" si="33"/>
        <v>17831.25593097242</v>
      </c>
      <c r="AP19">
        <f t="shared" si="34"/>
        <v>21800.755502363507</v>
      </c>
    </row>
    <row r="20" spans="1:42" x14ac:dyDescent="0.25">
      <c r="B20" t="s">
        <v>11</v>
      </c>
      <c r="C20">
        <v>3.5000000000000003E-2</v>
      </c>
      <c r="D20" t="s">
        <v>2</v>
      </c>
      <c r="F20">
        <f t="shared" si="35"/>
        <v>0.36000000000000004</v>
      </c>
      <c r="G20" s="1">
        <f t="shared" si="13"/>
        <v>18373064.629353695</v>
      </c>
      <c r="H20">
        <f t="shared" si="0"/>
        <v>1.1320000000000001</v>
      </c>
      <c r="I20">
        <f t="shared" si="1"/>
        <v>1.3087550610917689</v>
      </c>
      <c r="J20">
        <f t="shared" si="14"/>
        <v>74.986141416944577</v>
      </c>
      <c r="K20">
        <f t="shared" si="2"/>
        <v>0.50007236940949351</v>
      </c>
      <c r="L20">
        <f t="shared" si="15"/>
        <v>28.652036218270993</v>
      </c>
      <c r="M20">
        <f t="shared" si="16"/>
        <v>1.3327652230885307</v>
      </c>
      <c r="N20">
        <f t="shared" si="17"/>
        <v>76.36182236478443</v>
      </c>
      <c r="O20">
        <f t="shared" si="3"/>
        <v>0.37020046175193211</v>
      </c>
      <c r="P20" s="2">
        <f t="shared" si="18"/>
        <v>21.210924032179967</v>
      </c>
      <c r="Q20">
        <f t="shared" si="4"/>
        <v>1.4640292442542995</v>
      </c>
      <c r="R20">
        <f t="shared" si="19"/>
        <v>83.882696779498886</v>
      </c>
      <c r="S20">
        <f t="shared" si="5"/>
        <v>0.13126402116576874</v>
      </c>
      <c r="T20">
        <f t="shared" si="20"/>
        <v>7.5208744147144566</v>
      </c>
      <c r="U20">
        <f t="shared" si="21"/>
        <v>0.23803110370636582</v>
      </c>
      <c r="V20">
        <f t="shared" si="6"/>
        <v>13.63817763521557</v>
      </c>
      <c r="W20">
        <f t="shared" si="7"/>
        <v>14231.145105346575</v>
      </c>
      <c r="X20" s="4">
        <f t="shared" si="22"/>
        <v>5.7186169813117163</v>
      </c>
      <c r="Y20">
        <f t="shared" si="23"/>
        <v>1.3024883544157519</v>
      </c>
      <c r="Z20">
        <f t="shared" si="24"/>
        <v>21668.632801053926</v>
      </c>
      <c r="AA20">
        <f t="shared" si="8"/>
        <v>65.300260739993632</v>
      </c>
      <c r="AB20" s="1">
        <f t="shared" si="9"/>
        <v>119142.92624978065</v>
      </c>
      <c r="AC20" s="3">
        <f t="shared" si="25"/>
        <v>5.4984053375063766</v>
      </c>
      <c r="AD20">
        <f t="shared" si="10"/>
        <v>5.75944960674508</v>
      </c>
      <c r="AE20">
        <f t="shared" si="11"/>
        <v>3.474755254615419</v>
      </c>
      <c r="AF20">
        <f t="shared" si="26"/>
        <v>-2309.1038722023754</v>
      </c>
      <c r="AG20">
        <f t="shared" si="12"/>
        <v>-17545.74496014103</v>
      </c>
      <c r="AH20">
        <f t="shared" si="27"/>
        <v>2309.1038722023754</v>
      </c>
      <c r="AI20">
        <f t="shared" si="28"/>
        <v>17545.74496014103</v>
      </c>
      <c r="AJ20">
        <f t="shared" si="29"/>
        <v>-2309.1038722023754</v>
      </c>
      <c r="AK20">
        <f t="shared" si="30"/>
        <v>-21545.247428941031</v>
      </c>
      <c r="AL20">
        <f t="shared" si="31"/>
        <v>7862.409690931665</v>
      </c>
      <c r="AM20">
        <f t="shared" si="32"/>
        <v>1974.042777868337</v>
      </c>
      <c r="AN20" s="5">
        <f t="shared" si="33"/>
        <v>17697.037235055315</v>
      </c>
      <c r="AP20">
        <f t="shared" si="34"/>
        <v>21668.632801053926</v>
      </c>
    </row>
    <row r="21" spans="1:42" x14ac:dyDescent="0.25">
      <c r="B21" t="s">
        <v>9</v>
      </c>
      <c r="C21">
        <f>C19^2*PI()/4</f>
        <v>3.3183072403542195E-3</v>
      </c>
      <c r="D21" t="s">
        <v>13</v>
      </c>
      <c r="F21">
        <f t="shared" si="35"/>
        <v>0.38000000000000006</v>
      </c>
      <c r="G21" s="1">
        <f t="shared" si="13"/>
        <v>19037168.990557581</v>
      </c>
      <c r="H21">
        <f t="shared" si="0"/>
        <v>1.1520000000000001</v>
      </c>
      <c r="I21">
        <f t="shared" si="1"/>
        <v>1.3455275217918525</v>
      </c>
      <c r="J21">
        <f t="shared" si="14"/>
        <v>77.093048217370054</v>
      </c>
      <c r="K21">
        <f t="shared" si="2"/>
        <v>0.49552317479393682</v>
      </c>
      <c r="L21">
        <f t="shared" si="15"/>
        <v>28.391386566615957</v>
      </c>
      <c r="M21">
        <f t="shared" si="16"/>
        <v>1.3005419570040038</v>
      </c>
      <c r="N21">
        <f t="shared" si="17"/>
        <v>74.515565216013997</v>
      </c>
      <c r="O21">
        <f t="shared" si="3"/>
        <v>0.40697292245201577</v>
      </c>
      <c r="P21" s="2">
        <f t="shared" si="18"/>
        <v>23.317830832605448</v>
      </c>
      <c r="Q21">
        <f t="shared" si="4"/>
        <v>1.4685784388698562</v>
      </c>
      <c r="R21">
        <f t="shared" si="19"/>
        <v>84.14334643115393</v>
      </c>
      <c r="S21">
        <f t="shared" si="5"/>
        <v>0.16803648186585241</v>
      </c>
      <c r="T21">
        <f t="shared" si="20"/>
        <v>9.6277812151399367</v>
      </c>
      <c r="U21">
        <f t="shared" si="21"/>
        <v>0.27025436979089279</v>
      </c>
      <c r="V21">
        <f t="shared" si="6"/>
        <v>15.484434783986011</v>
      </c>
      <c r="W21">
        <f t="shared" si="7"/>
        <v>14471.410637822797</v>
      </c>
      <c r="X21" s="4">
        <f t="shared" si="22"/>
        <v>5.7725257729756789</v>
      </c>
      <c r="Y21">
        <f t="shared" si="23"/>
        <v>1.4249927163812028</v>
      </c>
      <c r="Z21">
        <f t="shared" si="24"/>
        <v>21524.246163628413</v>
      </c>
      <c r="AA21">
        <f t="shared" si="8"/>
        <v>64.865139375493044</v>
      </c>
      <c r="AB21" s="1">
        <f t="shared" si="9"/>
        <v>115041.92974077309</v>
      </c>
      <c r="AC21" s="3">
        <f t="shared" si="25"/>
        <v>5.3447599914170514</v>
      </c>
      <c r="AD21">
        <f t="shared" si="10"/>
        <v>5.8118977614628653</v>
      </c>
      <c r="AE21">
        <f t="shared" si="11"/>
        <v>3.475858659327324</v>
      </c>
      <c r="AF21">
        <f t="shared" si="26"/>
        <v>-2196.3335839010997</v>
      </c>
      <c r="AG21">
        <f t="shared" si="12"/>
        <v>-17412.393563562491</v>
      </c>
      <c r="AH21">
        <f t="shared" si="27"/>
        <v>2196.3335839010997</v>
      </c>
      <c r="AI21">
        <f t="shared" si="28"/>
        <v>17412.393563562491</v>
      </c>
      <c r="AJ21">
        <f t="shared" si="29"/>
        <v>-2196.3335839010997</v>
      </c>
      <c r="AK21">
        <f t="shared" si="30"/>
        <v>-21411.896032362492</v>
      </c>
      <c r="AL21">
        <f t="shared" si="31"/>
        <v>7782.0268600682666</v>
      </c>
      <c r="AM21">
        <f t="shared" si="32"/>
        <v>2054.4256087317353</v>
      </c>
      <c r="AN21" s="5">
        <f t="shared" si="33"/>
        <v>17550.365546739027</v>
      </c>
      <c r="AP21">
        <f t="shared" si="34"/>
        <v>21524.246163628413</v>
      </c>
    </row>
    <row r="22" spans="1:42" x14ac:dyDescent="0.25">
      <c r="B22" t="s">
        <v>12</v>
      </c>
      <c r="C22">
        <f>C20^2*PI()/4</f>
        <v>9.6211275016187424E-4</v>
      </c>
      <c r="D22" t="s">
        <v>13</v>
      </c>
      <c r="F22">
        <f t="shared" si="35"/>
        <v>0.40000000000000008</v>
      </c>
      <c r="G22" s="1">
        <f t="shared" si="13"/>
        <v>19953724.5777268</v>
      </c>
      <c r="H22">
        <f t="shared" si="0"/>
        <v>1.1720000000000002</v>
      </c>
      <c r="I22">
        <f t="shared" si="1"/>
        <v>1.3826287314603793</v>
      </c>
      <c r="J22">
        <f t="shared" si="14"/>
        <v>79.21879094620661</v>
      </c>
      <c r="K22">
        <f t="shared" si="2"/>
        <v>0.49045679890936533</v>
      </c>
      <c r="L22">
        <f t="shared" si="15"/>
        <v>28.101104611003148</v>
      </c>
      <c r="M22">
        <f t="shared" si="16"/>
        <v>1.2685071232200484</v>
      </c>
      <c r="N22">
        <f t="shared" si="17"/>
        <v>72.680104442790238</v>
      </c>
      <c r="O22">
        <f t="shared" si="3"/>
        <v>0.44407413212054259</v>
      </c>
      <c r="P22" s="2">
        <f t="shared" si="18"/>
        <v>25.443573561441994</v>
      </c>
      <c r="Q22">
        <f t="shared" si="4"/>
        <v>1.4736448147544277</v>
      </c>
      <c r="R22">
        <f t="shared" si="19"/>
        <v>84.433628386766728</v>
      </c>
      <c r="S22">
        <f t="shared" si="5"/>
        <v>0.20513769153437922</v>
      </c>
      <c r="T22">
        <f t="shared" si="20"/>
        <v>11.753523943976486</v>
      </c>
      <c r="U22">
        <f t="shared" si="21"/>
        <v>0.30228920357484812</v>
      </c>
      <c r="V22">
        <f t="shared" si="6"/>
        <v>17.319895557209755</v>
      </c>
      <c r="W22">
        <f t="shared" si="7"/>
        <v>14746.947839971925</v>
      </c>
      <c r="X22" s="4">
        <f t="shared" si="22"/>
        <v>5.8543818568431893</v>
      </c>
      <c r="Y22">
        <f t="shared" si="23"/>
        <v>1.5466391917076994</v>
      </c>
      <c r="Z22">
        <f t="shared" si="24"/>
        <v>21365.841795730343</v>
      </c>
      <c r="AA22">
        <f t="shared" si="8"/>
        <v>64.387774392613508</v>
      </c>
      <c r="AB22" s="1">
        <f t="shared" si="9"/>
        <v>111149.08525921889</v>
      </c>
      <c r="AC22" s="3">
        <f t="shared" si="25"/>
        <v>5.2021861025588256</v>
      </c>
      <c r="AD22">
        <f t="shared" si="10"/>
        <v>5.8919099600706915</v>
      </c>
      <c r="AE22">
        <f t="shared" si="11"/>
        <v>3.4772758021486765</v>
      </c>
      <c r="AF22">
        <f t="shared" si="26"/>
        <v>-2072.4601194568859</v>
      </c>
      <c r="AG22">
        <f t="shared" si="12"/>
        <v>-17265.588753516407</v>
      </c>
      <c r="AH22">
        <f t="shared" si="27"/>
        <v>2072.4601194568859</v>
      </c>
      <c r="AI22">
        <f t="shared" si="28"/>
        <v>17265.588753516407</v>
      </c>
      <c r="AJ22">
        <f t="shared" si="29"/>
        <v>-2072.4601194568859</v>
      </c>
      <c r="AK22">
        <f t="shared" si="30"/>
        <v>-21265.091222316409</v>
      </c>
      <c r="AL22">
        <f t="shared" si="31"/>
        <v>7693.6654127135253</v>
      </c>
      <c r="AM22">
        <f t="shared" si="32"/>
        <v>2142.7870560864767</v>
      </c>
      <c r="AN22" s="5">
        <f t="shared" si="33"/>
        <v>17389.526904211383</v>
      </c>
      <c r="AP22">
        <f t="shared" si="34"/>
        <v>21365.841795730343</v>
      </c>
    </row>
    <row r="23" spans="1:42" x14ac:dyDescent="0.25">
      <c r="B23" t="s">
        <v>17</v>
      </c>
      <c r="C23">
        <f>(C21-C22)/C21</f>
        <v>0.71005917159763321</v>
      </c>
      <c r="F23">
        <f t="shared" si="35"/>
        <v>0.4200000000000001</v>
      </c>
      <c r="G23" s="1">
        <f t="shared" si="13"/>
        <v>21199360.35951212</v>
      </c>
      <c r="H23">
        <f t="shared" si="0"/>
        <v>1.1920000000000002</v>
      </c>
      <c r="I23">
        <f t="shared" si="1"/>
        <v>1.4201016505242203</v>
      </c>
      <c r="J23">
        <f t="shared" si="14"/>
        <v>81.365831054600022</v>
      </c>
      <c r="K23">
        <f t="shared" si="2"/>
        <v>0.48488260570500219</v>
      </c>
      <c r="L23">
        <f t="shared" si="15"/>
        <v>27.781726866202639</v>
      </c>
      <c r="M23">
        <f t="shared" si="16"/>
        <v>1.2366083973605706</v>
      </c>
      <c r="N23">
        <f t="shared" si="17"/>
        <v>70.852442079197345</v>
      </c>
      <c r="O23">
        <f t="shared" si="3"/>
        <v>0.48154705118438379</v>
      </c>
      <c r="P23" s="2">
        <f t="shared" si="18"/>
        <v>27.590613669835424</v>
      </c>
      <c r="Q23">
        <f t="shared" si="4"/>
        <v>1.4792190079587908</v>
      </c>
      <c r="R23">
        <f t="shared" si="19"/>
        <v>84.753006131567247</v>
      </c>
      <c r="S23">
        <f t="shared" si="5"/>
        <v>0.2426106105982202</v>
      </c>
      <c r="T23">
        <f t="shared" si="20"/>
        <v>13.9005640523699</v>
      </c>
      <c r="U23">
        <f t="shared" si="21"/>
        <v>0.33418792943432596</v>
      </c>
      <c r="V23">
        <f t="shared" si="6"/>
        <v>19.147557920802655</v>
      </c>
      <c r="W23">
        <f t="shared" si="7"/>
        <v>15060.196459172044</v>
      </c>
      <c r="X23" s="4">
        <f t="shared" si="22"/>
        <v>5.9712628884692904</v>
      </c>
      <c r="Y23">
        <f t="shared" si="23"/>
        <v>1.6673430561711942</v>
      </c>
      <c r="Z23">
        <f t="shared" si="24"/>
        <v>21191.560924995643</v>
      </c>
      <c r="AA23">
        <f t="shared" si="8"/>
        <v>63.862564223358376</v>
      </c>
      <c r="AB23" s="1">
        <f t="shared" si="9"/>
        <v>107450.54074612273</v>
      </c>
      <c r="AC23" s="3">
        <f t="shared" si="25"/>
        <v>5.070440121255241</v>
      </c>
      <c r="AD23">
        <f t="shared" si="10"/>
        <v>6.006572237777176</v>
      </c>
      <c r="AE23">
        <f t="shared" si="11"/>
        <v>3.478994007628625</v>
      </c>
      <c r="AF23">
        <f t="shared" si="26"/>
        <v>-1937.9549329144304</v>
      </c>
      <c r="AG23">
        <f t="shared" si="12"/>
        <v>-17103.260030830108</v>
      </c>
      <c r="AH23">
        <f t="shared" si="27"/>
        <v>1937.9549329144304</v>
      </c>
      <c r="AI23">
        <f t="shared" si="28"/>
        <v>17103.260030830108</v>
      </c>
      <c r="AJ23">
        <f t="shared" si="29"/>
        <v>-1937.9549329144304</v>
      </c>
      <c r="AK23">
        <f t="shared" si="30"/>
        <v>-21102.762499630109</v>
      </c>
      <c r="AL23">
        <f t="shared" si="31"/>
        <v>7597.139983761148</v>
      </c>
      <c r="AM23">
        <f t="shared" si="32"/>
        <v>2239.312485038854</v>
      </c>
      <c r="AN23" s="5">
        <f t="shared" si="33"/>
        <v>17212.703826075613</v>
      </c>
      <c r="AP23">
        <f t="shared" si="34"/>
        <v>21191.560924995643</v>
      </c>
    </row>
    <row r="24" spans="1:42" x14ac:dyDescent="0.25">
      <c r="B24" t="s">
        <v>15</v>
      </c>
      <c r="C24">
        <v>0.5</v>
      </c>
      <c r="D24" t="s">
        <v>2</v>
      </c>
      <c r="F24">
        <f t="shared" si="35"/>
        <v>0.44000000000000011</v>
      </c>
      <c r="G24" s="1">
        <f t="shared" si="13"/>
        <v>22895790.521835055</v>
      </c>
      <c r="H24">
        <f t="shared" si="0"/>
        <v>1.2120000000000002</v>
      </c>
      <c r="I24">
        <f t="shared" si="1"/>
        <v>1.4579913885818185</v>
      </c>
      <c r="J24">
        <f t="shared" si="14"/>
        <v>83.536753132156605</v>
      </c>
      <c r="K24">
        <f t="shared" si="2"/>
        <v>0.47880714627581433</v>
      </c>
      <c r="L24">
        <f t="shared" si="15"/>
        <v>27.433628682307212</v>
      </c>
      <c r="M24">
        <f t="shared" si="16"/>
        <v>1.2047941187321602</v>
      </c>
      <c r="N24">
        <f t="shared" si="17"/>
        <v>69.029618185536179</v>
      </c>
      <c r="O24">
        <f t="shared" si="3"/>
        <v>0.51943678924198178</v>
      </c>
      <c r="P24" s="2">
        <f t="shared" si="18"/>
        <v>29.761535747392003</v>
      </c>
      <c r="Q24">
        <f t="shared" si="4"/>
        <v>1.4852944673879787</v>
      </c>
      <c r="R24">
        <f t="shared" si="19"/>
        <v>85.101104315462663</v>
      </c>
      <c r="S24">
        <f t="shared" si="5"/>
        <v>0.28050034865581841</v>
      </c>
      <c r="T24">
        <f t="shared" si="20"/>
        <v>16.071486129926491</v>
      </c>
      <c r="U24">
        <f t="shared" si="21"/>
        <v>0.36600220806273631</v>
      </c>
      <c r="V24">
        <f t="shared" si="6"/>
        <v>20.970381814463821</v>
      </c>
      <c r="W24">
        <f t="shared" si="7"/>
        <v>15414.221855270307</v>
      </c>
      <c r="X24" s="4">
        <f t="shared" si="22"/>
        <v>6.1339064819984861</v>
      </c>
      <c r="Y24">
        <f t="shared" si="23"/>
        <v>1.7870086582732809</v>
      </c>
      <c r="Z24">
        <f t="shared" si="24"/>
        <v>20999.402849772621</v>
      </c>
      <c r="AA24">
        <f t="shared" si="8"/>
        <v>63.283479583798268</v>
      </c>
      <c r="AB24" s="1">
        <f t="shared" si="9"/>
        <v>103933.57754053178</v>
      </c>
      <c r="AC24" s="3">
        <f t="shared" si="25"/>
        <v>4.9493587167245172</v>
      </c>
      <c r="AD24">
        <f t="shared" si="10"/>
        <v>6.1666379205467878</v>
      </c>
      <c r="AE24">
        <f t="shared" si="11"/>
        <v>3.4809909540275634</v>
      </c>
      <c r="AF24">
        <f t="shared" si="26"/>
        <v>-1793.3011167784305</v>
      </c>
      <c r="AG24">
        <f t="shared" si="12"/>
        <v>-16923.188351254663</v>
      </c>
      <c r="AH24">
        <f t="shared" si="27"/>
        <v>1793.3011167784305</v>
      </c>
      <c r="AI24">
        <f t="shared" si="28"/>
        <v>16923.188351254663</v>
      </c>
      <c r="AJ24">
        <f t="shared" si="29"/>
        <v>-1793.3011167784305</v>
      </c>
      <c r="AK24">
        <f t="shared" si="30"/>
        <v>-20922.690820054664</v>
      </c>
      <c r="AL24">
        <f t="shared" si="31"/>
        <v>7492.2413007112591</v>
      </c>
      <c r="AM24">
        <f t="shared" si="32"/>
        <v>2344.2111680887429</v>
      </c>
      <c r="AN24" s="5">
        <f t="shared" si="33"/>
        <v>17017.93856104435</v>
      </c>
      <c r="AP24">
        <f t="shared" si="34"/>
        <v>20999.402849772621</v>
      </c>
    </row>
    <row r="25" spans="1:42" x14ac:dyDescent="0.25">
      <c r="B25" t="s">
        <v>16</v>
      </c>
      <c r="C25" s="1">
        <v>1000000000</v>
      </c>
      <c r="D25" t="s">
        <v>8</v>
      </c>
      <c r="F25">
        <f t="shared" si="35"/>
        <v>0.46000000000000013</v>
      </c>
      <c r="G25" s="1">
        <f t="shared" si="13"/>
        <v>25245298.207191542</v>
      </c>
      <c r="H25">
        <f t="shared" si="0"/>
        <v>1.2320000000000002</v>
      </c>
      <c r="I25">
        <f t="shared" si="1"/>
        <v>1.4963457818064012</v>
      </c>
      <c r="J25">
        <f t="shared" si="14"/>
        <v>85.734297989710356</v>
      </c>
      <c r="K25">
        <f t="shared" si="2"/>
        <v>0.47223418648942328</v>
      </c>
      <c r="L25">
        <f t="shared" si="15"/>
        <v>27.057025827637794</v>
      </c>
      <c r="M25">
        <f t="shared" si="16"/>
        <v>1.1730126852939686</v>
      </c>
      <c r="N25">
        <f t="shared" si="17"/>
        <v>67.208676182651843</v>
      </c>
      <c r="O25">
        <f t="shared" si="3"/>
        <v>0.55779118246656445</v>
      </c>
      <c r="P25" s="2">
        <f t="shared" si="18"/>
        <v>31.959080604945751</v>
      </c>
      <c r="Q25">
        <f t="shared" si="4"/>
        <v>1.4918674271743697</v>
      </c>
      <c r="R25">
        <f t="shared" si="19"/>
        <v>85.477707170132092</v>
      </c>
      <c r="S25">
        <f t="shared" si="5"/>
        <v>0.31885474188040108</v>
      </c>
      <c r="T25">
        <f t="shared" si="20"/>
        <v>18.269030987480235</v>
      </c>
      <c r="U25">
        <f t="shared" si="21"/>
        <v>0.39778364150092793</v>
      </c>
      <c r="V25">
        <f t="shared" si="6"/>
        <v>22.79132381734815</v>
      </c>
      <c r="W25">
        <f t="shared" si="7"/>
        <v>15812.812255550227</v>
      </c>
      <c r="X25" s="4">
        <f t="shared" si="22"/>
        <v>6.3592489491657185</v>
      </c>
      <c r="Y25">
        <f t="shared" si="23"/>
        <v>1.9055284981313565</v>
      </c>
      <c r="Z25">
        <f t="shared" si="24"/>
        <v>20787.183026202187</v>
      </c>
      <c r="AA25">
        <f t="shared" si="8"/>
        <v>62.643937165936507</v>
      </c>
      <c r="AB25" s="1">
        <f t="shared" si="9"/>
        <v>100586.50088989166</v>
      </c>
      <c r="AC25" s="3">
        <f t="shared" si="25"/>
        <v>4.8388711814921077</v>
      </c>
      <c r="AD25">
        <f t="shared" si="10"/>
        <v>6.3890655949566044</v>
      </c>
      <c r="AE25">
        <f t="shared" si="11"/>
        <v>3.483234180796043</v>
      </c>
      <c r="AF25">
        <f t="shared" si="26"/>
        <v>-1639.0064722444376</v>
      </c>
      <c r="AG25">
        <f t="shared" si="12"/>
        <v>-16722.964468048256</v>
      </c>
      <c r="AH25">
        <f t="shared" si="27"/>
        <v>1639.0064722444376</v>
      </c>
      <c r="AI25">
        <f t="shared" si="28"/>
        <v>16722.964468048256</v>
      </c>
      <c r="AJ25">
        <f t="shared" si="29"/>
        <v>-1639.0064722444376</v>
      </c>
      <c r="AK25">
        <f t="shared" si="30"/>
        <v>-20722.466936848257</v>
      </c>
      <c r="AL25">
        <f t="shared" si="31"/>
        <v>7378.734168407007</v>
      </c>
      <c r="AM25">
        <f t="shared" si="32"/>
        <v>2457.7183003929949</v>
      </c>
      <c r="AN25" s="5">
        <f t="shared" si="33"/>
        <v>16803.091466026828</v>
      </c>
      <c r="AP25">
        <f t="shared" si="34"/>
        <v>20787.183026202187</v>
      </c>
    </row>
    <row r="26" spans="1:42" x14ac:dyDescent="0.25">
      <c r="B26" t="s">
        <v>26</v>
      </c>
      <c r="C26" s="1">
        <v>2.0000000000000001E-4</v>
      </c>
      <c r="D26" t="s">
        <v>53</v>
      </c>
      <c r="F26">
        <f>F25+0.02</f>
        <v>0.48000000000000015</v>
      </c>
      <c r="G26" s="1">
        <f t="shared" si="13"/>
        <v>28606981.004177056</v>
      </c>
      <c r="H26">
        <f t="shared" si="0"/>
        <v>1.2520000000000002</v>
      </c>
      <c r="I26">
        <f t="shared" si="1"/>
        <v>1.5352160434519493</v>
      </c>
      <c r="J26">
        <f t="shared" si="14"/>
        <v>87.961399930569485</v>
      </c>
      <c r="K26">
        <f t="shared" si="2"/>
        <v>0.46516467978490095</v>
      </c>
      <c r="L26">
        <f t="shared" si="15"/>
        <v>26.651972930229228</v>
      </c>
      <c r="M26">
        <f t="shared" si="16"/>
        <v>1.1412119303529429</v>
      </c>
      <c r="N26">
        <f t="shared" si="17"/>
        <v>65.386627139201281</v>
      </c>
      <c r="O26">
        <f t="shared" si="3"/>
        <v>0.59666144411211253</v>
      </c>
      <c r="P26" s="2">
        <f t="shared" si="18"/>
        <v>34.18618254580489</v>
      </c>
      <c r="Q26">
        <f t="shared" si="4"/>
        <v>1.498936933878892</v>
      </c>
      <c r="R26">
        <f t="shared" si="19"/>
        <v>85.882760067540659</v>
      </c>
      <c r="S26">
        <f t="shared" si="5"/>
        <v>0.35772500352594916</v>
      </c>
      <c r="T26">
        <f t="shared" si="20"/>
        <v>20.496132928339378</v>
      </c>
      <c r="U26">
        <f t="shared" si="21"/>
        <v>0.42958439644195368</v>
      </c>
      <c r="V26">
        <f t="shared" si="6"/>
        <v>24.613372860798727</v>
      </c>
      <c r="W26">
        <f t="shared" si="7"/>
        <v>16260.60873099291</v>
      </c>
      <c r="X26" s="4">
        <f t="shared" si="22"/>
        <v>6.6755606432332213</v>
      </c>
      <c r="Y26">
        <f t="shared" si="23"/>
        <v>2.0227820497201665</v>
      </c>
      <c r="Z26">
        <f t="shared" si="24"/>
        <v>20552.484098203011</v>
      </c>
      <c r="AA26">
        <f t="shared" si="8"/>
        <v>61.936652062420521</v>
      </c>
      <c r="AB26" s="1">
        <f t="shared" si="9"/>
        <v>97398.542604483897</v>
      </c>
      <c r="AC26" s="3">
        <f t="shared" si="25"/>
        <v>4.739015592426604</v>
      </c>
      <c r="AD26">
        <f t="shared" si="10"/>
        <v>6.702152005083474</v>
      </c>
      <c r="AE26">
        <f t="shared" si="11"/>
        <v>3.4856812123418557</v>
      </c>
      <c r="AF26">
        <f t="shared" si="26"/>
        <v>-1475.6183052207039</v>
      </c>
      <c r="AG26">
        <f t="shared" si="12"/>
        <v>-16499.940285191758</v>
      </c>
      <c r="AH26">
        <f t="shared" si="27"/>
        <v>1475.6183052207039</v>
      </c>
      <c r="AI26">
        <f t="shared" si="28"/>
        <v>16499.940285191758</v>
      </c>
      <c r="AJ26">
        <f t="shared" si="29"/>
        <v>-1475.6183052207039</v>
      </c>
      <c r="AK26">
        <f t="shared" si="30"/>
        <v>-20499.44275399176</v>
      </c>
      <c r="AL26">
        <f t="shared" si="31"/>
        <v>7256.3548922589025</v>
      </c>
      <c r="AM26">
        <f t="shared" si="32"/>
        <v>2580.0975765410994</v>
      </c>
      <c r="AN26" s="5">
        <f t="shared" si="33"/>
        <v>16565.792428905908</v>
      </c>
      <c r="AP26">
        <f t="shared" si="34"/>
        <v>20552.484098203011</v>
      </c>
    </row>
    <row r="27" spans="1:42" x14ac:dyDescent="0.25">
      <c r="B27" t="s">
        <v>61</v>
      </c>
      <c r="C27">
        <f>C20^4*PI()/64</f>
        <v>7.3661757434268505E-8</v>
      </c>
      <c r="F27">
        <f>F26+0.02</f>
        <v>0.50000000000000011</v>
      </c>
      <c r="G27" s="1">
        <f t="shared" si="13"/>
        <v>33680937.52544532</v>
      </c>
      <c r="H27">
        <f t="shared" si="0"/>
        <v>1.2720000000000002</v>
      </c>
      <c r="I27">
        <f t="shared" si="1"/>
        <v>1.574657512496985</v>
      </c>
      <c r="J27">
        <f t="shared" si="14"/>
        <v>90.221229644645931</v>
      </c>
      <c r="K27">
        <f t="shared" si="2"/>
        <v>0.45759668140222587</v>
      </c>
      <c r="L27">
        <f t="shared" si="15"/>
        <v>26.218358563540111</v>
      </c>
      <c r="M27">
        <f t="shared" si="16"/>
        <v>1.1093384596905822</v>
      </c>
      <c r="N27">
        <f t="shared" si="17"/>
        <v>63.560411791813962</v>
      </c>
      <c r="O27">
        <f t="shared" si="3"/>
        <v>0.63610291315714829</v>
      </c>
      <c r="P27" s="2">
        <f t="shared" si="18"/>
        <v>36.446012259881321</v>
      </c>
      <c r="Q27">
        <f t="shared" si="4"/>
        <v>1.5065049322615671</v>
      </c>
      <c r="R27">
        <f t="shared" si="19"/>
        <v>86.316374434229772</v>
      </c>
      <c r="S27">
        <f t="shared" si="5"/>
        <v>0.39716647257098492</v>
      </c>
      <c r="T27">
        <f t="shared" si="20"/>
        <v>22.75596264241581</v>
      </c>
      <c r="U27">
        <f t="shared" si="21"/>
        <v>0.46145786710431436</v>
      </c>
      <c r="V27">
        <f t="shared" si="6"/>
        <v>26.439588208186038</v>
      </c>
      <c r="W27">
        <f t="shared" si="7"/>
        <v>16763.277155223746</v>
      </c>
      <c r="X27" s="4">
        <f t="shared" si="22"/>
        <v>7.1339942474376521</v>
      </c>
      <c r="Y27">
        <f t="shared" si="23"/>
        <v>2.1386342792397199</v>
      </c>
      <c r="Z27">
        <f t="shared" si="24"/>
        <v>20292.597221339372</v>
      </c>
      <c r="AA27">
        <f t="shared" si="8"/>
        <v>61.153460941046554</v>
      </c>
      <c r="AB27" s="1">
        <f t="shared" si="9"/>
        <v>94359.774340598495</v>
      </c>
      <c r="AC27" s="3">
        <f t="shared" si="25"/>
        <v>4.6499604417994984</v>
      </c>
      <c r="AD27">
        <f t="shared" si="10"/>
        <v>7.1570748196834328</v>
      </c>
      <c r="AE27">
        <f t="shared" si="11"/>
        <v>3.4882804257794526</v>
      </c>
      <c r="AF27">
        <f t="shared" si="26"/>
        <v>-1303.7407973335978</v>
      </c>
      <c r="AG27">
        <f t="shared" si="12"/>
        <v>-16251.170653861342</v>
      </c>
      <c r="AH27">
        <f t="shared" si="27"/>
        <v>1303.7407973335978</v>
      </c>
      <c r="AI27">
        <f t="shared" si="28"/>
        <v>16251.170653861342</v>
      </c>
      <c r="AJ27">
        <f t="shared" si="29"/>
        <v>-1303.7407973335978</v>
      </c>
      <c r="AK27">
        <f t="shared" si="30"/>
        <v>-20250.673122661341</v>
      </c>
      <c r="AL27">
        <f t="shared" si="31"/>
        <v>7124.8080366348267</v>
      </c>
      <c r="AM27">
        <f t="shared" si="32"/>
        <v>2711.6444321651734</v>
      </c>
      <c r="AN27" s="5">
        <f t="shared" si="33"/>
        <v>16303.382706897244</v>
      </c>
      <c r="AP27">
        <f t="shared" si="34"/>
        <v>20292.597221339372</v>
      </c>
    </row>
    <row r="28" spans="1:42" x14ac:dyDescent="0.25">
      <c r="B28" t="s">
        <v>87</v>
      </c>
      <c r="C28">
        <f>C21*C24*1000</f>
        <v>1.6591536201771098</v>
      </c>
      <c r="D28" t="s">
        <v>88</v>
      </c>
    </row>
    <row r="29" spans="1:42" x14ac:dyDescent="0.25">
      <c r="B29" t="s">
        <v>97</v>
      </c>
      <c r="C29">
        <f>(C21-C22)*C24*1000</f>
        <v>1.1780972450961726</v>
      </c>
      <c r="D29" t="s">
        <v>88</v>
      </c>
    </row>
    <row r="30" spans="1:42" x14ac:dyDescent="0.25">
      <c r="J30" t="s">
        <v>67</v>
      </c>
      <c r="K30">
        <f>MAX(AA2:AA27)</f>
        <v>72.893777154749316</v>
      </c>
    </row>
    <row r="31" spans="1:42" x14ac:dyDescent="0.25">
      <c r="J31" t="s">
        <v>68</v>
      </c>
      <c r="K31" s="3">
        <f>MIN(AC2:AC27)</f>
        <v>4.6499604417994984</v>
      </c>
    </row>
    <row r="32" spans="1:42" x14ac:dyDescent="0.25">
      <c r="A32" t="s">
        <v>73</v>
      </c>
      <c r="B32" t="s">
        <v>28</v>
      </c>
      <c r="C32">
        <v>0.4365</v>
      </c>
      <c r="D32" t="s">
        <v>2</v>
      </c>
      <c r="E32" t="s">
        <v>99</v>
      </c>
      <c r="J32" t="s">
        <v>69</v>
      </c>
      <c r="K32">
        <f>MIN(X2:X27)</f>
        <v>5.6770771770396573</v>
      </c>
      <c r="AB32">
        <f>66500/60</f>
        <v>1108.3333333333333</v>
      </c>
    </row>
    <row r="33" spans="1:28" x14ac:dyDescent="0.25">
      <c r="A33" t="s">
        <v>74</v>
      </c>
      <c r="B33" t="s">
        <v>29</v>
      </c>
      <c r="C33">
        <v>-1.052</v>
      </c>
      <c r="D33" t="s">
        <v>2</v>
      </c>
      <c r="E33" t="s">
        <v>100</v>
      </c>
      <c r="J33" t="s">
        <v>66</v>
      </c>
      <c r="K33">
        <f>C18</f>
        <v>91.762042964277569</v>
      </c>
      <c r="AB33">
        <f>AB32/51</f>
        <v>21.732026143790847</v>
      </c>
    </row>
    <row r="34" spans="1:28" x14ac:dyDescent="0.25">
      <c r="B34" t="s">
        <v>32</v>
      </c>
      <c r="C34">
        <f>SQRT($C$32^2+$C$33^2)</f>
        <v>1.1389627957049344</v>
      </c>
      <c r="D34" t="s">
        <v>2</v>
      </c>
      <c r="Y34">
        <f>35*35*0.5</f>
        <v>612.5</v>
      </c>
    </row>
    <row r="35" spans="1:28" x14ac:dyDescent="0.25">
      <c r="B35" t="s">
        <v>37</v>
      </c>
      <c r="C35">
        <f>SQRT($C$14^2+$C$15^2)</f>
        <v>0.5619653014199365</v>
      </c>
      <c r="D35" t="s">
        <v>2</v>
      </c>
      <c r="J35" t="s">
        <v>70</v>
      </c>
      <c r="K35">
        <f>MIN(AL2:AL27)</f>
        <v>7124.8080366348267</v>
      </c>
    </row>
    <row r="36" spans="1:28" x14ac:dyDescent="0.25">
      <c r="B36" t="s">
        <v>33</v>
      </c>
      <c r="C36">
        <f>-ATAN(C15/C14)</f>
        <v>0.23893644058616342</v>
      </c>
      <c r="D36">
        <f>C36*180/PI()</f>
        <v>13.690049617465514</v>
      </c>
      <c r="J36" t="s">
        <v>84</v>
      </c>
      <c r="K36">
        <f>MIN(AM2:AM27)</f>
        <v>1583.5562102785152</v>
      </c>
      <c r="L36" t="s">
        <v>85</v>
      </c>
    </row>
    <row r="37" spans="1:28" x14ac:dyDescent="0.25">
      <c r="B37" t="s">
        <v>16</v>
      </c>
      <c r="C37">
        <f>-ATAN(C32/C33)</f>
        <v>0.39330528686889649</v>
      </c>
      <c r="D37">
        <f>C37*180/PI()</f>
        <v>22.534732997769883</v>
      </c>
    </row>
    <row r="38" spans="1:28" x14ac:dyDescent="0.25">
      <c r="B38" t="s">
        <v>75</v>
      </c>
      <c r="C38">
        <v>-0.2</v>
      </c>
      <c r="D38" t="s">
        <v>2</v>
      </c>
      <c r="S38" t="s">
        <v>107</v>
      </c>
    </row>
    <row r="39" spans="1:28" x14ac:dyDescent="0.25">
      <c r="B39" t="s">
        <v>76</v>
      </c>
      <c r="C39">
        <v>-1.8520000000000001</v>
      </c>
      <c r="D39" t="s">
        <v>2</v>
      </c>
      <c r="J39" t="s">
        <v>95</v>
      </c>
      <c r="S39" t="s">
        <v>108</v>
      </c>
    </row>
    <row r="40" spans="1:28" x14ac:dyDescent="0.25">
      <c r="B40" t="s">
        <v>79</v>
      </c>
      <c r="C40">
        <f>C32-C38</f>
        <v>0.63650000000000007</v>
      </c>
      <c r="D40" t="s">
        <v>2</v>
      </c>
      <c r="J40" t="s">
        <v>90</v>
      </c>
      <c r="K40">
        <v>16</v>
      </c>
      <c r="L40" t="s">
        <v>89</v>
      </c>
      <c r="S40" t="s">
        <v>109</v>
      </c>
    </row>
    <row r="41" spans="1:28" x14ac:dyDescent="0.25">
      <c r="B41" t="s">
        <v>80</v>
      </c>
      <c r="C41">
        <f>C33-C39</f>
        <v>0.8</v>
      </c>
      <c r="D41" t="s">
        <v>2</v>
      </c>
      <c r="K41">
        <f>K40/60</f>
        <v>0.26666666666666666</v>
      </c>
      <c r="L41" t="s">
        <v>93</v>
      </c>
      <c r="S41" t="s">
        <v>110</v>
      </c>
    </row>
    <row r="42" spans="1:28" x14ac:dyDescent="0.25">
      <c r="B42" t="s">
        <v>81</v>
      </c>
      <c r="C42">
        <f>-C38</f>
        <v>0.2</v>
      </c>
      <c r="D42" t="s">
        <v>2</v>
      </c>
      <c r="J42" t="s">
        <v>91</v>
      </c>
      <c r="K42">
        <f>C28/K41</f>
        <v>6.2218260756641621</v>
      </c>
      <c r="L42" t="s">
        <v>94</v>
      </c>
    </row>
    <row r="43" spans="1:28" x14ac:dyDescent="0.25">
      <c r="B43" t="s">
        <v>82</v>
      </c>
      <c r="C43">
        <f>-C39</f>
        <v>1.8520000000000001</v>
      </c>
      <c r="D43" t="s">
        <v>2</v>
      </c>
      <c r="J43" t="s">
        <v>92</v>
      </c>
      <c r="K43">
        <f>C29/K41</f>
        <v>4.4178646691106476</v>
      </c>
      <c r="L43" t="s">
        <v>94</v>
      </c>
    </row>
    <row r="44" spans="1:28" x14ac:dyDescent="0.25">
      <c r="B44" t="s">
        <v>77</v>
      </c>
      <c r="C44">
        <f>1.1-0.301</f>
        <v>0.79900000000000015</v>
      </c>
      <c r="D44" t="s">
        <v>2</v>
      </c>
    </row>
    <row r="45" spans="1:28" x14ac:dyDescent="0.25">
      <c r="B45" t="s">
        <v>78</v>
      </c>
      <c r="C45">
        <v>2.2000000000000002</v>
      </c>
      <c r="D45" t="s">
        <v>2</v>
      </c>
    </row>
    <row r="46" spans="1:28" x14ac:dyDescent="0.25">
      <c r="B46" t="s">
        <v>83</v>
      </c>
      <c r="C46">
        <v>595</v>
      </c>
      <c r="D46" t="s">
        <v>1</v>
      </c>
    </row>
    <row r="48" spans="1:28" x14ac:dyDescent="0.25">
      <c r="B48" t="s">
        <v>57</v>
      </c>
      <c r="C48">
        <v>9.81</v>
      </c>
      <c r="D48" t="s">
        <v>58</v>
      </c>
    </row>
  </sheetData>
  <conditionalFormatting sqref="AC2:AC27">
    <cfRule type="top10" dxfId="9" priority="10" bottom="1" rank="1"/>
  </conditionalFormatting>
  <conditionalFormatting sqref="AD2:AD27">
    <cfRule type="top10" dxfId="8" priority="9" bottom="1" rank="1"/>
  </conditionalFormatting>
  <conditionalFormatting sqref="AE2:AE27">
    <cfRule type="top10" dxfId="7" priority="8" bottom="1" rank="1"/>
  </conditionalFormatting>
  <conditionalFormatting sqref="X2:X27">
    <cfRule type="top10" dxfId="6" priority="7" bottom="1" rank="1"/>
  </conditionalFormatting>
  <conditionalFormatting sqref="AA2:AA27">
    <cfRule type="top10" dxfId="5" priority="6" rank="1"/>
  </conditionalFormatting>
  <conditionalFormatting sqref="AN2:AN27">
    <cfRule type="top10" dxfId="4" priority="5" rank="1"/>
    <cfRule type="top10" dxfId="3" priority="3" rank="1"/>
  </conditionalFormatting>
  <conditionalFormatting sqref="AP2:AP27">
    <cfRule type="top10" dxfId="2" priority="4" rank="1"/>
  </conditionalFormatting>
  <conditionalFormatting sqref="AM2:AM27">
    <cfRule type="top10" dxfId="1" priority="2" bottom="1" rank="1"/>
  </conditionalFormatting>
  <conditionalFormatting sqref="AL2:AL27">
    <cfRule type="top10" dxfId="0" priority="1" bottom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Universitetet i Agder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Kjeld Ebbesen</dc:creator>
  <cp:lastModifiedBy>Jesper Kirk Sørensen</cp:lastModifiedBy>
  <dcterms:created xsi:type="dcterms:W3CDTF">2014-03-27T08:42:43Z</dcterms:created>
  <dcterms:modified xsi:type="dcterms:W3CDTF">2015-12-02T01:41:12Z</dcterms:modified>
</cp:coreProperties>
</file>